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073-B-HERMOUET-PDL(85)-CÔTEAU-RICOT-LaVerrieChanverrie/"/>
    </mc:Choice>
  </mc:AlternateContent>
  <xr:revisionPtr revIDLastSave="0" documentId="13_ncr:1_{10D436A5-CEE6-054D-9339-608A588DF4DD}" xr6:coauthVersionLast="47" xr6:coauthVersionMax="47" xr10:uidLastSave="{00000000-0000-0000-0000-000000000000}"/>
  <bookViews>
    <workbookView xWindow="4040" yWindow="760" windowWidth="24960" windowHeight="18880" tabRatio="866" firstSheet="1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6" l="1"/>
  <c r="I22" i="6"/>
  <c r="I23" i="6"/>
  <c r="I21" i="6"/>
  <c r="I20" i="6"/>
  <c r="C241" i="6"/>
  <c r="C242" i="6"/>
  <c r="C243" i="6"/>
  <c r="C244" i="6"/>
  <c r="C245" i="6"/>
  <c r="C240" i="6"/>
  <c r="C210" i="6"/>
  <c r="C211" i="6"/>
  <c r="C212" i="6"/>
  <c r="C213" i="6"/>
  <c r="C214" i="6"/>
  <c r="C215" i="6"/>
  <c r="C209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78" i="6"/>
  <c r="C179" i="6"/>
  <c r="C180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E234" i="6"/>
  <c r="E203" i="6"/>
  <c r="E172" i="6"/>
  <c r="E110" i="6"/>
  <c r="E79" i="6"/>
  <c r="E48" i="6"/>
  <c r="E17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71" i="6"/>
  <c r="C225" i="6"/>
  <c r="C216" i="6"/>
  <c r="C217" i="6"/>
  <c r="C218" i="6"/>
  <c r="C219" i="6"/>
  <c r="C220" i="6"/>
  <c r="C221" i="6"/>
  <c r="C222" i="6"/>
  <c r="C223" i="6"/>
  <c r="C224" i="6"/>
  <c r="C123" i="6"/>
  <c r="C117" i="6"/>
  <c r="C118" i="6"/>
  <c r="C119" i="6"/>
  <c r="C120" i="6"/>
  <c r="C121" i="6"/>
  <c r="C122" i="6"/>
  <c r="C124" i="6"/>
  <c r="C125" i="6"/>
  <c r="C126" i="6"/>
  <c r="C127" i="6"/>
  <c r="C128" i="6"/>
  <c r="C129" i="6"/>
  <c r="C130" i="6"/>
  <c r="C131" i="6"/>
  <c r="C132" i="6"/>
  <c r="C116" i="6"/>
  <c r="C88" i="6"/>
  <c r="C89" i="6"/>
  <c r="C90" i="6"/>
  <c r="C91" i="6"/>
  <c r="C92" i="6"/>
  <c r="C87" i="6"/>
  <c r="C85" i="6"/>
  <c r="C86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23" i="6"/>
  <c r="C196" i="6" l="1"/>
  <c r="C197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89" i="6"/>
  <c r="C290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26" i="6"/>
  <c r="C227" i="6"/>
  <c r="C228" i="6"/>
  <c r="C133" i="6"/>
  <c r="C134" i="6"/>
  <c r="C135" i="6"/>
  <c r="C93" i="6"/>
  <c r="C94" i="6"/>
  <c r="C95" i="6"/>
  <c r="C96" i="6"/>
  <c r="C97" i="6"/>
  <c r="C98" i="6"/>
  <c r="C99" i="6"/>
  <c r="C100" i="6"/>
  <c r="C101" i="6"/>
  <c r="C102" i="6"/>
  <c r="C103" i="6"/>
  <c r="C104" i="6"/>
  <c r="C41" i="6"/>
  <c r="C42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B33" i="2"/>
  <c r="EA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EW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D154" i="2"/>
  <c r="DI154" i="2"/>
  <c r="AC154" i="2"/>
  <c r="EY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D159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B161" i="2"/>
  <c r="EA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DI161" i="2"/>
  <c r="EY161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V164" i="2" l="1"/>
  <c r="EY163" i="2"/>
  <c r="EA164" i="2"/>
  <c r="ED163" i="2"/>
  <c r="FS164" i="2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ED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C168" i="2"/>
  <c r="DI167" i="2"/>
  <c r="DG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B172" i="2"/>
  <c r="EA172" i="2"/>
  <c r="ED171" i="2"/>
  <c r="EW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B175" i="2"/>
  <c r="ED174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ED177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EV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EY179" i="2"/>
  <c r="ED179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A183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FR186" i="2"/>
  <c r="EW186" i="2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D189" i="2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W192" i="2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DI192" i="2"/>
  <c r="EX193" i="2"/>
  <c r="FQ193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EA195" i="2"/>
  <c r="ED194" i="2"/>
  <c r="EY194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W199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 l="1"/>
  <c r="ED200" i="2"/>
  <c r="EB201" i="2"/>
  <c r="FS201" i="2"/>
  <c r="DI200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FZ6" i="2"/>
  <c r="ED201" i="2"/>
  <c r="FS202" i="2"/>
  <c r="EW202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29" i="2" a="1"/>
  <c r="EI29" i="2" s="1"/>
  <c r="EI178" i="2" a="1"/>
  <c r="EI178" i="2" s="1"/>
  <c r="EI195" i="2" a="1"/>
  <c r="EI195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64" i="2" a="1"/>
  <c r="FD64" i="2" s="1"/>
  <c r="FD107" i="2" a="1"/>
  <c r="FD107" i="2" s="1"/>
  <c r="FD19" i="2" a="1"/>
  <c r="FD19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6" i="2" a="1"/>
  <c r="EI36" i="2" s="1"/>
  <c r="EI34" i="2" a="1"/>
  <c r="EI34" i="2" s="1"/>
  <c r="EI16" i="2" a="1"/>
  <c r="EI16" i="2" s="1"/>
  <c r="EI35" i="2" a="1"/>
  <c r="EI35" i="2" s="1"/>
  <c r="DN6" i="2" a="1"/>
  <c r="DN6" i="2" s="1"/>
  <c r="DO6" i="2" s="1"/>
  <c r="BX107" i="2" a="1"/>
  <c r="BX107" i="2" s="1"/>
  <c r="HJ202" i="2"/>
  <c r="AX200" i="2"/>
  <c r="CS129" i="2" l="1" a="1"/>
  <c r="CS129" i="2" s="1"/>
  <c r="CS72" i="2" a="1"/>
  <c r="CS72" i="2" s="1"/>
  <c r="AH166" i="2" a="1"/>
  <c r="AH166" i="2" s="1"/>
  <c r="AH62" i="2" a="1"/>
  <c r="AH62" i="2" s="1"/>
  <c r="AH151" i="2" a="1"/>
  <c r="AH151" i="2" s="1"/>
  <c r="CS38" i="2" a="1"/>
  <c r="CS38" i="2" s="1"/>
  <c r="CS52" i="2" a="1"/>
  <c r="CS52" i="2" s="1"/>
  <c r="CS185" i="2" a="1"/>
  <c r="CS185" i="2" s="1"/>
  <c r="CS137" i="2" a="1"/>
  <c r="CS137" i="2" s="1"/>
  <c r="FD160" i="2" a="1"/>
  <c r="FD160" i="2" s="1"/>
  <c r="FD167" i="2" a="1"/>
  <c r="FD167" i="2" s="1"/>
  <c r="FD189" i="2" a="1"/>
  <c r="FD189" i="2" s="1"/>
  <c r="FD187" i="2" a="1"/>
  <c r="FD187" i="2" s="1"/>
  <c r="FD137" i="2" a="1"/>
  <c r="FD137" i="2" s="1"/>
  <c r="FD131" i="2" a="1"/>
  <c r="FD131" i="2" s="1"/>
  <c r="FD14" i="2" a="1"/>
  <c r="FD14" i="2" s="1"/>
  <c r="FD82" i="2" a="1"/>
  <c r="FD82" i="2" s="1"/>
  <c r="FD194" i="2" a="1"/>
  <c r="FD194" i="2" s="1"/>
  <c r="FD159" i="2" a="1"/>
  <c r="FD159" i="2" s="1"/>
  <c r="FD43" i="2" a="1"/>
  <c r="FD43" i="2" s="1"/>
  <c r="FD44" i="2" a="1"/>
  <c r="FD44" i="2" s="1"/>
  <c r="FD188" i="2" a="1"/>
  <c r="FD188" i="2" s="1"/>
  <c r="BP203" i="2"/>
  <c r="FY109" i="2" a="1"/>
  <c r="FY109" i="2" s="1"/>
  <c r="FY79" i="2" a="1"/>
  <c r="FY79" i="2" s="1"/>
  <c r="EI113" i="2" a="1"/>
  <c r="EI113" i="2" s="1"/>
  <c r="EI87" i="2" a="1"/>
  <c r="EI87" i="2" s="1"/>
  <c r="EI106" i="2" a="1"/>
  <c r="EI106" i="2" s="1"/>
  <c r="EI67" i="2" a="1"/>
  <c r="EI67" i="2" s="1"/>
  <c r="EI128" i="2" a="1"/>
  <c r="EI128" i="2" s="1"/>
  <c r="EI71" i="2" a="1"/>
  <c r="EI71" i="2" s="1"/>
  <c r="EI109" i="2" a="1"/>
  <c r="EI109" i="2" s="1"/>
  <c r="EI162" i="2" a="1"/>
  <c r="EI162" i="2" s="1"/>
  <c r="EI153" i="2" a="1"/>
  <c r="EI153" i="2" s="1"/>
  <c r="EI139" i="2" a="1"/>
  <c r="EI139" i="2" s="1"/>
  <c r="EI165" i="2" a="1"/>
  <c r="EI165" i="2" s="1"/>
  <c r="EI145" i="2" a="1"/>
  <c r="EI145" i="2" s="1"/>
  <c r="EI37" i="2" a="1"/>
  <c r="EI37" i="2" s="1"/>
  <c r="EI170" i="2" a="1"/>
  <c r="EI170" i="2" s="1"/>
  <c r="EI20" i="2" a="1"/>
  <c r="EI20" i="2" s="1"/>
  <c r="EI57" i="2" a="1"/>
  <c r="EI57" i="2" s="1"/>
  <c r="EI38" i="2" a="1"/>
  <c r="EI38" i="2" s="1"/>
  <c r="EI142" i="2" a="1"/>
  <c r="EI142" i="2" s="1"/>
  <c r="EI150" i="2" a="1"/>
  <c r="EI150" i="2" s="1"/>
  <c r="EI166" i="2" a="1"/>
  <c r="EI166" i="2" s="1"/>
  <c r="DN41" i="2" a="1"/>
  <c r="DN41" i="2" s="1"/>
  <c r="EY202" i="2"/>
  <c r="FD48" i="2" a="1"/>
  <c r="FD48" i="2" s="1"/>
  <c r="FD59" i="2" a="1"/>
  <c r="FD59" i="2" s="1"/>
  <c r="FD144" i="2" a="1"/>
  <c r="FD144" i="2" s="1"/>
  <c r="FD21" i="2" a="1"/>
  <c r="FD21" i="2" s="1"/>
  <c r="FS203" i="2"/>
  <c r="DN46" i="2" a="1"/>
  <c r="DN46" i="2" s="1"/>
  <c r="DN16" i="2" a="1"/>
  <c r="DN16" i="2" s="1"/>
  <c r="DN187" i="2" a="1"/>
  <c r="DN187" i="2" s="1"/>
  <c r="DN135" i="2" a="1"/>
  <c r="DN135" i="2" s="1"/>
  <c r="DN45" i="2" a="1"/>
  <c r="DN45" i="2" s="1"/>
  <c r="DN132" i="2" a="1"/>
  <c r="DN132" i="2" s="1"/>
  <c r="DN176" i="2" a="1"/>
  <c r="DN176" i="2" s="1"/>
  <c r="DN30" i="2" a="1"/>
  <c r="DN30" i="2" s="1"/>
  <c r="DN70" i="2" a="1"/>
  <c r="DN70" i="2" s="1"/>
  <c r="DN168" i="2" a="1"/>
  <c r="DN168" i="2" s="1"/>
  <c r="DN63" i="2" a="1"/>
  <c r="DN63" i="2" s="1"/>
  <c r="DN190" i="2" a="1"/>
  <c r="DN190" i="2" s="1"/>
  <c r="DN55" i="2" a="1"/>
  <c r="DN55" i="2" s="1"/>
  <c r="DN162" i="2" a="1"/>
  <c r="DN162" i="2" s="1"/>
  <c r="DN38" i="2" a="1"/>
  <c r="DN38" i="2" s="1"/>
  <c r="DN177" i="2" a="1"/>
  <c r="DN177" i="2" s="1"/>
  <c r="DN133" i="2" a="1"/>
  <c r="DN133" i="2" s="1"/>
  <c r="DN31" i="2" a="1"/>
  <c r="DN31" i="2" s="1"/>
  <c r="DN49" i="2" a="1"/>
  <c r="DN49" i="2" s="1"/>
  <c r="DN80" i="2" a="1"/>
  <c r="DN80" i="2" s="1"/>
  <c r="DN115" i="2" a="1"/>
  <c r="DN115" i="2" s="1"/>
  <c r="DN65" i="2" a="1"/>
  <c r="DN65" i="2" s="1"/>
  <c r="DN167" i="2" a="1"/>
  <c r="DN167" i="2" s="1"/>
  <c r="DN164" i="2" a="1"/>
  <c r="DN164" i="2" s="1"/>
  <c r="DN29" i="2" a="1"/>
  <c r="DN29" i="2" s="1"/>
  <c r="CS134" i="2" a="1"/>
  <c r="CS134" i="2" s="1"/>
  <c r="CS114" i="2" a="1"/>
  <c r="CS114" i="2" s="1"/>
  <c r="CS120" i="2" a="1"/>
  <c r="CS120" i="2" s="1"/>
  <c r="CS105" i="2" a="1"/>
  <c r="CS105" i="2" s="1"/>
  <c r="CS66" i="2" a="1"/>
  <c r="CS66" i="2" s="1"/>
  <c r="CS24" i="2" a="1"/>
  <c r="CS24" i="2" s="1"/>
  <c r="CS56" i="2" a="1"/>
  <c r="CS56" i="2" s="1"/>
  <c r="CS161" i="2" a="1"/>
  <c r="CS161" i="2" s="1"/>
  <c r="CS77" i="2" a="1"/>
  <c r="CS77" i="2" s="1"/>
  <c r="CS116" i="2" a="1"/>
  <c r="CS116" i="2" s="1"/>
  <c r="BC126" i="2" a="1"/>
  <c r="BC126" i="2" s="1"/>
  <c r="BC55" i="2" a="1"/>
  <c r="BC55" i="2" s="1"/>
  <c r="BC18" i="2" a="1"/>
  <c r="BC18" i="2" s="1"/>
  <c r="BC58" i="2" a="1"/>
  <c r="BC58" i="2" s="1"/>
  <c r="BC7" i="2" a="1"/>
  <c r="BC7" i="2" s="1"/>
  <c r="BC84" i="2" a="1"/>
  <c r="BC84" i="2" s="1"/>
  <c r="BC117" i="2" a="1"/>
  <c r="BC117" i="2" s="1"/>
  <c r="BC185" i="2" a="1"/>
  <c r="BC185" i="2" s="1"/>
  <c r="BC32" i="2" a="1"/>
  <c r="BC32" i="2" s="1"/>
  <c r="BC130" i="2" a="1"/>
  <c r="BC130" i="2" s="1"/>
  <c r="BC181" i="2" a="1"/>
  <c r="BC181" i="2" s="1"/>
  <c r="BC82" i="2" a="1"/>
  <c r="BC82" i="2" s="1"/>
  <c r="BC34" i="2" a="1"/>
  <c r="BC34" i="2" s="1"/>
  <c r="BC38" i="2" a="1"/>
  <c r="BC38" i="2" s="1"/>
  <c r="BC83" i="2" a="1"/>
  <c r="BC83" i="2" s="1"/>
  <c r="BC143" i="2" a="1"/>
  <c r="BC143" i="2" s="1"/>
  <c r="BC164" i="2" a="1"/>
  <c r="BC164" i="2" s="1"/>
  <c r="BC65" i="2" a="1"/>
  <c r="BC65" i="2" s="1"/>
  <c r="BC47" i="2" a="1"/>
  <c r="BC47" i="2" s="1"/>
  <c r="BC151" i="2" a="1"/>
  <c r="BC151" i="2" s="1"/>
  <c r="BC31" i="2" a="1"/>
  <c r="BC31" i="2" s="1"/>
  <c r="BC192" i="2" a="1"/>
  <c r="BC192" i="2" s="1"/>
  <c r="BC114" i="2" a="1"/>
  <c r="BC114" i="2" s="1"/>
  <c r="BC68" i="2" a="1"/>
  <c r="BC68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T203" i="2"/>
  <c r="EY203" i="2"/>
  <c r="ED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72" i="2" l="1"/>
  <c r="CD60" i="2"/>
  <c r="CD65" i="2"/>
  <c r="CD11" i="2"/>
  <c r="CD131" i="2"/>
  <c r="CD155" i="2"/>
  <c r="CD109" i="2"/>
  <c r="CD46" i="2"/>
  <c r="CD32" i="2"/>
  <c r="CD141" i="2"/>
  <c r="CD111" i="2"/>
  <c r="CD148" i="2"/>
  <c r="CD78" i="2"/>
  <c r="CD92" i="2"/>
  <c r="CD138" i="2"/>
  <c r="CD28" i="2"/>
  <c r="CD117" i="2"/>
  <c r="CD193" i="2"/>
  <c r="CD195" i="2"/>
  <c r="CD142" i="2"/>
  <c r="CD162" i="2"/>
  <c r="CD105" i="2"/>
  <c r="CD7" i="2"/>
  <c r="CD100" i="2"/>
  <c r="CD76" i="2"/>
  <c r="CD163" i="2"/>
  <c r="CD178" i="2"/>
  <c r="CD167" i="2"/>
  <c r="CD119" i="2"/>
  <c r="CD85" i="2"/>
  <c r="CD83" i="2"/>
  <c r="CD168" i="2"/>
  <c r="CD8" i="2"/>
  <c r="CD41" i="2"/>
  <c r="CD161" i="2"/>
  <c r="CD50" i="2"/>
  <c r="CD90" i="2"/>
  <c r="CD16" i="2"/>
  <c r="CD97" i="2"/>
  <c r="CD183" i="2"/>
  <c r="CD80" i="2"/>
  <c r="CD69" i="2"/>
  <c r="CD73" i="2"/>
  <c r="CD186" i="2"/>
  <c r="CD145" i="2"/>
  <c r="CD9" i="2"/>
  <c r="CD198" i="2"/>
  <c r="CD106" i="2"/>
  <c r="CD187" i="2"/>
  <c r="CD75" i="2"/>
  <c r="CD33" i="2"/>
  <c r="CD120" i="2"/>
  <c r="CD191" i="2"/>
  <c r="CD43" i="2"/>
  <c r="CD189" i="2"/>
  <c r="CD36" i="2"/>
  <c r="CD114" i="2"/>
  <c r="CD23" i="2"/>
  <c r="CD143" i="2"/>
  <c r="CD35" i="2"/>
  <c r="CD166" i="2"/>
  <c r="CD190" i="2"/>
  <c r="CD21" i="2"/>
  <c r="CD188" i="2"/>
  <c r="CD88" i="2"/>
  <c r="CD140" i="2"/>
  <c r="CD164" i="2"/>
  <c r="CD49" i="2"/>
  <c r="CD125" i="2"/>
  <c r="CD135" i="2"/>
  <c r="CD5" i="2"/>
  <c r="CD121" i="2"/>
  <c r="CD59" i="2"/>
  <c r="CD30" i="2"/>
  <c r="CD171" i="2"/>
  <c r="CD102" i="2"/>
  <c r="CD154" i="2"/>
  <c r="CD38" i="2"/>
  <c r="CD66" i="2"/>
  <c r="CD82" i="2"/>
  <c r="CD194" i="2"/>
  <c r="CD19" i="2"/>
  <c r="CD158" i="2"/>
  <c r="CD62" i="2"/>
  <c r="CD144" i="2"/>
  <c r="CD91" i="2"/>
  <c r="CD34" i="2"/>
  <c r="CD199" i="2"/>
  <c r="CD139" i="2"/>
  <c r="CD4" i="2"/>
  <c r="CD197" i="2"/>
  <c r="CD45" i="2"/>
  <c r="CD201" i="2"/>
  <c r="CD22" i="2"/>
  <c r="CD101" i="2"/>
  <c r="CD94" i="2"/>
  <c r="CD95" i="2"/>
  <c r="CD180" i="2"/>
  <c r="CD6" i="2"/>
  <c r="CD176" i="2"/>
  <c r="CD203" i="2"/>
  <c r="CD165" i="2"/>
  <c r="CD63" i="2"/>
  <c r="CD107" i="2"/>
  <c r="CD116" i="2"/>
  <c r="CD160" i="2"/>
  <c r="CD96" i="2"/>
  <c r="CD93" i="2"/>
  <c r="CD77" i="2"/>
  <c r="CD150" i="2"/>
  <c r="CD79" i="2"/>
  <c r="CD136" i="2"/>
  <c r="CD156" i="2"/>
  <c r="CD42" i="2"/>
  <c r="CD104" i="2"/>
  <c r="CD54" i="2"/>
  <c r="CD110" i="2"/>
  <c r="CD61" i="2"/>
  <c r="CD185" i="2"/>
  <c r="CD24" i="2"/>
  <c r="CD98" i="2"/>
  <c r="CD196" i="2"/>
  <c r="CD67" i="2"/>
  <c r="CD3" i="2"/>
  <c r="C9" i="4" s="1"/>
  <c r="E9" i="4" s="1"/>
  <c r="F9" i="4" s="1"/>
  <c r="G9" i="4" s="1"/>
  <c r="L9" i="4" s="1"/>
  <c r="CD27" i="2"/>
  <c r="CD71" i="2"/>
  <c r="CD122" i="2"/>
  <c r="CD179" i="2"/>
  <c r="CD202" i="2"/>
  <c r="CD149" i="2"/>
  <c r="CD87" i="2"/>
  <c r="CD58" i="2"/>
  <c r="CD53" i="2"/>
  <c r="CD108" i="2"/>
  <c r="CD15" i="2"/>
  <c r="CD18" i="2"/>
  <c r="CD182" i="2"/>
  <c r="CD48" i="2"/>
  <c r="CD123" i="2"/>
  <c r="CD31" i="2"/>
  <c r="CD177" i="2"/>
  <c r="CD181" i="2"/>
  <c r="CD72" i="2"/>
  <c r="CD68" i="2"/>
  <c r="CD99" i="2"/>
  <c r="CD133" i="2"/>
  <c r="CD10" i="2"/>
  <c r="CD126" i="2"/>
  <c r="CD40" i="2"/>
  <c r="CD127" i="2"/>
  <c r="CD47" i="2"/>
  <c r="CD128" i="2"/>
  <c r="CD81" i="2"/>
  <c r="CD17" i="2"/>
  <c r="CD132" i="2"/>
  <c r="CD129" i="2"/>
  <c r="CD157" i="2"/>
  <c r="CD153" i="2"/>
  <c r="CD173" i="2"/>
  <c r="CD151" i="2"/>
  <c r="CD103" i="2"/>
  <c r="CD56" i="2"/>
  <c r="CD39" i="2"/>
  <c r="CD115" i="2"/>
  <c r="CD170" i="2"/>
  <c r="CD70" i="2"/>
  <c r="CD184" i="2"/>
  <c r="CD169" i="2"/>
  <c r="CD74" i="2"/>
  <c r="CD84" i="2"/>
  <c r="CD137" i="2"/>
  <c r="CD29" i="2"/>
  <c r="CD20" i="2"/>
  <c r="CD112" i="2"/>
  <c r="CD147" i="2"/>
  <c r="CD44" i="2"/>
  <c r="CD64" i="2"/>
  <c r="CD51" i="2"/>
  <c r="CD26" i="2"/>
  <c r="CD52" i="2"/>
  <c r="CD25" i="2"/>
  <c r="CD134" i="2"/>
  <c r="CD14" i="2"/>
  <c r="CD175" i="2"/>
  <c r="CD146" i="2"/>
  <c r="CD152" i="2"/>
  <c r="CD124" i="2"/>
  <c r="CD113" i="2"/>
  <c r="CD57" i="2"/>
  <c r="CD86" i="2"/>
  <c r="CD55" i="2"/>
  <c r="CD89" i="2"/>
  <c r="CD159" i="2"/>
  <c r="CD118" i="2"/>
  <c r="CD37" i="2"/>
  <c r="CD130" i="2"/>
  <c r="CD192" i="2"/>
  <c r="CD174" i="2"/>
  <c r="CD13" i="2"/>
  <c r="CD12" i="2"/>
  <c r="CD200" i="2"/>
  <c r="GE11" i="2"/>
  <c r="GE133" i="2"/>
  <c r="GE40" i="2"/>
  <c r="GE195" i="2"/>
  <c r="GE8" i="2"/>
  <c r="GE17" i="2"/>
  <c r="GE98" i="2"/>
  <c r="GE84" i="2"/>
  <c r="GE114" i="2"/>
  <c r="GE89" i="2"/>
  <c r="GE64" i="2"/>
  <c r="GE151" i="2"/>
  <c r="GE199" i="2"/>
  <c r="GE52" i="2"/>
  <c r="GE96" i="2"/>
  <c r="GE5" i="2"/>
  <c r="GE184" i="2"/>
  <c r="GE70" i="2"/>
  <c r="GE177" i="2"/>
  <c r="GE161" i="2"/>
  <c r="GE164" i="2"/>
  <c r="GE178" i="2"/>
  <c r="GE102" i="2"/>
  <c r="GE108" i="2"/>
  <c r="GE87" i="2"/>
  <c r="GE30" i="2"/>
  <c r="GE200" i="2"/>
  <c r="GE136" i="2"/>
  <c r="GE97" i="2"/>
  <c r="GE91" i="2"/>
  <c r="GE54" i="2"/>
  <c r="GE25" i="2"/>
  <c r="GE33" i="2"/>
  <c r="GE113" i="2"/>
  <c r="GE14" i="2"/>
  <c r="GE22" i="2"/>
  <c r="GE83" i="2"/>
  <c r="GE99" i="2"/>
  <c r="GE140" i="2"/>
  <c r="GE66" i="2"/>
  <c r="GE62" i="2"/>
  <c r="GE171" i="2"/>
  <c r="GE150" i="2"/>
  <c r="GE121" i="2"/>
  <c r="GE79" i="2"/>
  <c r="GE77" i="2"/>
  <c r="GE48" i="2"/>
  <c r="GE116" i="2"/>
  <c r="GE185" i="2"/>
  <c r="GE168" i="2"/>
  <c r="GE49" i="2"/>
  <c r="GE203" i="2"/>
  <c r="GE122" i="2"/>
  <c r="GE18" i="2"/>
  <c r="GE31" i="2"/>
  <c r="GE47" i="2"/>
  <c r="GE106" i="2"/>
  <c r="GE172" i="2"/>
  <c r="GE189" i="2"/>
  <c r="GE146" i="2"/>
  <c r="GE71" i="2"/>
  <c r="GE109" i="2"/>
  <c r="GE81" i="2"/>
  <c r="GE39" i="2"/>
  <c r="GE135" i="2"/>
  <c r="GE65" i="2"/>
  <c r="GE125" i="2"/>
  <c r="GE55" i="2"/>
  <c r="GE13" i="2"/>
  <c r="GE10" i="2"/>
  <c r="GE137" i="2"/>
  <c r="GE19" i="2"/>
  <c r="GE110" i="2"/>
  <c r="GE32" i="2"/>
  <c r="GE117" i="2"/>
  <c r="GE142" i="2"/>
  <c r="GE34" i="2"/>
  <c r="GE57" i="2"/>
  <c r="GE75" i="2"/>
  <c r="GE43" i="2"/>
  <c r="GE139" i="2"/>
  <c r="GE95" i="2"/>
  <c r="GE103" i="2"/>
  <c r="GE74" i="2"/>
  <c r="GE186" i="2"/>
  <c r="GE27" i="2"/>
  <c r="GE124" i="2"/>
  <c r="GE138" i="2"/>
  <c r="GE76" i="2"/>
  <c r="GE123" i="2"/>
  <c r="GE193" i="2"/>
  <c r="GE131" i="2"/>
  <c r="GE46" i="2"/>
  <c r="GE58" i="2"/>
  <c r="GE165" i="2"/>
  <c r="GE50" i="2"/>
  <c r="GE163" i="2"/>
  <c r="GE41" i="2"/>
  <c r="GE21" i="2"/>
  <c r="GE59" i="2"/>
  <c r="GE182" i="2"/>
  <c r="GE191" i="2"/>
  <c r="GE3" i="2"/>
  <c r="C14" i="4" s="1"/>
  <c r="E14" i="4" s="1"/>
  <c r="F14" i="4" s="1"/>
  <c r="G14" i="4" s="1"/>
  <c r="L14" i="4" s="1"/>
  <c r="GE153" i="2"/>
  <c r="GE28" i="2"/>
  <c r="GE111" i="2"/>
  <c r="GE148" i="2"/>
  <c r="GE143" i="2"/>
  <c r="GE128" i="2"/>
  <c r="GE60" i="2"/>
  <c r="GE118" i="2"/>
  <c r="GE100" i="2"/>
  <c r="GE155" i="2"/>
  <c r="GE23" i="2"/>
  <c r="GE160" i="2"/>
  <c r="GE130" i="2"/>
  <c r="GE176" i="2"/>
  <c r="GE119" i="2"/>
  <c r="GE16" i="2"/>
  <c r="GE90" i="2"/>
  <c r="GE141" i="2"/>
  <c r="GE38" i="2"/>
  <c r="GE53" i="2"/>
  <c r="GE7" i="2"/>
  <c r="GE42" i="2"/>
  <c r="GE192" i="2"/>
  <c r="GE88" i="2"/>
  <c r="GE80" i="2"/>
  <c r="GE170" i="2"/>
  <c r="GE196" i="2"/>
  <c r="GE37" i="2"/>
  <c r="GE85" i="2"/>
  <c r="GE92" i="2"/>
  <c r="GE187" i="2"/>
  <c r="GE6" i="2"/>
  <c r="GE154" i="2"/>
  <c r="GE4" i="2"/>
  <c r="GE15" i="2"/>
  <c r="GE9" i="2"/>
  <c r="GE132" i="2"/>
  <c r="GE159" i="2"/>
  <c r="GE93" i="2"/>
  <c r="GE126" i="2"/>
  <c r="GE82" i="2"/>
  <c r="GE120" i="2"/>
  <c r="GE67" i="2"/>
  <c r="GE127" i="2"/>
  <c r="GE69" i="2"/>
  <c r="GE12" i="2"/>
  <c r="GE144" i="2"/>
  <c r="GE68" i="2"/>
  <c r="GE61" i="2"/>
  <c r="GE198" i="2"/>
  <c r="GE197" i="2"/>
  <c r="GE179" i="2"/>
  <c r="GE26" i="2"/>
  <c r="GE35" i="2"/>
  <c r="GE73" i="2"/>
  <c r="GE162" i="2"/>
  <c r="GE201" i="2"/>
  <c r="GE175" i="2"/>
  <c r="GE112" i="2"/>
  <c r="GE44" i="2"/>
  <c r="GE194" i="2"/>
  <c r="GE20" i="2"/>
  <c r="GE129" i="2"/>
  <c r="GE51" i="2"/>
  <c r="GE188" i="2"/>
  <c r="GE180" i="2"/>
  <c r="GE145" i="2"/>
  <c r="GE101" i="2"/>
  <c r="GE181" i="2"/>
  <c r="GE63" i="2"/>
  <c r="GE202" i="2"/>
  <c r="GE158" i="2"/>
  <c r="GE152" i="2"/>
  <c r="GE78" i="2"/>
  <c r="GE156" i="2"/>
  <c r="GE107" i="2"/>
  <c r="GE169" i="2"/>
  <c r="GE24" i="2"/>
  <c r="GE72" i="2"/>
  <c r="GE86" i="2"/>
  <c r="GE105" i="2"/>
  <c r="GE173" i="2"/>
  <c r="GE104" i="2"/>
  <c r="GE115" i="2"/>
  <c r="GE190" i="2"/>
  <c r="GE174" i="2"/>
  <c r="GE157" i="2"/>
  <c r="GE29" i="2"/>
  <c r="GE166" i="2"/>
  <c r="GE134" i="2"/>
  <c r="GE147" i="2"/>
  <c r="GE36" i="2"/>
  <c r="GE56" i="2"/>
  <c r="GE149" i="2"/>
  <c r="GE45" i="2"/>
  <c r="GE94" i="2"/>
  <c r="GE183" i="2"/>
  <c r="GE167" i="2"/>
  <c r="FJ203" i="2"/>
  <c r="FJ18" i="2"/>
  <c r="FJ152" i="2"/>
  <c r="FJ156" i="2"/>
  <c r="FJ133" i="2"/>
  <c r="FJ94" i="2"/>
  <c r="FJ51" i="2"/>
  <c r="FJ114" i="2"/>
  <c r="FJ44" i="2"/>
  <c r="FJ74" i="2"/>
  <c r="FJ8" i="2"/>
  <c r="FJ194" i="2"/>
  <c r="FJ30" i="2"/>
  <c r="FJ39" i="2"/>
  <c r="FJ192" i="2"/>
  <c r="FJ87" i="2"/>
  <c r="FJ103" i="2"/>
  <c r="FJ143" i="2"/>
  <c r="FJ181" i="2"/>
  <c r="FJ88" i="2"/>
  <c r="FJ126" i="2"/>
  <c r="FJ140" i="2"/>
  <c r="FJ16" i="2"/>
  <c r="FJ91" i="2"/>
  <c r="FJ112" i="2"/>
  <c r="FJ149" i="2"/>
  <c r="FJ175" i="2"/>
  <c r="FJ64" i="2"/>
  <c r="FJ188" i="2"/>
  <c r="FJ121" i="2"/>
  <c r="FJ27" i="2"/>
  <c r="FJ23" i="2"/>
  <c r="FJ172" i="2"/>
  <c r="FJ24" i="2"/>
  <c r="FJ17" i="2"/>
  <c r="FJ97" i="2"/>
  <c r="FJ167" i="2"/>
  <c r="FJ118" i="2"/>
  <c r="FJ200" i="2"/>
  <c r="FJ73" i="2"/>
  <c r="FJ36" i="2"/>
  <c r="FJ163" i="2"/>
  <c r="FJ41" i="2"/>
  <c r="FJ22" i="2"/>
  <c r="FJ47" i="2"/>
  <c r="FJ120" i="2"/>
  <c r="FJ125" i="2"/>
  <c r="FJ130" i="2"/>
  <c r="FJ77" i="2"/>
  <c r="FJ187" i="2"/>
  <c r="FJ166" i="2"/>
  <c r="FJ20" i="2"/>
  <c r="FJ93" i="2"/>
  <c r="FJ98" i="2"/>
  <c r="FJ49" i="2"/>
  <c r="FJ124" i="2"/>
  <c r="FJ95" i="2"/>
  <c r="FJ40" i="2"/>
  <c r="FJ55" i="2"/>
  <c r="FJ90" i="2"/>
  <c r="FJ79" i="2"/>
  <c r="FJ102" i="2"/>
  <c r="FJ70" i="2"/>
  <c r="FJ129" i="2"/>
  <c r="FJ42" i="2"/>
  <c r="FJ89" i="2"/>
  <c r="FJ197" i="2"/>
  <c r="FJ201" i="2"/>
  <c r="FJ132" i="2"/>
  <c r="FJ26" i="2"/>
  <c r="FJ80" i="2"/>
  <c r="FJ195" i="2"/>
  <c r="FJ148" i="2"/>
  <c r="FJ151" i="2"/>
  <c r="FJ33" i="2"/>
  <c r="FJ171" i="2"/>
  <c r="FJ25" i="2"/>
  <c r="FJ59" i="2"/>
  <c r="FJ153" i="2"/>
  <c r="FJ92" i="2"/>
  <c r="FJ105" i="2"/>
  <c r="FJ191" i="2"/>
  <c r="FJ146" i="2"/>
  <c r="FJ53" i="2"/>
  <c r="FJ199" i="2"/>
  <c r="FJ6" i="2"/>
  <c r="FJ183" i="2"/>
  <c r="FJ137" i="2"/>
  <c r="FJ104" i="2"/>
  <c r="FJ135" i="2"/>
  <c r="FJ75" i="2"/>
  <c r="FJ31" i="2"/>
  <c r="FJ134" i="2"/>
  <c r="FJ4" i="2"/>
  <c r="FJ161" i="2"/>
  <c r="FJ100" i="2"/>
  <c r="FJ72" i="2"/>
  <c r="FJ9" i="2"/>
  <c r="FJ69" i="2"/>
  <c r="FJ111" i="2"/>
  <c r="FJ43" i="2"/>
  <c r="FJ164" i="2"/>
  <c r="FJ35" i="2"/>
  <c r="FJ57" i="2"/>
  <c r="FJ84" i="2"/>
  <c r="FJ110" i="2"/>
  <c r="FJ50" i="2"/>
  <c r="FJ168" i="2"/>
  <c r="FJ138" i="2"/>
  <c r="FJ32" i="2"/>
  <c r="FJ61" i="2"/>
  <c r="FJ174" i="2"/>
  <c r="FJ113" i="2"/>
  <c r="FJ202" i="2"/>
  <c r="FJ65" i="2"/>
  <c r="FJ186" i="2"/>
  <c r="FJ154" i="2"/>
  <c r="FJ157" i="2"/>
  <c r="FJ45" i="2"/>
  <c r="FJ190" i="2"/>
  <c r="FJ60" i="2"/>
  <c r="FJ155" i="2"/>
  <c r="FJ173" i="2"/>
  <c r="FJ19" i="2"/>
  <c r="FJ99" i="2"/>
  <c r="FJ38" i="2"/>
  <c r="FJ123" i="2"/>
  <c r="FJ150" i="2"/>
  <c r="FJ185" i="2"/>
  <c r="FJ144" i="2"/>
  <c r="FJ37" i="2"/>
  <c r="FJ29" i="2"/>
  <c r="FJ7" i="2"/>
  <c r="FJ21" i="2"/>
  <c r="FJ176" i="2"/>
  <c r="FJ162" i="2"/>
  <c r="FJ13" i="2"/>
  <c r="FJ76" i="2"/>
  <c r="FJ177" i="2"/>
  <c r="FJ14" i="2"/>
  <c r="FJ139" i="2"/>
  <c r="FJ62" i="2"/>
  <c r="FJ127" i="2"/>
  <c r="FJ160" i="2"/>
  <c r="FJ182" i="2"/>
  <c r="FJ15" i="2"/>
  <c r="FJ82" i="2"/>
  <c r="FJ141" i="2"/>
  <c r="FJ68" i="2"/>
  <c r="FJ48" i="2"/>
  <c r="FJ169" i="2"/>
  <c r="FJ115" i="2"/>
  <c r="FJ136" i="2"/>
  <c r="FJ28" i="2"/>
  <c r="FJ56" i="2"/>
  <c r="FJ107" i="2"/>
  <c r="FJ34" i="2"/>
  <c r="FJ54" i="2"/>
  <c r="FJ159" i="2"/>
  <c r="FJ189" i="2"/>
  <c r="FJ180" i="2"/>
  <c r="FJ196" i="2"/>
  <c r="FJ10" i="2"/>
  <c r="FJ81" i="2"/>
  <c r="FJ85" i="2"/>
  <c r="FJ101" i="2"/>
  <c r="FJ96" i="2"/>
  <c r="FJ83" i="2"/>
  <c r="FJ106" i="2"/>
  <c r="FJ193" i="2"/>
  <c r="FJ46" i="2"/>
  <c r="FJ71" i="2"/>
  <c r="FJ12" i="2"/>
  <c r="FJ5" i="2"/>
  <c r="FJ117" i="2"/>
  <c r="FJ63" i="2"/>
  <c r="FJ52" i="2"/>
  <c r="FJ142" i="2"/>
  <c r="FJ131" i="2"/>
  <c r="FJ11" i="2"/>
  <c r="FJ67" i="2"/>
  <c r="FJ109" i="2"/>
  <c r="FJ170" i="2"/>
  <c r="FJ165" i="2"/>
  <c r="FJ158" i="2"/>
  <c r="FJ184" i="2"/>
  <c r="FJ66" i="2"/>
  <c r="FJ122" i="2"/>
  <c r="FJ179" i="2"/>
  <c r="FJ145" i="2"/>
  <c r="FJ58" i="2"/>
  <c r="FJ108" i="2"/>
  <c r="FJ198" i="2"/>
  <c r="FJ116" i="2"/>
  <c r="FJ147" i="2"/>
  <c r="FJ86" i="2"/>
  <c r="FJ178" i="2"/>
  <c r="FJ128" i="2"/>
  <c r="FJ119" i="2"/>
  <c r="FJ3" i="2"/>
  <c r="C13" i="4" s="1"/>
  <c r="E13" i="4" s="1"/>
  <c r="F13" i="4" s="1"/>
  <c r="G13" i="4" s="1"/>
  <c r="L13" i="4" s="1"/>
  <c r="FJ78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<sst xmlns="http://schemas.openxmlformats.org/spreadsheetml/2006/main" count="1178" uniqueCount="325">
  <si>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</si>
  <si>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</si>
  <si>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</si>
  <si>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</si>
  <si>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</si>
  <si>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</si>
  <si>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</si>
  <si>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</si>
  <si>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</si>
  <si>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</si>
  <si>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</si>
  <si>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</si>
  <si>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</si>
  <si>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</si>
  <si>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</si>
  <si>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</si>
  <si>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</si>
  <si>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</si>
  <si>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</si>
  <si>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</si>
  <si>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</si>
  <si>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</si>
  <si>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</si>
  <si>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</si>
  <si>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</si>
  <si>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</si>
  <si>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</si>
  <si>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</si>
  <si>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</si>
  <si>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</si>
  <si>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</si>
  <si>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</si>
  <si>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</si>
  <si>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</si>
  <si>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</si>
  <si>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</si>
  <si>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</si>
  <si>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</si>
  <si>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</si>
  <si>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</si>
  <si>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</si>
  <si>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</si>
  <si>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</si>
  <si>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</si>
  <si>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</si>
  <si>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</si>
  <si>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</si>
  <si>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</si>
  <si>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</si>
  <si>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</si>
  <si>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</si>
  <si>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</si>
  <si>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</si>
  <si>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</si>
  <si>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</si>
  <si>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</si>
  <si>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</si>
  <si>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</si>
  <si>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</si>
  <si>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</si>
  <si>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</si>
  <si>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</si>
  <si>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</si>
  <si>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</si>
  <si>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</si>
  <si>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</si>
  <si>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</si>
  <si>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</si>
  <si>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</si>
  <si>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</si>
  <si>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</si>
  <si>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</si>
  <si>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</si>
  <si>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</si>
  <si>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</si>
  <si>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</si>
  <si>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</si>
  <si>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</si>
  <si>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</si>
  <si>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</si>
  <si>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</si>
  <si>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</si>
  <si>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</si>
  <si>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</si>
  <si>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</si>
  <si>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</si>
  <si>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</si>
  <si>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</si>
  <si>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</si>
  <si>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</si>
  <si>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</si>
  <si>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</si>
  <si>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</si>
  <si>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</si>
  <si>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</si>
  <si>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</si>
  <si>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</si>
  <si>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</si>
  <si>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</si>
  <si>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</si>
  <si>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</si>
  <si>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</si>
  <si>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</si>
  <si>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</si>
  <si>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</si>
  <si>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</si>
  <si>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</si>
  <si>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</si>
  <si>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</si>
  <si>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</si>
  <si>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</si>
  <si>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</si>
  <si>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</si>
  <si>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</si>
  <si>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</si>
  <si>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</si>
  <si>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</si>
  <si>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</si>
  <si>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</si>
  <si>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</si>
  <si>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</si>
  <si>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</si>
  <si>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</si>
  <si>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</si>
  <si>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</si>
  <si>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</si>
  <si>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</si>
  <si>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</si>
  <si>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</si>
  <si>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</si>
  <si>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</si>
  <si>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</si>
  <si>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</si>
  <si>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</si>
  <si>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</si>
  <si>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</si>
  <si>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</si>
  <si>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</si>
  <si>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</si>
  <si>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</si>
  <si>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</si>
  <si>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</si>
  <si>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</si>
  <si>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</si>
  <si>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</si>
  <si>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</si>
  <si>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</si>
  <si>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</si>
  <si>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</si>
  <si>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</si>
  <si>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</si>
  <si>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</si>
  <si>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</si>
  <si>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</si>
  <si>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</si>
  <si>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</si>
  <si>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</si>
  <si>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</si>
  <si>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</si>
  <si>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</si>
  <si>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</si>
  <si>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</si>
  <si>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</si>
  <si>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</si>
  <si>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</si>
  <si>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</si>
  <si>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</si>
  <si>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</si>
  <si>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</si>
  <si>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</si>
  <si>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</si>
  <si>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</si>
  <si>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</si>
  <si>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</si>
  <si>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</si>
  <si>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</si>
  <si>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</si>
  <si>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</si>
  <si>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</si>
  <si>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</si>
  <si>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</si>
  <si>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</si>
  <si>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</si>
  <si>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</si>
  <si>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</si>
  <si>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</si>
  <si>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</si>
  <si>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</si>
  <si>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</si>
  <si>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</si>
  <si>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</si>
  <si>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</si>
  <si>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</si>
  <si>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</si>
  <si>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</si>
  <si>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</si>
  <si>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</si>
  <si>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</si>
  <si>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</si>
  <si>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</si>
  <si>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</si>
  <si>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</si>
  <si>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</si>
  <si>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</si>
  <si>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</si>
  <si>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</si>
  <si>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</si>
  <si>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</si>
  <si>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</si>
  <si>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</si>
  <si>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</si>
  <si>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</si>
  <si>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</si>
  <si>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</si>
  <si>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</si>
  <si>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</si>
  <si>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</si>
  <si>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</si>
  <si>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</si>
  <si>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</si>
  <si>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</si>
  <si>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</si>
  <si>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</si>
  <si>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</si>
  <si>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</si>
  <si>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</si>
  <si>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</si>
  <si>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</si>
  <si>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</si>
  <si>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</si>
  <si>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</si>
  <si>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</si>
  <si>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</si>
  <si>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</si>
  <si>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</si>
  <si>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</si>
  <si>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</si>
  <si>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</si>
  <si>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</si>
  <si>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</si>
  <si>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</si>
  <si>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</si>
  <si>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</si>
  <si>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</si>
  <si>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</si>
  <si>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</si>
  <si>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</si>
  <si>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</si>
  <si>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</si>
  <si>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</si>
  <si>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</si>
  <si>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</si>
  <si>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</si>
  <si>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</si>
  <si>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</si>
  <si>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</si>
  <si>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</si>
  <si>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</si>
  <si>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</si>
  <si>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</si>
  <si>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</si>
  <si>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</si>
  <si>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</si>
  <si>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</si>
  <si>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</si>
  <si>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</si>
  <si>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</si>
  <si>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</si>
  <si>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</si>
  <si>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</si>
  <si>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</si>
  <si>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</si>
  <si>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</si>
  <si>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</si>
  <si>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</si>
  <si>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</si>
  <si>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</si>
  <si>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</si>
  <si>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</si>
  <si>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</si>
  <si>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</si>
  <si>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</si>
  <si>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</si>
  <si>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</si>
  <si>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</si>
  <si>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</si>
  <si>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</si>
  <si>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</si>
  <si>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</si>
  <si>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</si>
  <si>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</si>
  <si>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</si>
  <si>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</si>
  <si>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</si>
  <si>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</si>
  <si>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</si>
  <si>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</si>
  <si>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</si>
  <si>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</si>
  <si>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</si>
  <si>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</si>
  <si>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</si>
  <si>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</si>
  <si>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</si>
  <si>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</si>
  <si>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</si>
  <si>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</si>
  <si>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</si>
  <si>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</si>
  <si>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</si>
  <si>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</si>
  <si>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</si>
  <si>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</si>
  <si>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</si>
  <si>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</si>
  <si>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</si>
  <si>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</si>
  <si>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</si>
  <si>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</si>
  <si>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</si>
  <si>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</si>
  <si>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</si>
  <si>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</si>
  <si>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</si>
  <si>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potentielles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</si>
</sst>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2"/>
      <color theme="1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14" borderId="1" xfId="0" quotePrefix="1" applyNumberFormat="1" applyFill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159.39654402501074</c:v>
                </c:pt>
                <c:pt idx="22">
                  <c:v>171.18397278750874</c:v>
                </c:pt>
                <c:pt idx="23">
                  <c:v>182.95230030612535</c:v>
                </c:pt>
                <c:pt idx="24">
                  <c:v>194.7029293179402</c:v>
                </c:pt>
                <c:pt idx="25">
                  <c:v>206.43707921846078</c:v>
                </c:pt>
                <c:pt idx="26">
                  <c:v>213.47010944722004</c:v>
                </c:pt>
                <c:pt idx="27">
                  <c:v>220.49780325501729</c:v>
                </c:pt>
                <c:pt idx="28">
                  <c:v>227.5203549639734</c:v>
                </c:pt>
                <c:pt idx="29">
                  <c:v>234.5379459034672</c:v>
                </c:pt>
                <c:pt idx="30">
                  <c:v>241.55074565033257</c:v>
                </c:pt>
                <c:pt idx="31">
                  <c:v>251.67220666437959</c:v>
                </c:pt>
                <c:pt idx="32">
                  <c:v>261.78444483261882</c:v>
                </c:pt>
                <c:pt idx="33">
                  <c:v>271.88786690161186</c:v>
                </c:pt>
                <c:pt idx="34">
                  <c:v>281.98284689642549</c:v>
                </c:pt>
                <c:pt idx="35">
                  <c:v>292.06972985560304</c:v>
                </c:pt>
                <c:pt idx="36">
                  <c:v>259.45164815796966</c:v>
                </c:pt>
                <c:pt idx="37">
                  <c:v>281.20660167429179</c:v>
                </c:pt>
                <c:pt idx="38">
                  <c:v>302.92383728372141</c:v>
                </c:pt>
                <c:pt idx="39">
                  <c:v>324.60643807826477</c:v>
                </c:pt>
                <c:pt idx="40">
                  <c:v>346.25704166537008</c:v>
                </c:pt>
                <c:pt idx="41">
                  <c:v>314.15647495690439</c:v>
                </c:pt>
                <c:pt idx="42">
                  <c:v>336.20880231759588</c:v>
                </c:pt>
                <c:pt idx="43">
                  <c:v>358.22928558083066</c:v>
                </c:pt>
                <c:pt idx="44">
                  <c:v>380.22015624917941</c:v>
                </c:pt>
                <c:pt idx="45">
                  <c:v>402.18336673633195</c:v>
                </c:pt>
                <c:pt idx="46">
                  <c:v>369.42119511414541</c:v>
                </c:pt>
                <c:pt idx="47">
                  <c:v>390.62711987431982</c:v>
                </c:pt>
                <c:pt idx="48">
                  <c:v>411.80807637868742</c:v>
                </c:pt>
                <c:pt idx="49">
                  <c:v>432.96552861089202</c:v>
                </c:pt>
                <c:pt idx="50">
                  <c:v>454.10078588624361</c:v>
                </c:pt>
                <c:pt idx="51">
                  <c:v>419.88907590240768</c:v>
                </c:pt>
                <c:pt idx="52">
                  <c:v>439.50055712660441</c:v>
                </c:pt>
                <c:pt idx="53">
                  <c:v>459.09327985807039</c:v>
                </c:pt>
                <c:pt idx="54">
                  <c:v>478.66815678776106</c:v>
                </c:pt>
                <c:pt idx="55">
                  <c:v>498.22601991660605</c:v>
                </c:pt>
                <c:pt idx="56">
                  <c:v>462.5489419632766</c:v>
                </c:pt>
                <c:pt idx="57">
                  <c:v>480.58633375842015</c:v>
                </c:pt>
                <c:pt idx="58">
                  <c:v>498.60934258764979</c:v>
                </c:pt>
                <c:pt idx="59">
                  <c:v>516.61856122298423</c:v>
                </c:pt>
                <c:pt idx="60">
                  <c:v>534.61453776319513</c:v>
                </c:pt>
                <c:pt idx="61">
                  <c:v>497.84269099902514</c:v>
                </c:pt>
                <c:pt idx="62">
                  <c:v>514.70332559574479</c:v>
                </c:pt>
                <c:pt idx="63">
                  <c:v>531.5523056174153</c:v>
                </c:pt>
                <c:pt idx="64">
                  <c:v>548.39005229891836</c:v>
                </c:pt>
                <c:pt idx="65">
                  <c:v>565.21695891368051</c:v>
                </c:pt>
                <c:pt idx="66">
                  <c:v>527.34112969240994</c:v>
                </c:pt>
                <c:pt idx="67">
                  <c:v>543.03378149300636</c:v>
                </c:pt>
                <c:pt idx="68">
                  <c:v>558.71691511038478</c:v>
                </c:pt>
                <c:pt idx="69">
                  <c:v>574.39083521123325</c:v>
                </c:pt>
                <c:pt idx="70">
                  <c:v>590.05582848802032</c:v>
                </c:pt>
                <c:pt idx="71">
                  <c:v>551.06777546888077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594.63905531968828</c:v>
                </c:pt>
                <c:pt idx="75">
                  <c:v>609.14778887966042</c:v>
                </c:pt>
                <c:pt idx="76">
                  <c:v>569.42203544921142</c:v>
                </c:pt>
                <c:pt idx="77">
                  <c:v>583.17959594683191</c:v>
                </c:pt>
                <c:pt idx="78">
                  <c:v>596.93039273337774</c:v>
                </c:pt>
                <c:pt idx="79">
                  <c:v>610.67460350167141</c:v>
                </c:pt>
                <c:pt idx="80">
                  <c:v>624.41239729750203</c:v>
                </c:pt>
                <c:pt idx="81">
                  <c:v>583.56165301259614</c:v>
                </c:pt>
                <c:pt idx="82">
                  <c:v>596.16663396016554</c:v>
                </c:pt>
                <c:pt idx="83">
                  <c:v>608.76607282046439</c:v>
                </c:pt>
                <c:pt idx="84">
                  <c:v>621.36010041874761</c:v>
                </c:pt>
                <c:pt idx="85">
                  <c:v>633.94884184664022</c:v>
                </c:pt>
                <c:pt idx="86">
                  <c:v>646.53241682467012</c:v>
                </c:pt>
                <c:pt idx="87">
                  <c:v>659.11094003512619</c:v>
                </c:pt>
                <c:pt idx="88">
                  <c:v>671.68452142819672</c:v>
                </c:pt>
                <c:pt idx="89">
                  <c:v>684.25326650400723</c:v>
                </c:pt>
                <c:pt idx="90">
                  <c:v>696.81727657286899</c:v>
                </c:pt>
                <c:pt idx="91">
                  <c:v>601.51251958281739</c:v>
                </c:pt>
                <c:pt idx="92">
                  <c:v>612.96467697950209</c:v>
                </c:pt>
                <c:pt idx="93">
                  <c:v>624.41239729750248</c:v>
                </c:pt>
                <c:pt idx="94">
                  <c:v>635.85577332565356</c:v>
                </c:pt>
                <c:pt idx="95">
                  <c:v>647.29489424172505</c:v>
                </c:pt>
                <c:pt idx="96">
                  <c:v>658.72984581562685</c:v>
                </c:pt>
                <c:pt idx="97">
                  <c:v>670.1607105977813</c:v>
                </c:pt>
                <c:pt idx="98">
                  <c:v>681.58756809397642</c:v>
                </c:pt>
                <c:pt idx="99">
                  <c:v>693.01049492789423</c:v>
                </c:pt>
                <c:pt idx="100">
                  <c:v>704.42956499236777</c:v>
                </c:pt>
                <c:pt idx="101">
                  <c:v>607.6208948171419</c:v>
                </c:pt>
                <c:pt idx="102">
                  <c:v>617.54429227660455</c:v>
                </c:pt>
                <c:pt idx="103">
                  <c:v>627.46438526884424</c:v>
                </c:pt>
                <c:pt idx="104">
                  <c:v>637.38123339273864</c:v>
                </c:pt>
                <c:pt idx="105">
                  <c:v>647.29489424172493</c:v>
                </c:pt>
                <c:pt idx="106">
                  <c:v>657.20542350161395</c:v>
                </c:pt>
                <c:pt idx="107">
                  <c:v>667.11287504220093</c:v>
                </c:pt>
                <c:pt idx="108">
                  <c:v>677.01730100315035</c:v>
                </c:pt>
                <c:pt idx="109">
                  <c:v>686.91875187459891</c:v>
                </c:pt>
                <c:pt idx="110">
                  <c:v>696.81727657286876</c:v>
                </c:pt>
                <c:pt idx="111">
                  <c:v>608.19348941446776</c:v>
                </c:pt>
                <c:pt idx="112">
                  <c:v>616.78107210210919</c:v>
                </c:pt>
                <c:pt idx="113">
                  <c:v>625.36617664098867</c:v>
                </c:pt>
                <c:pt idx="114">
                  <c:v>633.94884184664022</c:v>
                </c:pt>
                <c:pt idx="115">
                  <c:v>642.52910539795482</c:v>
                </c:pt>
                <c:pt idx="116">
                  <c:v>651.10700388552527</c:v>
                </c:pt>
                <c:pt idx="117">
                  <c:v>659.68257285730954</c:v>
                </c:pt>
                <c:pt idx="118">
                  <c:v>668.25584686179991</c:v>
                </c:pt>
                <c:pt idx="119">
                  <c:v>676.82685948885785</c:v>
                </c:pt>
                <c:pt idx="120">
                  <c:v>685.39564340837842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178.11868194628323</c:v>
                </c:pt>
                <c:pt idx="22">
                  <c:v>191.29429384952866</c:v>
                </c:pt>
                <c:pt idx="23">
                  <c:v>204.4487812295192</c:v>
                </c:pt>
                <c:pt idx="24">
                  <c:v>217.58369540679928</c:v>
                </c:pt>
                <c:pt idx="25">
                  <c:v>230.70038494007625</c:v>
                </c:pt>
                <c:pt idx="26">
                  <c:v>238.56214878630877</c:v>
                </c:pt>
                <c:pt idx="27">
                  <c:v>246.4180109567441</c:v>
                </c:pt>
                <c:pt idx="28">
                  <c:v>254.26818635687155</c:v>
                </c:pt>
                <c:pt idx="29">
                  <c:v>262.11287552319567</c:v>
                </c:pt>
                <c:pt idx="30">
                  <c:v>269.95226599479992</c:v>
                </c:pt>
                <c:pt idx="31">
                  <c:v>281.26682931414069</c:v>
                </c:pt>
                <c:pt idx="32">
                  <c:v>292.57119286733285</c:v>
                </c:pt>
                <c:pt idx="33">
                  <c:v>303.86580648514376</c:v>
                </c:pt>
                <c:pt idx="34">
                  <c:v>315.15108381085605</c:v>
                </c:pt>
                <c:pt idx="35">
                  <c:v>326.42740643086154</c:v>
                </c:pt>
                <c:pt idx="36">
                  <c:v>289.96337472940394</c:v>
                </c:pt>
                <c:pt idx="37">
                  <c:v>314.28330815365268</c:v>
                </c:pt>
                <c:pt idx="38">
                  <c:v>338.56152844098636</c:v>
                </c:pt>
                <c:pt idx="39">
                  <c:v>362.80144525672205</c:v>
                </c:pt>
                <c:pt idx="40">
                  <c:v>387.00597559413131</c:v>
                </c:pt>
                <c:pt idx="41">
                  <c:v>351.11892985232748</c:v>
                </c:pt>
                <c:pt idx="42">
                  <c:v>375.77238986983861</c:v>
                </c:pt>
                <c:pt idx="43">
                  <c:v>400.39063273702004</c:v>
                </c:pt>
                <c:pt idx="44">
                  <c:v>424.97612632602926</c:v>
                </c:pt>
                <c:pt idx="45">
                  <c:v>449.53102985794345</c:v>
                </c:pt>
                <c:pt idx="46">
                  <c:v>412.90299192267588</c:v>
                </c:pt>
                <c:pt idx="47">
                  <c:v>436.61108755732977</c:v>
                </c:pt>
                <c:pt idx="48">
                  <c:v>460.29157019967283</c:v>
                </c:pt>
                <c:pt idx="49">
                  <c:v>483.94605890429222</c:v>
                </c:pt>
                <c:pt idx="50">
                  <c:v>507.57600167435913</c:v>
                </c:pt>
                <c:pt idx="51">
                  <c:v>469.32626959947976</c:v>
                </c:pt>
                <c:pt idx="52">
                  <c:v>491.2524169904512</c:v>
                </c:pt>
                <c:pt idx="53">
                  <c:v>513.15781891487723</c:v>
                </c:pt>
                <c:pt idx="54">
                  <c:v>535.04348473955247</c:v>
                </c:pt>
                <c:pt idx="55">
                  <c:v>556.91033459423932</c:v>
                </c:pt>
                <c:pt idx="56">
                  <c:v>517.02140203717192</c:v>
                </c:pt>
                <c:pt idx="57">
                  <c:v>537.18811127897254</c:v>
                </c:pt>
                <c:pt idx="58">
                  <c:v>557.3389140541675</c:v>
                </c:pt>
                <c:pt idx="59">
                  <c:v>577.47446592353492</c:v>
                </c:pt>
                <c:pt idx="60">
                  <c:v>597.59537304263756</c:v>
                </c:pt>
                <c:pt idx="61">
                  <c:v>556.48174822611566</c:v>
                </c:pt>
                <c:pt idx="62">
                  <c:v>575.33309228627388</c:v>
                </c:pt>
                <c:pt idx="63">
                  <c:v>594.17154727265381</c:v>
                </c:pt>
                <c:pt idx="64">
                  <c:v>612.99757903900297</c:v>
                </c:pt>
                <c:pt idx="65">
                  <c:v>631.81162251582634</c:v>
                </c:pt>
                <c:pt idx="66">
                  <c:v>589.46311584770126</c:v>
                </c:pt>
                <c:pt idx="67">
                  <c:v>607.00879854794721</c:v>
                </c:pt>
                <c:pt idx="68">
                  <c:v>624.54395486132682</c:v>
                </c:pt>
                <c:pt idx="69">
                  <c:v>642.06892172602954</c:v>
                </c:pt>
                <c:pt idx="70">
                  <c:v>659.58401620212521</c:v>
                </c:pt>
                <c:pt idx="71">
                  <c:v>615.9915133861864</c:v>
                </c:pt>
                <c:pt idx="72">
                  <c:v>632.23907832556154</c:v>
                </c:pt>
                <c:pt idx="73">
                  <c:v>648.47801217956464</c:v>
                </c:pt>
                <c:pt idx="74">
                  <c:v>664.70856137271744</c:v>
                </c:pt>
                <c:pt idx="75">
                  <c:v>680.9309593231809</c:v>
                </c:pt>
                <c:pt idx="76">
                  <c:v>636.51330847982433</c:v>
                </c:pt>
                <c:pt idx="77">
                  <c:v>651.89565867529109</c:v>
                </c:pt>
                <c:pt idx="78">
                  <c:v>667.27052872062893</c:v>
                </c:pt>
                <c:pt idx="79">
                  <c:v>682.63811513058749</c:v>
                </c:pt>
                <c:pt idx="80">
                  <c:v>697.99860485695478</c:v>
                </c:pt>
                <c:pt idx="81">
                  <c:v>652.32283847201813</c:v>
                </c:pt>
                <c:pt idx="82">
                  <c:v>666.41656212645091</c:v>
                </c:pt>
                <c:pt idx="83">
                  <c:v>680.50415665378762</c:v>
                </c:pt>
                <c:pt idx="84">
                  <c:v>694.5857667368133</c:v>
                </c:pt>
                <c:pt idx="85">
                  <c:v>708.66153071735289</c:v>
                </c:pt>
                <c:pt idx="86">
                  <c:v>722.73158099720615</c:v>
                </c:pt>
                <c:pt idx="87">
                  <c:v>736.79604440626429</c:v>
                </c:pt>
                <c:pt idx="88">
                  <c:v>750.85504254107491</c:v>
                </c:pt>
                <c:pt idx="89">
                  <c:v>764.90869207675405</c:v>
                </c:pt>
                <c:pt idx="90">
                  <c:v>778.95710505480304</c:v>
                </c:pt>
                <c:pt idx="91">
                  <c:v>672.3938573945203</c:v>
                </c:pt>
                <c:pt idx="92">
                  <c:v>685.19868466155037</c:v>
                </c:pt>
                <c:pt idx="93">
                  <c:v>697.99860485695535</c:v>
                </c:pt>
                <c:pt idx="94">
                  <c:v>710.79372059813124</c:v>
                </c:pt>
                <c:pt idx="95">
                  <c:v>723.58413050891011</c:v>
                </c:pt>
                <c:pt idx="96">
                  <c:v>736.36992944429028</c:v>
                </c:pt>
                <c:pt idx="97">
                  <c:v>749.15120869876171</c:v>
                </c:pt>
                <c:pt idx="98">
                  <c:v>761.9280561996801</c:v>
                </c:pt>
                <c:pt idx="99">
                  <c:v>774.7005566870115</c:v>
                </c:pt>
                <c:pt idx="100">
                  <c:v>787.46879188061018</c:v>
                </c:pt>
                <c:pt idx="101">
                  <c:v>679.22371566061395</c:v>
                </c:pt>
                <c:pt idx="102">
                  <c:v>690.31923574953737</c:v>
                </c:pt>
                <c:pt idx="103">
                  <c:v>701.41110134898781</c:v>
                </c:pt>
                <c:pt idx="104">
                  <c:v>712.49937837079108</c:v>
                </c:pt>
                <c:pt idx="105">
                  <c:v>723.58413050890988</c:v>
                </c:pt>
                <c:pt idx="106">
                  <c:v>734.66541934761608</c:v>
                </c:pt>
                <c:pt idx="107">
                  <c:v>745.74330446280726</c:v>
                </c:pt>
                <c:pt idx="108">
                  <c:v>756.81784351698741</c:v>
                </c:pt>
                <c:pt idx="109">
                  <c:v>767.88909234840855</c:v>
                </c:pt>
                <c:pt idx="110">
                  <c:v>778.95710505480292</c:v>
                </c:pt>
                <c:pt idx="111">
                  <c:v>679.86394234558043</c:v>
                </c:pt>
                <c:pt idx="112">
                  <c:v>689.46586480458461</c:v>
                </c:pt>
                <c:pt idx="113">
                  <c:v>699.06504661949918</c:v>
                </c:pt>
                <c:pt idx="114">
                  <c:v>708.66153071735289</c:v>
                </c:pt>
                <c:pt idx="115">
                  <c:v>718.25535876813422</c:v>
                </c:pt>
                <c:pt idx="116">
                  <c:v>727.84657123825593</c:v>
                </c:pt>
                <c:pt idx="117">
                  <c:v>737.43520744105763</c:v>
                </c:pt>
                <c:pt idx="118">
                  <c:v>747.02130558454337</c:v>
                </c:pt>
                <c:pt idx="119">
                  <c:v>756.60490281654654</c:v>
                </c:pt>
                <c:pt idx="120">
                  <c:v>766.18603526748632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2.9040762087142453</c:v>
                </c:pt>
                <c:pt idx="2">
                  <c:v>3.4773202748427425</c:v>
                </c:pt>
                <c:pt idx="3">
                  <c:v>4.1641381375843167</c:v>
                </c:pt>
                <c:pt idx="4">
                  <c:v>4.9871099734380619</c:v>
                </c:pt>
                <c:pt idx="5">
                  <c:v>5.9733198374868941</c:v>
                </c:pt>
                <c:pt idx="6">
                  <c:v>7.1552567237350262</c:v>
                </c:pt>
                <c:pt idx="7">
                  <c:v>8.5718963956172569</c:v>
                </c:pt>
                <c:pt idx="8">
                  <c:v>10.27000034510241</c:v>
                </c:pt>
                <c:pt idx="9">
                  <c:v>12.305675568602934</c:v>
                </c:pt>
                <c:pt idx="10">
                  <c:v>14.746247658482027</c:v>
                </c:pt>
                <c:pt idx="11">
                  <c:v>17.672510300043498</c:v>
                </c:pt>
                <c:pt idx="12">
                  <c:v>21.181426995993817</c:v>
                </c:pt>
                <c:pt idx="13">
                  <c:v>25.389376147088512</c:v>
                </c:pt>
                <c:pt idx="14">
                  <c:v>30.436049020586243</c:v>
                </c:pt>
                <c:pt idx="15">
                  <c:v>36.489132264635835</c:v>
                </c:pt>
                <c:pt idx="16">
                  <c:v>43.749933231556859</c:v>
                </c:pt>
                <c:pt idx="17">
                  <c:v>52.46013836410372</c:v>
                </c:pt>
                <c:pt idx="18">
                  <c:v>62.909933368561269</c:v>
                </c:pt>
                <c:pt idx="19">
                  <c:v>75.447760161097548</c:v>
                </c:pt>
                <c:pt idx="20">
                  <c:v>90.49204121037269</c:v>
                </c:pt>
                <c:pt idx="21">
                  <c:v>102.21534438484889</c:v>
                </c:pt>
                <c:pt idx="22">
                  <c:v>113.90535303981146</c:v>
                </c:pt>
                <c:pt idx="23">
                  <c:v>125.56597116596221</c:v>
                </c:pt>
                <c:pt idx="24">
                  <c:v>137.20031631600065</c:v>
                </c:pt>
                <c:pt idx="25">
                  <c:v>148.81093286135922</c:v>
                </c:pt>
                <c:pt idx="26">
                  <c:v>159.98639323229057</c:v>
                </c:pt>
                <c:pt idx="27">
                  <c:v>171.14336016681935</c:v>
                </c:pt>
                <c:pt idx="28">
                  <c:v>182.28321024127104</c:v>
                </c:pt>
                <c:pt idx="29">
                  <c:v>193.40713781232171</c:v>
                </c:pt>
                <c:pt idx="30">
                  <c:v>204.51618846220973</c:v>
                </c:pt>
                <c:pt idx="31">
                  <c:v>212.32525328046404</c:v>
                </c:pt>
                <c:pt idx="32">
                  <c:v>220.1277002997974</c:v>
                </c:pt>
                <c:pt idx="33">
                  <c:v>227.92379747513769</c:v>
                </c:pt>
                <c:pt idx="34">
                  <c:v>235.7137929096485</c:v>
                </c:pt>
                <c:pt idx="35">
                  <c:v>243.49791694752579</c:v>
                </c:pt>
                <c:pt idx="36">
                  <c:v>217.66446793584771</c:v>
                </c:pt>
                <c:pt idx="37">
                  <c:v>234.89407374203219</c:v>
                </c:pt>
                <c:pt idx="38">
                  <c:v>252.09484919970501</c:v>
                </c:pt>
                <c:pt idx="39">
                  <c:v>269.26903825113033</c:v>
                </c:pt>
                <c:pt idx="40">
                  <c:v>286.4185751166749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329.19511576502646</c:v>
                </c:pt>
                <c:pt idx="46">
                  <c:v>303.13762323931286</c:v>
                </c:pt>
                <c:pt idx="47">
                  <c:v>319.83616118961032</c:v>
                </c:pt>
                <c:pt idx="48">
                  <c:v>336.51541035034978</c:v>
                </c:pt>
                <c:pt idx="49">
                  <c:v>353.17646115055004</c:v>
                </c:pt>
                <c:pt idx="50">
                  <c:v>369.82029275047876</c:v>
                </c:pt>
                <c:pt idx="51">
                  <c:v>343.42580104652302</c:v>
                </c:pt>
                <c:pt idx="52">
                  <c:v>359.67361293503609</c:v>
                </c:pt>
                <c:pt idx="53">
                  <c:v>375.9053740333265</c:v>
                </c:pt>
                <c:pt idx="54">
                  <c:v>392.12187483767121</c:v>
                </c:pt>
                <c:pt idx="55">
                  <c:v>408.32383513861078</c:v>
                </c:pt>
                <c:pt idx="56">
                  <c:v>381.17737444442338</c:v>
                </c:pt>
                <c:pt idx="57">
                  <c:v>396.57883448700221</c:v>
                </c:pt>
                <c:pt idx="58">
                  <c:v>411.96734072289183</c:v>
                </c:pt>
                <c:pt idx="59">
                  <c:v>427.34344505663171</c:v>
                </c:pt>
                <c:pt idx="60">
                  <c:v>442.70765644555928</c:v>
                </c:pt>
                <c:pt idx="61">
                  <c:v>414.80069721135334</c:v>
                </c:pt>
                <c:pt idx="62">
                  <c:v>429.36572078685384</c:v>
                </c:pt>
                <c:pt idx="63">
                  <c:v>443.9201281174773</c:v>
                </c:pt>
                <c:pt idx="64">
                  <c:v>458.46431622225504</c:v>
                </c:pt>
                <c:pt idx="65">
                  <c:v>472.99865488119258</c:v>
                </c:pt>
                <c:pt idx="66">
                  <c:v>444.32426956358057</c:v>
                </c:pt>
                <c:pt idx="67">
                  <c:v>458.06044564731332</c:v>
                </c:pt>
                <c:pt idx="68">
                  <c:v>471.78782761031488</c:v>
                </c:pt>
                <c:pt idx="69">
                  <c:v>485.50670733159899</c:v>
                </c:pt>
                <c:pt idx="70">
                  <c:v>499.2173588530552</c:v>
                </c:pt>
                <c:pt idx="71">
                  <c:v>469.36597432654622</c:v>
                </c:pt>
                <c:pt idx="72">
                  <c:v>481.87605086617651</c:v>
                </c:pt>
                <c:pt idx="73">
                  <c:v>494.37922843874412</c:v>
                </c:pt>
                <c:pt idx="74">
                  <c:v>506.87570609003552</c:v>
                </c:pt>
                <c:pt idx="75">
                  <c:v>519.36567225225349</c:v>
                </c:pt>
                <c:pt idx="76">
                  <c:v>489.13678734186618</c:v>
                </c:pt>
                <c:pt idx="77">
                  <c:v>501.23295290548805</c:v>
                </c:pt>
                <c:pt idx="78">
                  <c:v>513.32294183422573</c:v>
                </c:pt>
                <c:pt idx="79">
                  <c:v>525.40692008667054</c:v>
                </c:pt>
                <c:pt idx="80">
                  <c:v>537.48504536607982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148.67510600285965</c:v>
                </c:pt>
                <c:pt idx="22">
                  <c:v>159.66774547880379</c:v>
                </c:pt>
                <c:pt idx="23">
                  <c:v>170.6424524976421</c:v>
                </c:pt>
                <c:pt idx="24">
                  <c:v>181.60054396431892</c:v>
                </c:pt>
                <c:pt idx="25">
                  <c:v>192.54316466070134</c:v>
                </c:pt>
                <c:pt idx="26">
                  <c:v>199.10173381956614</c:v>
                </c:pt>
                <c:pt idx="27">
                  <c:v>205.6552930879445</c:v>
                </c:pt>
                <c:pt idx="28">
                  <c:v>212.20402489757342</c:v>
                </c:pt>
                <c:pt idx="29">
                  <c:v>218.7480994824609</c:v>
                </c:pt>
                <c:pt idx="30">
                  <c:v>225.28767604319728</c:v>
                </c:pt>
                <c:pt idx="31">
                  <c:v>234.72609044942158</c:v>
                </c:pt>
                <c:pt idx="32">
                  <c:v>244.15584634691925</c:v>
                </c:pt>
                <c:pt idx="33">
                  <c:v>253.57732559381984</c:v>
                </c:pt>
                <c:pt idx="34">
                  <c:v>262.99087932895537</c:v>
                </c:pt>
                <c:pt idx="35">
                  <c:v>272.3968314782922</c:v>
                </c:pt>
                <c:pt idx="36">
                  <c:v>241.98049682860915</c:v>
                </c:pt>
                <c:pt idx="37">
                  <c:v>262.26703366253611</c:v>
                </c:pt>
                <c:pt idx="38">
                  <c:v>282.5181605120834</c:v>
                </c:pt>
                <c:pt idx="39">
                  <c:v>302.73677181781721</c:v>
                </c:pt>
                <c:pt idx="40">
                  <c:v>322.92534379451808</c:v>
                </c:pt>
                <c:pt idx="41">
                  <c:v>292.99240696074872</c:v>
                </c:pt>
                <c:pt idx="42">
                  <c:v>313.55567069110151</c:v>
                </c:pt>
                <c:pt idx="43">
                  <c:v>334.08903883374984</c:v>
                </c:pt>
                <c:pt idx="44">
                  <c:v>354.5946063477648</c:v>
                </c:pt>
                <c:pt idx="45">
                  <c:v>375.07420618051657</c:v>
                </c:pt>
                <c:pt idx="46">
                  <c:v>344.52504925832574</c:v>
                </c:pt>
                <c:pt idx="47">
                  <c:v>364.29860280650661</c:v>
                </c:pt>
                <c:pt idx="48">
                  <c:v>384.04871588248352</c:v>
                </c:pt>
                <c:pt idx="49">
                  <c:v>403.77676289014653</c:v>
                </c:pt>
                <c:pt idx="50">
                  <c:v>423.48397302905875</c:v>
                </c:pt>
                <c:pt idx="51">
                  <c:v>391.58377731754786</c:v>
                </c:pt>
                <c:pt idx="52">
                  <c:v>409.87025351058577</c:v>
                </c:pt>
                <c:pt idx="53">
                  <c:v>428.13911902505447</c:v>
                </c:pt>
                <c:pt idx="54">
                  <c:v>446.39123070522629</c:v>
                </c:pt>
                <c:pt idx="55">
                  <c:v>464.62736964269249</c:v>
                </c:pt>
                <c:pt idx="56">
                  <c:v>431.36127413252461</c:v>
                </c:pt>
                <c:pt idx="57">
                  <c:v>448.17978162908167</c:v>
                </c:pt>
                <c:pt idx="58">
                  <c:v>464.98478623960096</c:v>
                </c:pt>
                <c:pt idx="59">
                  <c:v>481.77684446495101</c:v>
                </c:pt>
                <c:pt idx="60">
                  <c:v>498.55647086626504</c:v>
                </c:pt>
                <c:pt idx="61">
                  <c:v>464.26994718146648</c:v>
                </c:pt>
                <c:pt idx="62">
                  <c:v>479.99105490653488</c:v>
                </c:pt>
                <c:pt idx="63">
                  <c:v>495.70122118881301</c:v>
                </c:pt>
                <c:pt idx="64">
                  <c:v>511.40084148822433</c:v>
                </c:pt>
                <c:pt idx="65">
                  <c:v>527.09028501417185</c:v>
                </c:pt>
                <c:pt idx="66">
                  <c:v>491.77468328265189</c:v>
                </c:pt>
                <c:pt idx="67">
                  <c:v>506.40662874127946</c:v>
                </c:pt>
                <c:pt idx="68">
                  <c:v>521.0296384251825</c:v>
                </c:pt>
                <c:pt idx="69">
                  <c:v>535.64399835878703</c:v>
                </c:pt>
                <c:pt idx="70">
                  <c:v>550.24997769212462</c:v>
                </c:pt>
                <c:pt idx="71">
                  <c:v>513.89756085284444</c:v>
                </c:pt>
                <c:pt idx="72">
                  <c:v>527.44674775244664</c:v>
                </c:pt>
                <c:pt idx="73">
                  <c:v>540.98860778524408</c:v>
                </c:pt>
                <c:pt idx="74">
                  <c:v>554.52335013925483</c:v>
                </c:pt>
                <c:pt idx="75">
                  <c:v>568.05117296149103</c:v>
                </c:pt>
                <c:pt idx="76">
                  <c:v>531.01109674664519</c:v>
                </c:pt>
                <c:pt idx="77">
                  <c:v>543.83861192085681</c:v>
                </c:pt>
                <c:pt idx="78">
                  <c:v>556.65977724898153</c:v>
                </c:pt>
                <c:pt idx="79">
                  <c:v>569.47475955098787</c:v>
                </c:pt>
                <c:pt idx="80">
                  <c:v>582.28371752891599</c:v>
                </c:pt>
                <c:pt idx="81">
                  <c:v>544.19484035365792</c:v>
                </c:pt>
                <c:pt idx="82">
                  <c:v>555.9476539976614</c:v>
                </c:pt>
                <c:pt idx="83">
                  <c:v>567.69526466939362</c:v>
                </c:pt>
                <c:pt idx="84">
                  <c:v>579.43779518903818</c:v>
                </c:pt>
                <c:pt idx="85">
                  <c:v>591.17536299398319</c:v>
                </c:pt>
                <c:pt idx="86">
                  <c:v>602.90808047917312</c:v>
                </c:pt>
                <c:pt idx="87">
                  <c:v>614.63605530959728</c:v>
                </c:pt>
                <c:pt idx="88">
                  <c:v>626.35939070769712</c:v>
                </c:pt>
                <c:pt idx="89">
                  <c:v>638.07818571814732</c:v>
                </c:pt>
                <c:pt idx="90">
                  <c:v>649.79253545217819</c:v>
                </c:pt>
                <c:pt idx="91">
                  <c:v>560.93211702073984</c:v>
                </c:pt>
                <c:pt idx="92">
                  <c:v>571.61000006387781</c:v>
                </c:pt>
                <c:pt idx="93">
                  <c:v>582.28371752891621</c:v>
                </c:pt>
                <c:pt idx="94">
                  <c:v>592.95335652703091</c:v>
                </c:pt>
                <c:pt idx="95">
                  <c:v>603.61900077928908</c:v>
                </c:pt>
                <c:pt idx="96">
                  <c:v>614.2807308074224</c:v>
                </c:pt>
                <c:pt idx="97">
                  <c:v>624.93862411067153</c:v>
                </c:pt>
                <c:pt idx="98">
                  <c:v>635.59275532994275</c:v>
                </c:pt>
                <c:pt idx="99">
                  <c:v>646.24319640038755</c:v>
                </c:pt>
                <c:pt idx="100">
                  <c:v>656.8900166934078</c:v>
                </c:pt>
                <c:pt idx="101">
                  <c:v>566.62751179237512</c:v>
                </c:pt>
                <c:pt idx="102">
                  <c:v>575.8799819627751</c:v>
                </c:pt>
                <c:pt idx="103">
                  <c:v>585.12934986312951</c:v>
                </c:pt>
                <c:pt idx="104">
                  <c:v>594.37567144551747</c:v>
                </c:pt>
                <c:pt idx="105">
                  <c:v>603.61900077928885</c:v>
                </c:pt>
                <c:pt idx="106">
                  <c:v>612.85939014289386</c:v>
                </c:pt>
                <c:pt idx="107">
                  <c:v>622.09689010988586</c:v>
                </c:pt>
                <c:pt idx="108">
                  <c:v>631.33154962955405</c:v>
                </c:pt>
                <c:pt idx="109">
                  <c:v>640.56341610259176</c:v>
                </c:pt>
                <c:pt idx="110">
                  <c:v>649.79253545217807</c:v>
                </c:pt>
                <c:pt idx="111">
                  <c:v>567.16139348415561</c:v>
                </c:pt>
                <c:pt idx="112">
                  <c:v>575.16836435383357</c:v>
                </c:pt>
                <c:pt idx="113">
                  <c:v>583.17300871029317</c:v>
                </c:pt>
                <c:pt idx="114">
                  <c:v>591.17536299398319</c:v>
                </c:pt>
                <c:pt idx="115">
                  <c:v>599.17546257825984</c:v>
                </c:pt>
                <c:pt idx="116">
                  <c:v>607.17334181477202</c:v>
                </c:pt>
                <c:pt idx="117">
                  <c:v>615.16903407633299</c:v>
                </c:pt>
                <c:pt idx="118">
                  <c:v>623.16257179744491</c:v>
                </c:pt>
                <c:pt idx="119">
                  <c:v>631.15398651263911</c:v>
                </c:pt>
                <c:pt idx="120">
                  <c:v>639.14330889277016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2.1350786004664535</c:v>
                </c:pt>
                <c:pt idx="2">
                  <c:v>2.6921717481430694</c:v>
                </c:pt>
                <c:pt idx="3">
                  <c:v>3.3951979925602132</c:v>
                </c:pt>
                <c:pt idx="4">
                  <c:v>4.2825271299889929</c:v>
                </c:pt>
                <c:pt idx="5">
                  <c:v>5.4026523830368793</c:v>
                </c:pt>
                <c:pt idx="6">
                  <c:v>6.8168699269517186</c:v>
                </c:pt>
                <c:pt idx="7">
                  <c:v>8.6026697455530794</c:v>
                </c:pt>
                <c:pt idx="8">
                  <c:v>10.858027163519033</c:v>
                </c:pt>
                <c:pt idx="9">
                  <c:v>13.706834927621495</c:v>
                </c:pt>
                <c:pt idx="10">
                  <c:v>17.305779747951522</c:v>
                </c:pt>
                <c:pt idx="11">
                  <c:v>21.853048382275563</c:v>
                </c:pt>
                <c:pt idx="12">
                  <c:v>27.599351245605177</c:v>
                </c:pt>
                <c:pt idx="13">
                  <c:v>34.861881979556053</c:v>
                </c:pt>
                <c:pt idx="14">
                  <c:v>44.041996814142045</c:v>
                </c:pt>
                <c:pt idx="15">
                  <c:v>55.647607276796499</c:v>
                </c:pt>
                <c:pt idx="16">
                  <c:v>68.18426908822488</c:v>
                </c:pt>
                <c:pt idx="17">
                  <c:v>80.661435952614355</c:v>
                </c:pt>
                <c:pt idx="18">
                  <c:v>93.089646942909667</c:v>
                </c:pt>
                <c:pt idx="19">
                  <c:v>105.47637761115737</c:v>
                </c:pt>
                <c:pt idx="20">
                  <c:v>117.82719554138386</c:v>
                </c:pt>
                <c:pt idx="21">
                  <c:v>127.85668337074144</c:v>
                </c:pt>
                <c:pt idx="22">
                  <c:v>137.86711899238378</c:v>
                </c:pt>
                <c:pt idx="23">
                  <c:v>147.86008251943295</c:v>
                </c:pt>
                <c:pt idx="24">
                  <c:v>157.83692263801234</c:v>
                </c:pt>
                <c:pt idx="25">
                  <c:v>167.79880331835713</c:v>
                </c:pt>
                <c:pt idx="26">
                  <c:v>176.61050837522285</c:v>
                </c:pt>
                <c:pt idx="27">
                  <c:v>185.41189868043068</c:v>
                </c:pt>
                <c:pt idx="28">
                  <c:v>194.20353350509905</c:v>
                </c:pt>
                <c:pt idx="29">
                  <c:v>202.98591727826874</c:v>
                </c:pt>
                <c:pt idx="30">
                  <c:v>211.75950715739978</c:v>
                </c:pt>
                <c:pt idx="31">
                  <c:v>187.3979404339226</c:v>
                </c:pt>
                <c:pt idx="32">
                  <c:v>202.70275417831499</c:v>
                </c:pt>
                <c:pt idx="33">
                  <c:v>217.98082037329854</c:v>
                </c:pt>
                <c:pt idx="34">
                  <c:v>233.23427816301728</c:v>
                </c:pt>
                <c:pt idx="35">
                  <c:v>248.46496383915087</c:v>
                </c:pt>
                <c:pt idx="36">
                  <c:v>222.50284096633973</c:v>
                </c:pt>
                <c:pt idx="37">
                  <c:v>236.05644310479695</c:v>
                </c:pt>
                <c:pt idx="38">
                  <c:v>249.59230205465977</c:v>
                </c:pt>
                <c:pt idx="39">
                  <c:v>263.11151589765069</c:v>
                </c:pt>
                <c:pt idx="40">
                  <c:v>276.61506059958816</c:v>
                </c:pt>
                <c:pt idx="41">
                  <c:v>248.7468092558544</c:v>
                </c:pt>
                <c:pt idx="42">
                  <c:v>260.29633594452861</c:v>
                </c:pt>
                <c:pt idx="43">
                  <c:v>271.83429043682321</c:v>
                </c:pt>
                <c:pt idx="44">
                  <c:v>283.36123337871345</c:v>
                </c:pt>
                <c:pt idx="45">
                  <c:v>294.87767605242146</c:v>
                </c:pt>
                <c:pt idx="46">
                  <c:v>274.08429806422936</c:v>
                </c:pt>
                <c:pt idx="47">
                  <c:v>284.20425004649184</c:v>
                </c:pt>
                <c:pt idx="48">
                  <c:v>294.31613475104683</c:v>
                </c:pt>
                <c:pt idx="49">
                  <c:v>304.42026859998879</c:v>
                </c:pt>
                <c:pt idx="50">
                  <c:v>314.51694528188881</c:v>
                </c:pt>
                <c:pt idx="51">
                  <c:v>299.08847869495389</c:v>
                </c:pt>
                <c:pt idx="52">
                  <c:v>307.50614242847166</c:v>
                </c:pt>
                <c:pt idx="53">
                  <c:v>315.91868734548342</c:v>
                </c:pt>
                <c:pt idx="54">
                  <c:v>324.32626909194659</c:v>
                </c:pt>
                <c:pt idx="55">
                  <c:v>332.72903457884439</c:v>
                </c:pt>
                <c:pt idx="56">
                  <c:v>321.80450679845353</c:v>
                </c:pt>
                <c:pt idx="57">
                  <c:v>329.08841844950109</c:v>
                </c:pt>
                <c:pt idx="58">
                  <c:v>336.36877249407797</c:v>
                </c:pt>
                <c:pt idx="59">
                  <c:v>343.64565686779611</c:v>
                </c:pt>
                <c:pt idx="60">
                  <c:v>350.91915547472735</c:v>
                </c:pt>
                <c:pt idx="61">
                  <c:v>340.28752055444613</c:v>
                </c:pt>
                <c:pt idx="62">
                  <c:v>346.44355255688691</c:v>
                </c:pt>
                <c:pt idx="63">
                  <c:v>352.59718287003443</c:v>
                </c:pt>
                <c:pt idx="64">
                  <c:v>358.74845936750694</c:v>
                </c:pt>
                <c:pt idx="65">
                  <c:v>364.89742814550755</c:v>
                </c:pt>
                <c:pt idx="66">
                  <c:v>354.83428056807503</c:v>
                </c:pt>
                <c:pt idx="67">
                  <c:v>360.14615329066805</c:v>
                </c:pt>
                <c:pt idx="68">
                  <c:v>365.45631242252239</c:v>
                </c:pt>
                <c:pt idx="69">
                  <c:v>370.76478640470503</c:v>
                </c:pt>
                <c:pt idx="70">
                  <c:v>376.07160279648701</c:v>
                </c:pt>
                <c:pt idx="71">
                  <c:v>366.85344149976572</c:v>
                </c:pt>
                <c:pt idx="72">
                  <c:v>371.60281428696067</c:v>
                </c:pt>
                <c:pt idx="73">
                  <c:v>376.35086351579002</c:v>
                </c:pt>
                <c:pt idx="74">
                  <c:v>381.09760826078065</c:v>
                </c:pt>
                <c:pt idx="75">
                  <c:v>385.843067081963</c:v>
                </c:pt>
                <c:pt idx="76">
                  <c:v>377.18861860717408</c:v>
                </c:pt>
                <c:pt idx="77">
                  <c:v>381.09760826078065</c:v>
                </c:pt>
                <c:pt idx="78">
                  <c:v>385.00572580895852</c:v>
                </c:pt>
                <c:pt idx="79">
                  <c:v>388.9129813652267</c:v>
                </c:pt>
                <c:pt idx="80">
                  <c:v>392.81938482304832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3.4529372293899008</c:v>
                </c:pt>
                <c:pt idx="2">
                  <c:v>4.134922909140152</c:v>
                </c:pt>
                <c:pt idx="3">
                  <c:v>4.9521016093783672</c:v>
                </c:pt>
                <c:pt idx="4">
                  <c:v>5.9313656670984827</c:v>
                </c:pt>
                <c:pt idx="5">
                  <c:v>7.1049739941731884</c:v>
                </c:pt>
                <c:pt idx="6">
                  <c:v>8.5116262097602071</c:v>
                </c:pt>
                <c:pt idx="7">
                  <c:v>10.197752352696471</c:v>
                </c:pt>
                <c:pt idx="8">
                  <c:v>12.219061549844341</c:v>
                </c:pt>
                <c:pt idx="9">
                  <c:v>14.642401763842701</c:v>
                </c:pt>
                <c:pt idx="10">
                  <c:v>17.547993258946569</c:v>
                </c:pt>
                <c:pt idx="11">
                  <c:v>21.032111064518954</c:v>
                </c:pt>
                <c:pt idx="12">
                  <c:v>25.210306912759112</c:v>
                </c:pt>
                <c:pt idx="13">
                  <c:v>30.221279398233865</c:v>
                </c:pt>
                <c:pt idx="14">
                  <c:v>36.23152307461509</c:v>
                </c:pt>
                <c:pt idx="15">
                  <c:v>43.440913618031878</c:v>
                </c:pt>
                <c:pt idx="16">
                  <c:v>52.089417948050851</c:v>
                </c:pt>
                <c:pt idx="17">
                  <c:v>62.465156390978699</c:v>
                </c:pt>
                <c:pt idx="18">
                  <c:v>74.91408990067265</c:v>
                </c:pt>
                <c:pt idx="19">
                  <c:v>89.851660589142838</c:v>
                </c:pt>
                <c:pt idx="20">
                  <c:v>107.77678025171018</c:v>
                </c:pt>
                <c:pt idx="21">
                  <c:v>121.74585128444294</c:v>
                </c:pt>
                <c:pt idx="22">
                  <c:v>135.67590230605916</c:v>
                </c:pt>
                <c:pt idx="23">
                  <c:v>149.5715086569696</c:v>
                </c:pt>
                <c:pt idx="24">
                  <c:v>163.43632399978199</c:v>
                </c:pt>
                <c:pt idx="25">
                  <c:v>177.27333024872806</c:v>
                </c:pt>
                <c:pt idx="26">
                  <c:v>190.59214261950831</c:v>
                </c:pt>
                <c:pt idx="27">
                  <c:v>203.88928133034233</c:v>
                </c:pt>
                <c:pt idx="28">
                  <c:v>217.16635968048513</c:v>
                </c:pt>
                <c:pt idx="29">
                  <c:v>230.42477741414237</c:v>
                </c:pt>
                <c:pt idx="30">
                  <c:v>243.66575991708831</c:v>
                </c:pt>
                <c:pt idx="31">
                  <c:v>252.97362594481328</c:v>
                </c:pt>
                <c:pt idx="32">
                  <c:v>262.27373614391433</c:v>
                </c:pt>
                <c:pt idx="33">
                  <c:v>271.56640454818501</c:v>
                </c:pt>
                <c:pt idx="34">
                  <c:v>280.85192192584606</c:v>
                </c:pt>
                <c:pt idx="35">
                  <c:v>290.13055823223004</c:v>
                </c:pt>
                <c:pt idx="36">
                  <c:v>259.33767759130302</c:v>
                </c:pt>
                <c:pt idx="37">
                  <c:v>279.87482760648749</c:v>
                </c:pt>
                <c:pt idx="38">
                  <c:v>300.37818946266407</c:v>
                </c:pt>
                <c:pt idx="39">
                  <c:v>320.8503929815983</c:v>
                </c:pt>
                <c:pt idx="40">
                  <c:v>341.29370500183654</c:v>
                </c:pt>
                <c:pt idx="41">
                  <c:v>310.61803673581051</c:v>
                </c:pt>
                <c:pt idx="42">
                  <c:v>331.07553091004485</c:v>
                </c:pt>
                <c:pt idx="43">
                  <c:v>351.50515324795123</c:v>
                </c:pt>
                <c:pt idx="44">
                  <c:v>371.90875069809863</c:v>
                </c:pt>
                <c:pt idx="45">
                  <c:v>392.28795108310914</c:v>
                </c:pt>
                <c:pt idx="46">
                  <c:v>361.22429321022861</c:v>
                </c:pt>
                <c:pt idx="47">
                  <c:v>381.13084421476816</c:v>
                </c:pt>
                <c:pt idx="48">
                  <c:v>401.01478943331102</c:v>
                </c:pt>
                <c:pt idx="49">
                  <c:v>420.87740681048808</c:v>
                </c:pt>
                <c:pt idx="50">
                  <c:v>440.71984388784927</c:v>
                </c:pt>
                <c:pt idx="51">
                  <c:v>409.25302869952412</c:v>
                </c:pt>
                <c:pt idx="52">
                  <c:v>428.62313846306932</c:v>
                </c:pt>
                <c:pt idx="53">
                  <c:v>447.97443726246598</c:v>
                </c:pt>
                <c:pt idx="54">
                  <c:v>467.30785153167244</c:v>
                </c:pt>
                <c:pt idx="55">
                  <c:v>486.62422484000035</c:v>
                </c:pt>
                <c:pt idx="56">
                  <c:v>454.25971616804895</c:v>
                </c:pt>
                <c:pt idx="57">
                  <c:v>472.62151904574694</c:v>
                </c:pt>
                <c:pt idx="58">
                  <c:v>490.96814051556157</c:v>
                </c:pt>
                <c:pt idx="59">
                  <c:v>509.30022739028914</c:v>
                </c:pt>
                <c:pt idx="60">
                  <c:v>527.61837615010893</c:v>
                </c:pt>
                <c:pt idx="61">
                  <c:v>494.34617766082943</c:v>
                </c:pt>
                <c:pt idx="62">
                  <c:v>511.71129412952837</c:v>
                </c:pt>
                <c:pt idx="63">
                  <c:v>529.06396873094195</c:v>
                </c:pt>
                <c:pt idx="64">
                  <c:v>546.40466675747382</c:v>
                </c:pt>
                <c:pt idx="65">
                  <c:v>563.7338215783434</c:v>
                </c:pt>
                <c:pt idx="66">
                  <c:v>529.54581443344239</c:v>
                </c:pt>
                <c:pt idx="67">
                  <c:v>545.92313850649077</c:v>
                </c:pt>
                <c:pt idx="68">
                  <c:v>562.2901561779538</c:v>
                </c:pt>
                <c:pt idx="69">
                  <c:v>578.64720951981599</c:v>
                </c:pt>
                <c:pt idx="70">
                  <c:v>594.99461969957736</c:v>
                </c:pt>
                <c:pt idx="71">
                  <c:v>559.40259245849336</c:v>
                </c:pt>
                <c:pt idx="72">
                  <c:v>574.31835256166607</c:v>
                </c:pt>
                <c:pt idx="73">
                  <c:v>589.2260273169976</c:v>
                </c:pt>
                <c:pt idx="74">
                  <c:v>604.12584999918033</c:v>
                </c:pt>
                <c:pt idx="75">
                  <c:v>619.01804144415814</c:v>
                </c:pt>
                <c:pt idx="76">
                  <c:v>582.97539089270765</c:v>
                </c:pt>
                <c:pt idx="77">
                  <c:v>597.39785574639552</c:v>
                </c:pt>
                <c:pt idx="78">
                  <c:v>611.81308180026372</c:v>
                </c:pt>
                <c:pt idx="79">
                  <c:v>626.22126355197076</c:v>
                </c:pt>
                <c:pt idx="80">
                  <c:v>640.62258582421282</c:v>
                </c:pt>
                <c:pt idx="81">
                  <c:v>604.12584999918022</c:v>
                </c:pt>
                <c:pt idx="82">
                  <c:v>618.05748105376017</c:v>
                </c:pt>
                <c:pt idx="83">
                  <c:v>631.98260555718286</c:v>
                </c:pt>
                <c:pt idx="84">
                  <c:v>645.90138700087289</c:v>
                </c:pt>
                <c:pt idx="85">
                  <c:v>659.81398125925989</c:v>
                </c:pt>
                <c:pt idx="86">
                  <c:v>622.37975992032511</c:v>
                </c:pt>
                <c:pt idx="87">
                  <c:v>635.34288615032472</c:v>
                </c:pt>
                <c:pt idx="88">
                  <c:v>648.30054732947326</c:v>
                </c:pt>
                <c:pt idx="89">
                  <c:v>661.25286802950563</c:v>
                </c:pt>
                <c:pt idx="90">
                  <c:v>674.19996754655324</c:v>
                </c:pt>
                <c:pt idx="91">
                  <c:v>630.54237231039144</c:v>
                </c:pt>
                <c:pt idx="92">
                  <c:v>637.26288143431623</c:v>
                </c:pt>
                <c:pt idx="93">
                  <c:v>643.98192636288888</c:v>
                </c:pt>
                <c:pt idx="94">
                  <c:v>650.6995245286206</c:v>
                </c:pt>
                <c:pt idx="95">
                  <c:v>657.41569297470744</c:v>
                </c:pt>
                <c:pt idx="96">
                  <c:v>664.13044836770234</c:v>
                </c:pt>
                <c:pt idx="97">
                  <c:v>670.84380700964346</c:v>
                </c:pt>
                <c:pt idx="98">
                  <c:v>677.55578484967418</c:v>
                </c:pt>
                <c:pt idx="99">
                  <c:v>684.26639749517778</c:v>
                </c:pt>
                <c:pt idx="100">
                  <c:v>690.97566022245303</c:v>
                </c:pt>
                <c:pt idx="101">
                  <c:v>646.38123375415262</c:v>
                </c:pt>
                <c:pt idx="102">
                  <c:v>652.13882326685734</c:v>
                </c:pt>
                <c:pt idx="103">
                  <c:v>657.89536502624071</c:v>
                </c:pt>
                <c:pt idx="104">
                  <c:v>663.65086949435386</c:v>
                </c:pt>
                <c:pt idx="105">
                  <c:v>669.40534693696043</c:v>
                </c:pt>
                <c:pt idx="106">
                  <c:v>675.15880742891284</c:v>
                </c:pt>
                <c:pt idx="107">
                  <c:v>680.9112608593349</c:v>
                </c:pt>
                <c:pt idx="108">
                  <c:v>686.6627169366194</c:v>
                </c:pt>
                <c:pt idx="109">
                  <c:v>692.41318519324989</c:v>
                </c:pt>
                <c:pt idx="110">
                  <c:v>698.16267499045523</c:v>
                </c:pt>
                <c:pt idx="111">
                  <c:v>657.17585424582819</c:v>
                </c:pt>
                <c:pt idx="112">
                  <c:v>661.73248262189952</c:v>
                </c:pt>
                <c:pt idx="113">
                  <c:v>666.28846519657191</c:v>
                </c:pt>
                <c:pt idx="114">
                  <c:v>670.84380700964289</c:v>
                </c:pt>
                <c:pt idx="115">
                  <c:v>675.39851302686759</c:v>
                </c:pt>
                <c:pt idx="116">
                  <c:v>679.9525881415492</c:v>
                </c:pt>
                <c:pt idx="117">
                  <c:v>684.50603717608453</c:v>
                </c:pt>
                <c:pt idx="118">
                  <c:v>689.05886488346698</c:v>
                </c:pt>
                <c:pt idx="119">
                  <c:v>693.6110759487475</c:v>
                </c:pt>
                <c:pt idx="120">
                  <c:v>698.16267499045478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1.9546129014462814</c:v>
                </c:pt>
                <c:pt idx="2">
                  <c:v>2.4635285255777934</c:v>
                </c:pt>
                <c:pt idx="3">
                  <c:v>3.1054742325304883</c:v>
                </c:pt>
                <c:pt idx="4">
                  <c:v>3.9153537032955552</c:v>
                </c:pt>
                <c:pt idx="5">
                  <c:v>4.9372603514267803</c:v>
                </c:pt>
                <c:pt idx="6">
                  <c:v>6.2269046880085908</c:v>
                </c:pt>
                <c:pt idx="7">
                  <c:v>7.8546847559039286</c:v>
                </c:pt>
                <c:pt idx="8">
                  <c:v>9.9095704626131838</c:v>
                </c:pt>
                <c:pt idx="9">
                  <c:v>12.504018134000935</c:v>
                </c:pt>
                <c:pt idx="10">
                  <c:v>15.780189246382918</c:v>
                </c:pt>
                <c:pt idx="11">
                  <c:v>19.917820319438761</c:v>
                </c:pt>
                <c:pt idx="12">
                  <c:v>25.1441834846548</c:v>
                </c:pt>
                <c:pt idx="13">
                  <c:v>31.746694504644694</c:v>
                </c:pt>
                <c:pt idx="14">
                  <c:v>40.088873628764645</c:v>
                </c:pt>
                <c:pt idx="15">
                  <c:v>50.630553026757646</c:v>
                </c:pt>
                <c:pt idx="16">
                  <c:v>63.953463294357526</c:v>
                </c:pt>
                <c:pt idx="17">
                  <c:v>80.793634180615044</c:v>
                </c:pt>
                <c:pt idx="18">
                  <c:v>102.08242838022169</c:v>
                </c:pt>
                <c:pt idx="19">
                  <c:v>128.99851370055086</c:v>
                </c:pt>
                <c:pt idx="20">
                  <c:v>163.03369572627767</c:v>
                </c:pt>
                <c:pt idx="21">
                  <c:v>141.85702888167214</c:v>
                </c:pt>
                <c:pt idx="22">
                  <c:v>158.88134410786441</c:v>
                </c:pt>
                <c:pt idx="23">
                  <c:v>175.86239637941927</c:v>
                </c:pt>
                <c:pt idx="24">
                  <c:v>192.804953535073</c:v>
                </c:pt>
                <c:pt idx="25">
                  <c:v>209.71287565552905</c:v>
                </c:pt>
                <c:pt idx="26">
                  <c:v>190.91329425301464</c:v>
                </c:pt>
                <c:pt idx="27">
                  <c:v>205.25965617283944</c:v>
                </c:pt>
                <c:pt idx="28">
                  <c:v>219.58283786775141</c:v>
                </c:pt>
                <c:pt idx="29">
                  <c:v>233.8845647903544</c:v>
                </c:pt>
                <c:pt idx="30">
                  <c:v>248.16633399094391</c:v>
                </c:pt>
                <c:pt idx="31">
                  <c:v>223.40003930222994</c:v>
                </c:pt>
                <c:pt idx="32">
                  <c:v>239.15366730038548</c:v>
                </c:pt>
                <c:pt idx="33">
                  <c:v>254.88366500400548</c:v>
                </c:pt>
                <c:pt idx="34">
                  <c:v>270.59169616772732</c:v>
                </c:pt>
                <c:pt idx="35">
                  <c:v>286.27921553631819</c:v>
                </c:pt>
                <c:pt idx="36">
                  <c:v>260.14773795941892</c:v>
                </c:pt>
                <c:pt idx="37">
                  <c:v>276.23626054130074</c:v>
                </c:pt>
                <c:pt idx="38">
                  <c:v>292.30374831900969</c:v>
                </c:pt>
                <c:pt idx="39">
                  <c:v>308.35152025900925</c:v>
                </c:pt>
                <c:pt idx="40">
                  <c:v>324.38074681372944</c:v>
                </c:pt>
                <c:pt idx="41">
                  <c:v>286.32793581820505</c:v>
                </c:pt>
                <c:pt idx="42">
                  <c:v>301.38147237066033</c:v>
                </c:pt>
                <c:pt idx="43">
                  <c:v>316.41827490823027</c:v>
                </c:pt>
                <c:pt idx="44">
                  <c:v>331.43925063935393</c:v>
                </c:pt>
                <c:pt idx="45">
                  <c:v>346.44521782276951</c:v>
                </c:pt>
                <c:pt idx="46">
                  <c:v>361.43691804482478</c:v>
                </c:pt>
                <c:pt idx="47">
                  <c:v>376.41502635277408</c:v>
                </c:pt>
                <c:pt idx="48">
                  <c:v>391.38015969060621</c:v>
                </c:pt>
                <c:pt idx="49">
                  <c:v>406.33288397709521</c:v>
                </c:pt>
                <c:pt idx="50">
                  <c:v>421.27372008753628</c:v>
                </c:pt>
                <c:pt idx="51">
                  <c:v>363.82451749233672</c:v>
                </c:pt>
                <c:pt idx="52">
                  <c:v>374.26627256233814</c:v>
                </c:pt>
                <c:pt idx="53">
                  <c:v>384.70168139039788</c:v>
                </c:pt>
                <c:pt idx="54">
                  <c:v>395.13094045399635</c:v>
                </c:pt>
                <c:pt idx="55">
                  <c:v>405.55423500896273</c:v>
                </c:pt>
                <c:pt idx="56">
                  <c:v>415.97174000852448</c:v>
                </c:pt>
                <c:pt idx="57">
                  <c:v>426.38362092546873</c:v>
                </c:pt>
                <c:pt idx="58">
                  <c:v>436.79003448979802</c:v>
                </c:pt>
                <c:pt idx="59">
                  <c:v>447.19112935241088</c:v>
                </c:pt>
                <c:pt idx="60">
                  <c:v>457.58704668381432</c:v>
                </c:pt>
                <c:pt idx="61">
                  <c:v>467.97792071558433</c:v>
                </c:pt>
                <c:pt idx="62">
                  <c:v>478.36387923123061</c:v>
                </c:pt>
                <c:pt idx="63">
                  <c:v>488.74504401220685</c:v>
                </c:pt>
                <c:pt idx="64">
                  <c:v>499.12153124405501</c:v>
                </c:pt>
                <c:pt idx="65">
                  <c:v>509.49345188701722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1.4446494747924661</c:v>
                </c:pt>
                <c:pt idx="2">
                  <c:v>1.7032179941020262</c:v>
                </c:pt>
                <c:pt idx="3">
                  <c:v>2.0082412457544763</c:v>
                </c:pt>
                <c:pt idx="4">
                  <c:v>2.3680951937653405</c:v>
                </c:pt>
                <c:pt idx="5">
                  <c:v>2.7926710865029833</c:v>
                </c:pt>
                <c:pt idx="6">
                  <c:v>3.2936504415475194</c:v>
                </c:pt>
                <c:pt idx="7">
                  <c:v>3.8848300775960793</c:v>
                </c:pt>
                <c:pt idx="8">
                  <c:v>4.5825063262069596</c:v>
                </c:pt>
                <c:pt idx="9">
                  <c:v>5.4059292268305654</c:v>
                </c:pt>
                <c:pt idx="10">
                  <c:v>6.377839485521748</c:v>
                </c:pt>
                <c:pt idx="11">
                  <c:v>7.5251033172333761</c:v>
                </c:pt>
                <c:pt idx="12">
                  <c:v>8.8794630602777733</c:v>
                </c:pt>
                <c:pt idx="13">
                  <c:v>10.478424728298359</c:v>
                </c:pt>
                <c:pt idx="14">
                  <c:v>12.366307543331528</c:v>
                </c:pt>
                <c:pt idx="15">
                  <c:v>14.595485083876353</c:v>
                </c:pt>
                <c:pt idx="16">
                  <c:v>17.227853115323715</c:v>
                </c:pt>
                <c:pt idx="17">
                  <c:v>20.336565601761166</c:v>
                </c:pt>
                <c:pt idx="18">
                  <c:v>24.008088011793529</c:v>
                </c:pt>
                <c:pt idx="19">
                  <c:v>28.34462604420094</c:v>
                </c:pt>
                <c:pt idx="20">
                  <c:v>33.466998569717767</c:v>
                </c:pt>
                <c:pt idx="21">
                  <c:v>39.518036218216324</c:v>
                </c:pt>
                <c:pt idx="22">
                  <c:v>46.666601997687287</c:v>
                </c:pt>
                <c:pt idx="23">
                  <c:v>55.112348040911343</c:v>
                </c:pt>
                <c:pt idx="24">
                  <c:v>65.091343544944792</c:v>
                </c:pt>
                <c:pt idx="25">
                  <c:v>76.882733798474405</c:v>
                </c:pt>
                <c:pt idx="26">
                  <c:v>90.816619594682138</c:v>
                </c:pt>
                <c:pt idx="27">
                  <c:v>107.28338114591146</c:v>
                </c:pt>
                <c:pt idx="28">
                  <c:v>126.74471185035777</c:v>
                </c:pt>
                <c:pt idx="29">
                  <c:v>149.74667609401612</c:v>
                </c:pt>
                <c:pt idx="30">
                  <c:v>176.93516310576453</c:v>
                </c:pt>
                <c:pt idx="31">
                  <c:v>115.77785737197435</c:v>
                </c:pt>
                <c:pt idx="32">
                  <c:v>126.01601193064431</c:v>
                </c:pt>
                <c:pt idx="33">
                  <c:v>136.23399433545893</c:v>
                </c:pt>
                <c:pt idx="34">
                  <c:v>146.43353271796309</c:v>
                </c:pt>
                <c:pt idx="35">
                  <c:v>156.61609434461207</c:v>
                </c:pt>
                <c:pt idx="36">
                  <c:v>166.78293977832863</c:v>
                </c:pt>
                <c:pt idx="37">
                  <c:v>176.93516310576453</c:v>
                </c:pt>
                <c:pt idx="38">
                  <c:v>187.07372242622981</c:v>
                </c:pt>
                <c:pt idx="39">
                  <c:v>197.19946337106239</c:v>
                </c:pt>
                <c:pt idx="40">
                  <c:v>207.31313753029789</c:v>
                </c:pt>
                <c:pt idx="41">
                  <c:v>167.2908897484331</c:v>
                </c:pt>
                <c:pt idx="42">
                  <c:v>177.94961915142096</c:v>
                </c:pt>
                <c:pt idx="43">
                  <c:v>188.59338138830185</c:v>
                </c:pt>
                <c:pt idx="44">
                  <c:v>199.22314097441145</c:v>
                </c:pt>
                <c:pt idx="45">
                  <c:v>209.839750973131</c:v>
                </c:pt>
                <c:pt idx="46">
                  <c:v>220.44397098530533</c:v>
                </c:pt>
                <c:pt idx="47">
                  <c:v>231.03648149074078</c:v>
                </c:pt>
                <c:pt idx="48">
                  <c:v>241.61789541835171</c:v>
                </c:pt>
                <c:pt idx="49">
                  <c:v>252.18876758094336</c:v>
                </c:pt>
                <c:pt idx="50">
                  <c:v>262.74960244358527</c:v>
                </c:pt>
                <c:pt idx="51">
                  <c:v>221.95788870113009</c:v>
                </c:pt>
                <c:pt idx="52">
                  <c:v>231.54060536306486</c:v>
                </c:pt>
                <c:pt idx="53">
                  <c:v>241.11426179447619</c:v>
                </c:pt>
                <c:pt idx="54">
                  <c:v>250.67926877807722</c:v>
                </c:pt>
                <c:pt idx="55">
                  <c:v>260.23600315922118</c:v>
                </c:pt>
                <c:pt idx="56">
                  <c:v>269.78481182023978</c:v>
                </c:pt>
                <c:pt idx="57">
                  <c:v>279.32601506215059</c:v>
                </c:pt>
                <c:pt idx="58">
                  <c:v>288.85990949975201</c:v>
                </c:pt>
                <c:pt idx="59">
                  <c:v>298.38677055421067</c:v>
                </c:pt>
                <c:pt idx="60">
                  <c:v>307.90685461043864</c:v>
                </c:pt>
                <c:pt idx="61">
                  <c:v>275.81170051054801</c:v>
                </c:pt>
                <c:pt idx="62">
                  <c:v>293.8749069529452</c:v>
                </c:pt>
                <c:pt idx="63">
                  <c:v>311.91334190386982</c:v>
                </c:pt>
                <c:pt idx="64">
                  <c:v>329.92863915898073</c:v>
                </c:pt>
                <c:pt idx="65">
                  <c:v>347.92223953697521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2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2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2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2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2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2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2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2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2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2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2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2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2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2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2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2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2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2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27" zoomScaleNormal="145" workbookViewId="0">
      <selection activeCell="D184" sqref="D184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4" t="s">
        <v>192</v>
      </c>
      <c r="C3" s="265"/>
      <c r="D3" s="265"/>
      <c r="E3" s="265"/>
      <c r="F3" s="266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9" t="s">
        <v>231</v>
      </c>
      <c r="B5" s="269"/>
      <c r="C5" s="24">
        <v>2.2446999999999999</v>
      </c>
      <c r="D5" s="270" t="s">
        <v>229</v>
      </c>
      <c r="E5" s="271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8" t="s">
        <v>226</v>
      </c>
      <c r="B7" s="268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14</v>
      </c>
      <c r="C9" s="32">
        <v>0.10390000000000001</v>
      </c>
      <c r="D9" s="33">
        <f t="shared" ref="D9:D18" si="0">C9*$C$5</f>
        <v>0.23322433000000001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12</v>
      </c>
      <c r="C10" s="32">
        <v>0.20549999999999999</v>
      </c>
      <c r="D10" s="33">
        <f t="shared" si="0"/>
        <v>0.46128584999999994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6</v>
      </c>
      <c r="C11" s="32">
        <v>0.1782</v>
      </c>
      <c r="D11" s="33">
        <f t="shared" si="0"/>
        <v>0.40000553999999999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11</v>
      </c>
      <c r="C12" s="32">
        <v>8.9099999999999999E-2</v>
      </c>
      <c r="D12" s="33">
        <f t="shared" si="0"/>
        <v>0.20000277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4</v>
      </c>
      <c r="C13" s="32">
        <v>8.9099999999999999E-2</v>
      </c>
      <c r="D13" s="33">
        <f t="shared" si="0"/>
        <v>0.20000277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16</v>
      </c>
      <c r="C14" s="32">
        <v>0.1114</v>
      </c>
      <c r="D14" s="33">
        <f t="shared" si="0"/>
        <v>0.25005958</v>
      </c>
      <c r="E14" s="34">
        <v>120</v>
      </c>
      <c r="F14" s="35" t="str">
        <f t="array" ref="F14">IF(E14="","",IF(INDEX(A:A,MAX(IF(ISNUMBER($A$166:$A$185),ROW($A$166:$A$185),"")))&lt;&gt;E14,"Corrigez : révolution incorrecte","OK"))</f>
        <v>OK</v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36</v>
      </c>
      <c r="C15" s="32">
        <v>0.1114</v>
      </c>
      <c r="D15" s="33">
        <f t="shared" si="0"/>
        <v>0.25005958</v>
      </c>
      <c r="E15" s="34">
        <v>65</v>
      </c>
      <c r="F15" s="35" t="str">
        <f t="array" ref="F15">IF(E15="","",IF(INDEX(A:A,MAX(IF(ISNUMBER($A$192:$A$211),ROW($A$192:$A$211),"")))&lt;&gt;E15,"Corrigez : révolution incorrecte","OK"))</f>
        <v>OK</v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164</v>
      </c>
      <c r="C16" s="32">
        <v>0.1114</v>
      </c>
      <c r="D16" s="33">
        <f t="shared" si="0"/>
        <v>0.25005958</v>
      </c>
      <c r="E16" s="34">
        <v>65</v>
      </c>
      <c r="F16" s="35" t="str">
        <f t="array" ref="F16">IF(E16="","",IF(INDEX(A:A,MAX(IF(ISNUMBER($A$218:$A$237),ROW($A$218:$A$237),"")))&lt;&gt;E16,"Corrigez : révolution incorrecte","OK"))</f>
        <v>OK</v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0.99999999999999978</v>
      </c>
      <c r="D19" s="38">
        <f>SUM(D9:D18)</f>
        <v>2.2446999999999999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8" t="s">
        <v>227</v>
      </c>
      <c r="B30" s="268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Chêne sessile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20</v>
      </c>
      <c r="B36" s="60">
        <v>73</v>
      </c>
      <c r="C36" s="60">
        <v>1</v>
      </c>
      <c r="D36" s="60">
        <v>0</v>
      </c>
      <c r="E36" s="51">
        <v>0</v>
      </c>
      <c r="F36" s="51"/>
      <c r="G36" s="51"/>
      <c r="H36" s="51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25</v>
      </c>
      <c r="B37" s="60">
        <v>103</v>
      </c>
      <c r="C37" s="60">
        <v>2</v>
      </c>
      <c r="D37" s="60">
        <v>0</v>
      </c>
      <c r="E37" s="51">
        <v>0</v>
      </c>
      <c r="F37" s="51"/>
      <c r="G37" s="51"/>
      <c r="H37" s="51">
        <v>1</v>
      </c>
      <c r="I37" s="53">
        <f t="shared" ref="I37:I55" si="1">IF(A37&lt;&gt;0,(B37-(B36-D36))/(A37-A36),"")</f>
        <v>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60">
        <v>121</v>
      </c>
      <c r="C38" s="60">
        <v>3</v>
      </c>
      <c r="D38" s="60">
        <v>0</v>
      </c>
      <c r="E38" s="51">
        <v>0</v>
      </c>
      <c r="F38" s="51"/>
      <c r="G38" s="51"/>
      <c r="H38" s="51">
        <v>1</v>
      </c>
      <c r="I38" s="53">
        <f t="shared" si="1"/>
        <v>3.6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35</v>
      </c>
      <c r="B39" s="60">
        <v>147</v>
      </c>
      <c r="C39" s="60">
        <v>4</v>
      </c>
      <c r="D39" s="60">
        <v>28</v>
      </c>
      <c r="E39" s="51">
        <v>0</v>
      </c>
      <c r="F39" s="51"/>
      <c r="G39" s="51"/>
      <c r="H39" s="51">
        <v>1</v>
      </c>
      <c r="I39" s="49">
        <f t="shared" si="1"/>
        <v>5.2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40</v>
      </c>
      <c r="B40" s="60">
        <v>175</v>
      </c>
      <c r="C40" s="60">
        <v>5</v>
      </c>
      <c r="D40" s="60">
        <v>28</v>
      </c>
      <c r="E40" s="51">
        <v>0.2</v>
      </c>
      <c r="F40" s="51"/>
      <c r="G40" s="51"/>
      <c r="H40" s="51">
        <v>0.8</v>
      </c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45</v>
      </c>
      <c r="B41" s="60">
        <v>204</v>
      </c>
      <c r="C41" s="60">
        <v>6</v>
      </c>
      <c r="D41" s="60">
        <v>28</v>
      </c>
      <c r="E41" s="51">
        <v>0.2</v>
      </c>
      <c r="F41" s="51"/>
      <c r="G41" s="51"/>
      <c r="H41" s="51">
        <v>0.8</v>
      </c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50</v>
      </c>
      <c r="B42" s="60">
        <v>231</v>
      </c>
      <c r="C42" s="60">
        <v>7</v>
      </c>
      <c r="D42" s="60">
        <v>28</v>
      </c>
      <c r="E42" s="51">
        <v>0.3</v>
      </c>
      <c r="F42" s="51"/>
      <c r="G42" s="51"/>
      <c r="H42" s="51">
        <v>0.7</v>
      </c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55</v>
      </c>
      <c r="B43" s="60">
        <v>254</v>
      </c>
      <c r="C43" s="60">
        <v>8</v>
      </c>
      <c r="D43" s="60">
        <v>28</v>
      </c>
      <c r="E43" s="51">
        <v>0.3</v>
      </c>
      <c r="F43" s="51"/>
      <c r="G43" s="51"/>
      <c r="H43" s="51">
        <v>0.7</v>
      </c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60</v>
      </c>
      <c r="B44" s="60">
        <v>273</v>
      </c>
      <c r="C44" s="60">
        <v>9</v>
      </c>
      <c r="D44" s="60">
        <v>28</v>
      </c>
      <c r="E44" s="51">
        <v>0.4</v>
      </c>
      <c r="F44" s="51"/>
      <c r="G44" s="51"/>
      <c r="H44" s="51">
        <v>0.6</v>
      </c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65</v>
      </c>
      <c r="B45" s="60">
        <v>289</v>
      </c>
      <c r="C45" s="60">
        <v>10</v>
      </c>
      <c r="D45" s="60">
        <v>28</v>
      </c>
      <c r="E45" s="51">
        <v>0.4</v>
      </c>
      <c r="F45" s="51"/>
      <c r="G45" s="51"/>
      <c r="H45" s="51">
        <v>0.6</v>
      </c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70</v>
      </c>
      <c r="B46" s="60">
        <v>302</v>
      </c>
      <c r="C46" s="60">
        <v>11</v>
      </c>
      <c r="D46" s="60">
        <v>28</v>
      </c>
      <c r="E46" s="51">
        <v>0.5</v>
      </c>
      <c r="F46" s="51"/>
      <c r="G46" s="51"/>
      <c r="H46" s="51">
        <v>0.5</v>
      </c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75</v>
      </c>
      <c r="B47" s="60">
        <v>312</v>
      </c>
      <c r="C47" s="60">
        <v>12</v>
      </c>
      <c r="D47" s="60">
        <v>28</v>
      </c>
      <c r="E47" s="51">
        <v>0.5</v>
      </c>
      <c r="F47" s="51"/>
      <c r="G47" s="51"/>
      <c r="H47" s="51">
        <v>0.5</v>
      </c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80</v>
      </c>
      <c r="B48" s="60">
        <v>320</v>
      </c>
      <c r="C48" s="60">
        <v>13</v>
      </c>
      <c r="D48" s="60">
        <v>28</v>
      </c>
      <c r="E48" s="51">
        <v>0.6</v>
      </c>
      <c r="F48" s="51"/>
      <c r="G48" s="51"/>
      <c r="H48" s="51">
        <v>0.4</v>
      </c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90</v>
      </c>
      <c r="B49" s="60">
        <v>358</v>
      </c>
      <c r="C49" s="60">
        <v>15</v>
      </c>
      <c r="D49" s="60">
        <v>56</v>
      </c>
      <c r="E49" s="51">
        <v>0.7</v>
      </c>
      <c r="F49" s="51"/>
      <c r="G49" s="51"/>
      <c r="H49" s="51">
        <v>0.3</v>
      </c>
      <c r="I49" s="49">
        <f t="shared" si="1"/>
        <v>6.6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100</v>
      </c>
      <c r="B50" s="50">
        <v>362</v>
      </c>
      <c r="C50" s="50">
        <v>17</v>
      </c>
      <c r="D50" s="50">
        <v>56</v>
      </c>
      <c r="E50" s="51">
        <v>0.8</v>
      </c>
      <c r="F50" s="51"/>
      <c r="G50" s="51"/>
      <c r="H50" s="51">
        <v>0.2</v>
      </c>
      <c r="I50" s="49">
        <f t="shared" si="1"/>
        <v>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>
        <v>110</v>
      </c>
      <c r="B51" s="50">
        <v>358</v>
      </c>
      <c r="C51" s="50">
        <v>19</v>
      </c>
      <c r="D51" s="50">
        <v>51</v>
      </c>
      <c r="E51" s="51">
        <v>0.8</v>
      </c>
      <c r="F51" s="51"/>
      <c r="G51" s="51"/>
      <c r="H51" s="51">
        <v>0.2</v>
      </c>
      <c r="I51" s="49">
        <f t="shared" si="1"/>
        <v>5.2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>
        <v>120</v>
      </c>
      <c r="B52" s="50">
        <v>352</v>
      </c>
      <c r="C52" s="50">
        <v>21</v>
      </c>
      <c r="D52" s="50">
        <v>352</v>
      </c>
      <c r="E52" s="51">
        <v>0.9</v>
      </c>
      <c r="F52" s="51"/>
      <c r="G52" s="51"/>
      <c r="H52" s="51">
        <v>0.1</v>
      </c>
      <c r="I52" s="49">
        <f t="shared" si="1"/>
        <v>4.5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Chêne pubescent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20</v>
      </c>
      <c r="B62" s="60">
        <v>73</v>
      </c>
      <c r="C62" s="60">
        <v>1</v>
      </c>
      <c r="D62" s="60">
        <v>0</v>
      </c>
      <c r="E62" s="51">
        <v>0</v>
      </c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25</v>
      </c>
      <c r="B63" s="60">
        <v>103</v>
      </c>
      <c r="C63" s="60">
        <v>2</v>
      </c>
      <c r="D63" s="60">
        <v>0</v>
      </c>
      <c r="E63" s="51">
        <v>0</v>
      </c>
      <c r="F63" s="51"/>
      <c r="G63" s="51"/>
      <c r="H63" s="51">
        <v>1</v>
      </c>
      <c r="I63" s="49">
        <f>IF(A63&lt;&gt;0,(B63-(B62-D62))/(A63-A62),"")</f>
        <v>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30</v>
      </c>
      <c r="B64" s="60">
        <v>121</v>
      </c>
      <c r="C64" s="60">
        <v>3</v>
      </c>
      <c r="D64" s="60">
        <v>0</v>
      </c>
      <c r="E64" s="51">
        <v>0</v>
      </c>
      <c r="F64" s="51"/>
      <c r="G64" s="51"/>
      <c r="H64" s="51">
        <v>1</v>
      </c>
      <c r="I64" s="49">
        <f>IF(A64&lt;&gt;0,(B64-(B63-D63))/(A64-A63),"")</f>
        <v>3.6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35</v>
      </c>
      <c r="B65" s="60">
        <v>147</v>
      </c>
      <c r="C65" s="60">
        <v>4</v>
      </c>
      <c r="D65" s="60">
        <v>28</v>
      </c>
      <c r="E65" s="51">
        <v>0</v>
      </c>
      <c r="F65" s="51"/>
      <c r="G65" s="51"/>
      <c r="H65" s="51">
        <v>1</v>
      </c>
      <c r="I65" s="49">
        <f>IF(A65&lt;&gt;0,(B65-(B64-D64))/(A65-A64),"")</f>
        <v>5.2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40</v>
      </c>
      <c r="B66" s="60">
        <v>175</v>
      </c>
      <c r="C66" s="60">
        <v>5</v>
      </c>
      <c r="D66" s="60">
        <v>28</v>
      </c>
      <c r="E66" s="51">
        <v>0.2</v>
      </c>
      <c r="F66" s="51"/>
      <c r="G66" s="51"/>
      <c r="H66" s="51">
        <v>0.8</v>
      </c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45</v>
      </c>
      <c r="B67" s="60">
        <v>204</v>
      </c>
      <c r="C67" s="60">
        <v>6</v>
      </c>
      <c r="D67" s="60">
        <v>28</v>
      </c>
      <c r="E67" s="51">
        <v>0.2</v>
      </c>
      <c r="F67" s="51"/>
      <c r="G67" s="51"/>
      <c r="H67" s="51">
        <v>0.8</v>
      </c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50</v>
      </c>
      <c r="B68" s="60">
        <v>231</v>
      </c>
      <c r="C68" s="60">
        <v>7</v>
      </c>
      <c r="D68" s="60">
        <v>28</v>
      </c>
      <c r="E68" s="51">
        <v>0.3</v>
      </c>
      <c r="F68" s="51"/>
      <c r="G68" s="51"/>
      <c r="H68" s="51">
        <v>0.7</v>
      </c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55</v>
      </c>
      <c r="B69" s="50">
        <v>254</v>
      </c>
      <c r="C69" s="50">
        <v>8</v>
      </c>
      <c r="D69" s="50">
        <v>28</v>
      </c>
      <c r="E69" s="51">
        <v>0.3</v>
      </c>
      <c r="F69" s="51"/>
      <c r="G69" s="51"/>
      <c r="H69" s="51">
        <v>0.7</v>
      </c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60</v>
      </c>
      <c r="B70" s="50">
        <v>273</v>
      </c>
      <c r="C70" s="50">
        <v>9</v>
      </c>
      <c r="D70" s="50">
        <v>28</v>
      </c>
      <c r="E70" s="51">
        <v>0.4</v>
      </c>
      <c r="F70" s="51"/>
      <c r="G70" s="51"/>
      <c r="H70" s="51">
        <v>0.6</v>
      </c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65</v>
      </c>
      <c r="B71" s="50">
        <v>289</v>
      </c>
      <c r="C71" s="50">
        <v>10</v>
      </c>
      <c r="D71" s="50">
        <v>28</v>
      </c>
      <c r="E71" s="51">
        <v>0.4</v>
      </c>
      <c r="F71" s="51"/>
      <c r="G71" s="51"/>
      <c r="H71" s="51">
        <v>0.6</v>
      </c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70</v>
      </c>
      <c r="B72" s="50">
        <v>302</v>
      </c>
      <c r="C72" s="50">
        <v>11</v>
      </c>
      <c r="D72" s="50">
        <v>28</v>
      </c>
      <c r="E72" s="51">
        <v>0.5</v>
      </c>
      <c r="F72" s="51"/>
      <c r="G72" s="51"/>
      <c r="H72" s="51">
        <v>0.5</v>
      </c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75</v>
      </c>
      <c r="B73" s="50">
        <v>312</v>
      </c>
      <c r="C73" s="50">
        <v>12</v>
      </c>
      <c r="D73" s="50">
        <v>28</v>
      </c>
      <c r="E73" s="51">
        <v>0.5</v>
      </c>
      <c r="F73" s="51"/>
      <c r="G73" s="51"/>
      <c r="H73" s="51">
        <v>0.5</v>
      </c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80</v>
      </c>
      <c r="B74" s="50">
        <v>320</v>
      </c>
      <c r="C74" s="50">
        <v>13</v>
      </c>
      <c r="D74" s="50">
        <v>28</v>
      </c>
      <c r="E74" s="51">
        <v>0.6</v>
      </c>
      <c r="F74" s="51"/>
      <c r="G74" s="51"/>
      <c r="H74" s="51">
        <v>0.4</v>
      </c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90</v>
      </c>
      <c r="B75" s="50">
        <v>358</v>
      </c>
      <c r="C75" s="50">
        <v>15</v>
      </c>
      <c r="D75" s="50">
        <v>56</v>
      </c>
      <c r="E75" s="51">
        <v>0.7</v>
      </c>
      <c r="F75" s="51"/>
      <c r="G75" s="51"/>
      <c r="H75" s="51">
        <v>0.3</v>
      </c>
      <c r="I75" s="49">
        <f t="shared" si="2"/>
        <v>6.6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>
        <v>100</v>
      </c>
      <c r="B76" s="50">
        <v>362</v>
      </c>
      <c r="C76" s="50">
        <v>17</v>
      </c>
      <c r="D76" s="50">
        <v>56</v>
      </c>
      <c r="E76" s="51">
        <v>0.8</v>
      </c>
      <c r="F76" s="51"/>
      <c r="G76" s="51"/>
      <c r="H76" s="51">
        <v>0.2</v>
      </c>
      <c r="I76" s="49">
        <f t="shared" si="2"/>
        <v>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>
        <v>110</v>
      </c>
      <c r="B77" s="50">
        <v>358</v>
      </c>
      <c r="C77" s="50">
        <v>19</v>
      </c>
      <c r="D77" s="50">
        <v>51</v>
      </c>
      <c r="E77" s="51">
        <v>0.8</v>
      </c>
      <c r="F77" s="51"/>
      <c r="G77" s="51"/>
      <c r="H77" s="51">
        <v>0.2</v>
      </c>
      <c r="I77" s="49">
        <f t="shared" si="2"/>
        <v>5.2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>
        <v>120</v>
      </c>
      <c r="B78" s="50">
        <v>352</v>
      </c>
      <c r="C78" s="50">
        <v>21</v>
      </c>
      <c r="D78" s="50">
        <v>352</v>
      </c>
      <c r="E78" s="51">
        <v>0.9</v>
      </c>
      <c r="F78" s="51"/>
      <c r="G78" s="51"/>
      <c r="H78" s="51">
        <v>0.1</v>
      </c>
      <c r="I78" s="49">
        <f t="shared" si="2"/>
        <v>4.5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Charme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20</v>
      </c>
      <c r="B88" s="60">
        <v>42</v>
      </c>
      <c r="C88" s="60">
        <v>1</v>
      </c>
      <c r="D88" s="60">
        <v>0</v>
      </c>
      <c r="E88" s="51">
        <v>0</v>
      </c>
      <c r="F88" s="51"/>
      <c r="G88" s="51"/>
      <c r="H88" s="87">
        <v>1</v>
      </c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25</v>
      </c>
      <c r="B89" s="60">
        <v>70</v>
      </c>
      <c r="C89" s="60">
        <v>2</v>
      </c>
      <c r="D89" s="60">
        <v>0</v>
      </c>
      <c r="E89" s="51">
        <v>0</v>
      </c>
      <c r="F89" s="51"/>
      <c r="G89" s="51"/>
      <c r="H89" s="87">
        <v>1</v>
      </c>
      <c r="I89" s="53">
        <f t="shared" ref="I89:I107" si="3">IF(A89&lt;&gt;0,(B89-(B88-D88))/(A89-A88),"")</f>
        <v>5.6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30</v>
      </c>
      <c r="B90" s="60">
        <v>97</v>
      </c>
      <c r="C90" s="60">
        <v>3</v>
      </c>
      <c r="D90" s="60">
        <v>0</v>
      </c>
      <c r="E90" s="87">
        <v>0</v>
      </c>
      <c r="F90" s="87"/>
      <c r="G90" s="87"/>
      <c r="H90" s="87">
        <v>1</v>
      </c>
      <c r="I90" s="53">
        <f t="shared" si="3"/>
        <v>5.4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35</v>
      </c>
      <c r="B91" s="60">
        <v>116</v>
      </c>
      <c r="C91" s="60">
        <v>4</v>
      </c>
      <c r="D91" s="60">
        <v>21</v>
      </c>
      <c r="E91" s="87">
        <v>0</v>
      </c>
      <c r="F91" s="87"/>
      <c r="G91" s="87"/>
      <c r="H91" s="87">
        <v>1</v>
      </c>
      <c r="I91" s="53">
        <f t="shared" si="3"/>
        <v>3.8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40</v>
      </c>
      <c r="B92" s="60">
        <v>137</v>
      </c>
      <c r="C92" s="60">
        <v>5</v>
      </c>
      <c r="D92" s="60">
        <v>21</v>
      </c>
      <c r="E92" s="87">
        <v>0.2</v>
      </c>
      <c r="F92" s="87"/>
      <c r="G92" s="87"/>
      <c r="H92" s="87">
        <v>0.8</v>
      </c>
      <c r="I92" s="53">
        <f t="shared" si="3"/>
        <v>8.4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45</v>
      </c>
      <c r="B93" s="60">
        <v>158</v>
      </c>
      <c r="C93" s="60">
        <v>6</v>
      </c>
      <c r="D93" s="60">
        <v>21</v>
      </c>
      <c r="E93" s="87">
        <v>0.2</v>
      </c>
      <c r="F93" s="87"/>
      <c r="G93" s="87"/>
      <c r="H93" s="87">
        <v>0.8</v>
      </c>
      <c r="I93" s="53">
        <f t="shared" si="3"/>
        <v>8.4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50</v>
      </c>
      <c r="B94" s="60">
        <v>178</v>
      </c>
      <c r="C94" s="60">
        <v>7</v>
      </c>
      <c r="D94" s="60">
        <v>21</v>
      </c>
      <c r="E94" s="87">
        <v>0.3</v>
      </c>
      <c r="F94" s="87"/>
      <c r="G94" s="87"/>
      <c r="H94" s="87">
        <v>0.7</v>
      </c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55</v>
      </c>
      <c r="B95" s="60">
        <v>197</v>
      </c>
      <c r="C95" s="60">
        <v>8</v>
      </c>
      <c r="D95" s="60">
        <v>21</v>
      </c>
      <c r="E95" s="87">
        <v>0.3</v>
      </c>
      <c r="F95" s="87"/>
      <c r="G95" s="87"/>
      <c r="H95" s="87">
        <v>0.7</v>
      </c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60</v>
      </c>
      <c r="B96" s="60">
        <v>214</v>
      </c>
      <c r="C96" s="60">
        <v>9</v>
      </c>
      <c r="D96" s="60">
        <v>21</v>
      </c>
      <c r="E96" s="87">
        <v>0.4</v>
      </c>
      <c r="F96" s="87"/>
      <c r="G96" s="87"/>
      <c r="H96" s="87">
        <v>0.6</v>
      </c>
      <c r="I96" s="53">
        <f t="shared" si="3"/>
        <v>7.6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>
        <v>65</v>
      </c>
      <c r="B97" s="60">
        <v>229</v>
      </c>
      <c r="C97" s="60">
        <v>10</v>
      </c>
      <c r="D97" s="60">
        <v>21</v>
      </c>
      <c r="E97" s="87">
        <v>0.4</v>
      </c>
      <c r="F97" s="87"/>
      <c r="G97" s="87"/>
      <c r="H97" s="87">
        <v>0.6</v>
      </c>
      <c r="I97" s="53">
        <f t="shared" si="3"/>
        <v>7.2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>
        <v>70</v>
      </c>
      <c r="B98" s="60">
        <v>242</v>
      </c>
      <c r="C98" s="60">
        <v>11</v>
      </c>
      <c r="D98" s="60">
        <v>21</v>
      </c>
      <c r="E98" s="87">
        <v>0.5</v>
      </c>
      <c r="F98" s="87"/>
      <c r="G98" s="87"/>
      <c r="H98" s="87">
        <v>0.5</v>
      </c>
      <c r="I98" s="53">
        <f t="shared" si="3"/>
        <v>6.8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>
        <v>75</v>
      </c>
      <c r="B99" s="60">
        <v>252</v>
      </c>
      <c r="C99" s="60">
        <v>12</v>
      </c>
      <c r="D99" s="60">
        <v>21</v>
      </c>
      <c r="E99" s="87">
        <v>0.5</v>
      </c>
      <c r="F99" s="87"/>
      <c r="G99" s="87"/>
      <c r="H99" s="87">
        <v>0.5</v>
      </c>
      <c r="I99" s="53">
        <f t="shared" si="3"/>
        <v>6.2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>
        <v>80</v>
      </c>
      <c r="B100" s="60">
        <v>261</v>
      </c>
      <c r="C100" s="60">
        <v>13</v>
      </c>
      <c r="D100" s="60">
        <v>261</v>
      </c>
      <c r="E100" s="65">
        <v>0.6</v>
      </c>
      <c r="F100" s="65"/>
      <c r="G100" s="65"/>
      <c r="H100" s="65">
        <v>0.4</v>
      </c>
      <c r="I100" s="53">
        <f t="shared" si="3"/>
        <v>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Chêne pédonculé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20</v>
      </c>
      <c r="B114" s="60">
        <v>73</v>
      </c>
      <c r="C114" s="50">
        <v>1</v>
      </c>
      <c r="D114" s="60">
        <v>0</v>
      </c>
      <c r="E114" s="51">
        <v>0</v>
      </c>
      <c r="F114" s="51"/>
      <c r="G114" s="51"/>
      <c r="H114" s="51">
        <v>1</v>
      </c>
      <c r="I114" s="53">
        <f>IFERROR(B114/A114,"")</f>
        <v>3.65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25</v>
      </c>
      <c r="B115" s="60">
        <v>103</v>
      </c>
      <c r="C115" s="50">
        <v>2</v>
      </c>
      <c r="D115" s="60">
        <v>0</v>
      </c>
      <c r="E115" s="51">
        <v>0</v>
      </c>
      <c r="F115" s="51"/>
      <c r="G115" s="51"/>
      <c r="H115" s="51">
        <v>1</v>
      </c>
      <c r="I115" s="53">
        <f t="shared" ref="I115:I133" si="4">IF(A115&lt;&gt;0,(B115-(B114-D114))/(A115-A114),"")</f>
        <v>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30</v>
      </c>
      <c r="B116" s="60">
        <v>121</v>
      </c>
      <c r="C116" s="50">
        <v>3</v>
      </c>
      <c r="D116" s="60">
        <v>0</v>
      </c>
      <c r="E116" s="51">
        <v>0</v>
      </c>
      <c r="F116" s="51"/>
      <c r="G116" s="51"/>
      <c r="H116" s="51">
        <v>1</v>
      </c>
      <c r="I116" s="53">
        <f t="shared" si="4"/>
        <v>3.6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35</v>
      </c>
      <c r="B117" s="60">
        <v>147</v>
      </c>
      <c r="C117" s="50">
        <v>4</v>
      </c>
      <c r="D117" s="60">
        <v>28</v>
      </c>
      <c r="E117" s="51">
        <v>0</v>
      </c>
      <c r="F117" s="51"/>
      <c r="G117" s="51"/>
      <c r="H117" s="51">
        <v>1</v>
      </c>
      <c r="I117" s="53">
        <f t="shared" si="4"/>
        <v>5.2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40</v>
      </c>
      <c r="B118" s="60">
        <v>175</v>
      </c>
      <c r="C118" s="50">
        <v>5</v>
      </c>
      <c r="D118" s="60">
        <v>28</v>
      </c>
      <c r="E118" s="51">
        <v>0.2</v>
      </c>
      <c r="F118" s="51"/>
      <c r="G118" s="51"/>
      <c r="H118" s="51">
        <v>0.8</v>
      </c>
      <c r="I118" s="53">
        <f t="shared" si="4"/>
        <v>11.2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45</v>
      </c>
      <c r="B119" s="60">
        <v>204</v>
      </c>
      <c r="C119" s="50">
        <v>6</v>
      </c>
      <c r="D119" s="60">
        <v>28</v>
      </c>
      <c r="E119" s="51">
        <v>0.2</v>
      </c>
      <c r="F119" s="51"/>
      <c r="G119" s="51"/>
      <c r="H119" s="51">
        <v>0.8</v>
      </c>
      <c r="I119" s="53">
        <f t="shared" si="4"/>
        <v>11.4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50</v>
      </c>
      <c r="B120" s="60">
        <v>231</v>
      </c>
      <c r="C120" s="60">
        <v>7</v>
      </c>
      <c r="D120" s="60">
        <v>28</v>
      </c>
      <c r="E120" s="87">
        <v>0.3</v>
      </c>
      <c r="F120" s="87"/>
      <c r="G120" s="87"/>
      <c r="H120" s="87">
        <v>0.7</v>
      </c>
      <c r="I120" s="53">
        <f t="shared" si="4"/>
        <v>11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55</v>
      </c>
      <c r="B121" s="60">
        <v>254</v>
      </c>
      <c r="C121" s="60">
        <v>8</v>
      </c>
      <c r="D121" s="60">
        <v>28</v>
      </c>
      <c r="E121" s="87">
        <v>0.3</v>
      </c>
      <c r="F121" s="87"/>
      <c r="G121" s="87"/>
      <c r="H121" s="87">
        <v>0.7</v>
      </c>
      <c r="I121" s="53">
        <f t="shared" si="4"/>
        <v>10.199999999999999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60</v>
      </c>
      <c r="B122" s="60">
        <v>273</v>
      </c>
      <c r="C122" s="60">
        <v>9</v>
      </c>
      <c r="D122" s="60">
        <v>28</v>
      </c>
      <c r="E122" s="87">
        <v>0.4</v>
      </c>
      <c r="F122" s="87"/>
      <c r="G122" s="87"/>
      <c r="H122" s="87">
        <v>0.6</v>
      </c>
      <c r="I122" s="53">
        <f t="shared" si="4"/>
        <v>9.4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65</v>
      </c>
      <c r="B123" s="60">
        <v>289</v>
      </c>
      <c r="C123" s="60">
        <v>10</v>
      </c>
      <c r="D123" s="60">
        <v>28</v>
      </c>
      <c r="E123" s="87">
        <v>0.4</v>
      </c>
      <c r="F123" s="87"/>
      <c r="G123" s="87"/>
      <c r="H123" s="87">
        <v>0.6</v>
      </c>
      <c r="I123" s="53">
        <f t="shared" si="4"/>
        <v>8.8000000000000007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>
        <v>70</v>
      </c>
      <c r="B124" s="60">
        <v>302</v>
      </c>
      <c r="C124" s="60">
        <v>11</v>
      </c>
      <c r="D124" s="60">
        <v>28</v>
      </c>
      <c r="E124" s="87">
        <v>0.5</v>
      </c>
      <c r="F124" s="87"/>
      <c r="G124" s="87"/>
      <c r="H124" s="87">
        <v>0.5</v>
      </c>
      <c r="I124" s="53">
        <f t="shared" si="4"/>
        <v>8.1999999999999993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>
        <v>75</v>
      </c>
      <c r="B125" s="60">
        <v>312</v>
      </c>
      <c r="C125" s="60">
        <v>12</v>
      </c>
      <c r="D125" s="60">
        <v>28</v>
      </c>
      <c r="E125" s="87">
        <v>0.5</v>
      </c>
      <c r="F125" s="87"/>
      <c r="G125" s="87"/>
      <c r="H125" s="87">
        <v>0.5</v>
      </c>
      <c r="I125" s="53">
        <f t="shared" si="4"/>
        <v>7.6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>
        <v>80</v>
      </c>
      <c r="B126" s="60">
        <v>320</v>
      </c>
      <c r="C126" s="60">
        <v>13</v>
      </c>
      <c r="D126" s="60">
        <v>28</v>
      </c>
      <c r="E126" s="65">
        <v>0.6</v>
      </c>
      <c r="F126" s="65"/>
      <c r="G126" s="65"/>
      <c r="H126" s="65">
        <v>0.4</v>
      </c>
      <c r="I126" s="53">
        <f t="shared" si="4"/>
        <v>7.2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>
        <v>90</v>
      </c>
      <c r="B127" s="60">
        <v>358</v>
      </c>
      <c r="C127" s="60">
        <v>15</v>
      </c>
      <c r="D127" s="60">
        <v>56</v>
      </c>
      <c r="E127" s="65">
        <v>0.7</v>
      </c>
      <c r="F127" s="65"/>
      <c r="G127" s="65"/>
      <c r="H127" s="65">
        <v>0.3</v>
      </c>
      <c r="I127" s="53">
        <f t="shared" si="4"/>
        <v>6.6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>
        <v>100</v>
      </c>
      <c r="B128" s="50">
        <v>362</v>
      </c>
      <c r="C128" s="50">
        <v>17</v>
      </c>
      <c r="D128" s="50">
        <v>56</v>
      </c>
      <c r="E128" s="54">
        <v>0.8</v>
      </c>
      <c r="F128" s="54"/>
      <c r="G128" s="54"/>
      <c r="H128" s="54">
        <v>0.2</v>
      </c>
      <c r="I128" s="53">
        <f t="shared" si="4"/>
        <v>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>
        <v>110</v>
      </c>
      <c r="B129" s="50">
        <v>358</v>
      </c>
      <c r="C129" s="50">
        <v>19</v>
      </c>
      <c r="D129" s="50">
        <v>51</v>
      </c>
      <c r="E129" s="54">
        <v>0.8</v>
      </c>
      <c r="F129" s="54"/>
      <c r="G129" s="54"/>
      <c r="H129" s="54">
        <v>0.2</v>
      </c>
      <c r="I129" s="53">
        <f t="shared" si="4"/>
        <v>5.2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>
        <v>120</v>
      </c>
      <c r="B130" s="50">
        <v>352</v>
      </c>
      <c r="C130" s="50">
        <v>21</v>
      </c>
      <c r="D130" s="50">
        <v>352</v>
      </c>
      <c r="E130" s="54">
        <v>0.9</v>
      </c>
      <c r="F130" s="54"/>
      <c r="G130" s="54"/>
      <c r="H130" s="54">
        <v>0.1</v>
      </c>
      <c r="I130" s="53">
        <f t="shared" si="4"/>
        <v>4.5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Aulne glutineux</v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15</v>
      </c>
      <c r="B140" s="60">
        <v>37</v>
      </c>
      <c r="C140" s="50">
        <v>1</v>
      </c>
      <c r="D140" s="60">
        <v>0</v>
      </c>
      <c r="E140" s="51">
        <v>0</v>
      </c>
      <c r="F140" s="51"/>
      <c r="G140" s="51"/>
      <c r="H140" s="51">
        <v>1</v>
      </c>
      <c r="I140" s="57">
        <f>IFERROR(B140/A140,"")</f>
        <v>2.4666666666666668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20</v>
      </c>
      <c r="B141" s="60">
        <v>80</v>
      </c>
      <c r="C141" s="50">
        <v>2</v>
      </c>
      <c r="D141" s="60">
        <v>0</v>
      </c>
      <c r="E141" s="51">
        <v>0</v>
      </c>
      <c r="F141" s="51"/>
      <c r="G141" s="51"/>
      <c r="H141" s="51">
        <v>1</v>
      </c>
      <c r="I141" s="57">
        <f t="shared" ref="I141:I159" si="5">IF(A141&lt;&gt;0,(B141-(B140-D140))/(A141-A140),"")</f>
        <v>8.6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25</v>
      </c>
      <c r="B142" s="60">
        <v>115</v>
      </c>
      <c r="C142" s="50">
        <v>3</v>
      </c>
      <c r="D142" s="60">
        <v>0</v>
      </c>
      <c r="E142" s="51">
        <v>0</v>
      </c>
      <c r="F142" s="51"/>
      <c r="G142" s="51"/>
      <c r="H142" s="51">
        <v>1</v>
      </c>
      <c r="I142" s="57">
        <f t="shared" si="5"/>
        <v>7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30</v>
      </c>
      <c r="B143" s="60">
        <v>146</v>
      </c>
      <c r="C143" s="50">
        <v>4</v>
      </c>
      <c r="D143" s="60">
        <v>28</v>
      </c>
      <c r="E143" s="51">
        <v>0</v>
      </c>
      <c r="F143" s="51"/>
      <c r="G143" s="51"/>
      <c r="H143" s="51">
        <v>1</v>
      </c>
      <c r="I143" s="57">
        <f t="shared" si="5"/>
        <v>6.2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35</v>
      </c>
      <c r="B144" s="60">
        <v>172</v>
      </c>
      <c r="C144" s="50">
        <v>5</v>
      </c>
      <c r="D144" s="60">
        <v>28</v>
      </c>
      <c r="E144" s="51">
        <v>0.2</v>
      </c>
      <c r="F144" s="51"/>
      <c r="G144" s="51"/>
      <c r="H144" s="51">
        <v>0.8</v>
      </c>
      <c r="I144" s="57">
        <f t="shared" si="5"/>
        <v>10.8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40</v>
      </c>
      <c r="B145" s="60">
        <v>192</v>
      </c>
      <c r="C145" s="50">
        <v>6</v>
      </c>
      <c r="D145" s="60">
        <v>28</v>
      </c>
      <c r="E145" s="51">
        <v>0.2</v>
      </c>
      <c r="F145" s="51"/>
      <c r="G145" s="51"/>
      <c r="H145" s="51">
        <v>0.8</v>
      </c>
      <c r="I145" s="57">
        <f t="shared" si="5"/>
        <v>9.6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45</v>
      </c>
      <c r="B146" s="60">
        <v>205</v>
      </c>
      <c r="C146" s="50">
        <v>7</v>
      </c>
      <c r="D146" s="60">
        <v>22</v>
      </c>
      <c r="E146" s="51">
        <v>0.3</v>
      </c>
      <c r="F146" s="51"/>
      <c r="G146" s="51"/>
      <c r="H146" s="51">
        <v>0.7</v>
      </c>
      <c r="I146" s="57">
        <f t="shared" si="5"/>
        <v>8.1999999999999993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50</v>
      </c>
      <c r="B147" s="60">
        <v>219</v>
      </c>
      <c r="C147" s="50">
        <v>8</v>
      </c>
      <c r="D147" s="60">
        <v>17</v>
      </c>
      <c r="E147" s="51">
        <v>0.3</v>
      </c>
      <c r="F147" s="51"/>
      <c r="G147" s="51"/>
      <c r="H147" s="51">
        <v>0.7</v>
      </c>
      <c r="I147" s="57">
        <f>IF(A147&lt;&gt;0,(B147-(B146-D146))/(A147-A146),"")</f>
        <v>7.2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55</v>
      </c>
      <c r="B148" s="60">
        <v>232</v>
      </c>
      <c r="C148" s="50">
        <v>9</v>
      </c>
      <c r="D148" s="60">
        <v>13</v>
      </c>
      <c r="E148" s="51">
        <v>0.4</v>
      </c>
      <c r="F148" s="51"/>
      <c r="G148" s="51"/>
      <c r="H148" s="51">
        <v>0.6</v>
      </c>
      <c r="I148" s="57">
        <f t="shared" si="5"/>
        <v>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60</v>
      </c>
      <c r="B149" s="60">
        <v>245</v>
      </c>
      <c r="C149" s="50">
        <v>10</v>
      </c>
      <c r="D149" s="60">
        <v>12</v>
      </c>
      <c r="E149" s="51">
        <v>0.4</v>
      </c>
      <c r="F149" s="51"/>
      <c r="G149" s="51"/>
      <c r="H149" s="51">
        <v>0.6</v>
      </c>
      <c r="I149" s="57">
        <f t="shared" si="5"/>
        <v>5.2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65</v>
      </c>
      <c r="B150" s="60">
        <v>255</v>
      </c>
      <c r="C150" s="50">
        <v>11</v>
      </c>
      <c r="D150" s="60">
        <v>11</v>
      </c>
      <c r="E150" s="51">
        <v>0.5</v>
      </c>
      <c r="F150" s="51"/>
      <c r="G150" s="51"/>
      <c r="H150" s="51">
        <v>0.5</v>
      </c>
      <c r="I150" s="57">
        <f t="shared" si="5"/>
        <v>4.4000000000000004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70</v>
      </c>
      <c r="B151" s="60">
        <v>263</v>
      </c>
      <c r="C151" s="50">
        <v>12</v>
      </c>
      <c r="D151" s="60">
        <v>10</v>
      </c>
      <c r="E151" s="51">
        <v>0.5</v>
      </c>
      <c r="F151" s="51"/>
      <c r="G151" s="51"/>
      <c r="H151" s="51">
        <v>0.5</v>
      </c>
      <c r="I151" s="57">
        <f t="shared" si="5"/>
        <v>3.8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75</v>
      </c>
      <c r="B152" s="60">
        <v>270</v>
      </c>
      <c r="C152" s="50">
        <v>13</v>
      </c>
      <c r="D152" s="60">
        <v>9</v>
      </c>
      <c r="E152" s="54">
        <v>0.6</v>
      </c>
      <c r="F152" s="54"/>
      <c r="G152" s="54"/>
      <c r="H152" s="54">
        <v>0.4</v>
      </c>
      <c r="I152" s="57">
        <f t="shared" si="5"/>
        <v>3.4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>
        <v>80</v>
      </c>
      <c r="B153" s="60">
        <v>275</v>
      </c>
      <c r="C153" s="50">
        <v>14</v>
      </c>
      <c r="D153" s="60">
        <v>275</v>
      </c>
      <c r="E153" s="54">
        <v>0.6</v>
      </c>
      <c r="F153" s="54"/>
      <c r="G153" s="54"/>
      <c r="H153" s="54">
        <v>0.4</v>
      </c>
      <c r="I153" s="57">
        <f t="shared" si="5"/>
        <v>2.8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Chêne vert</v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20</v>
      </c>
      <c r="B166" s="60">
        <v>42</v>
      </c>
      <c r="C166" s="60">
        <v>1</v>
      </c>
      <c r="D166" s="60">
        <v>0</v>
      </c>
      <c r="E166" s="51">
        <v>0</v>
      </c>
      <c r="F166" s="51"/>
      <c r="G166" s="51"/>
      <c r="H166" s="51">
        <v>1</v>
      </c>
      <c r="I166" s="49">
        <f>IFERROR(B166/A166,"")</f>
        <v>2.1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25</v>
      </c>
      <c r="B167" s="60">
        <v>70</v>
      </c>
      <c r="C167" s="60">
        <v>2</v>
      </c>
      <c r="D167" s="60">
        <v>0</v>
      </c>
      <c r="E167" s="51">
        <v>0</v>
      </c>
      <c r="F167" s="51"/>
      <c r="G167" s="51"/>
      <c r="H167" s="51">
        <v>1</v>
      </c>
      <c r="I167" s="49">
        <f t="shared" ref="I167:I185" si="6">IF(A167&lt;&gt;0,(B167-(B166-D166))/(A167-A166),"")</f>
        <v>5.6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30</v>
      </c>
      <c r="B168" s="60">
        <v>97</v>
      </c>
      <c r="C168" s="60">
        <v>3</v>
      </c>
      <c r="D168" s="60">
        <v>0</v>
      </c>
      <c r="E168" s="51">
        <v>0</v>
      </c>
      <c r="F168" s="51"/>
      <c r="G168" s="51"/>
      <c r="H168" s="51">
        <v>1</v>
      </c>
      <c r="I168" s="49">
        <f t="shared" si="6"/>
        <v>5.4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35</v>
      </c>
      <c r="B169" s="60">
        <v>116</v>
      </c>
      <c r="C169" s="60">
        <v>4</v>
      </c>
      <c r="D169" s="60">
        <v>21</v>
      </c>
      <c r="E169" s="51">
        <v>0</v>
      </c>
      <c r="F169" s="51"/>
      <c r="G169" s="51"/>
      <c r="H169" s="51">
        <v>1</v>
      </c>
      <c r="I169" s="49">
        <f t="shared" si="6"/>
        <v>3.8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40</v>
      </c>
      <c r="B170" s="60">
        <v>137</v>
      </c>
      <c r="C170" s="60">
        <v>5</v>
      </c>
      <c r="D170" s="60">
        <v>21</v>
      </c>
      <c r="E170" s="51">
        <v>0.2</v>
      </c>
      <c r="F170" s="51"/>
      <c r="G170" s="51"/>
      <c r="H170" s="51">
        <v>0.8</v>
      </c>
      <c r="I170" s="49">
        <f t="shared" si="6"/>
        <v>8.4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45</v>
      </c>
      <c r="B171" s="60">
        <v>158</v>
      </c>
      <c r="C171" s="60">
        <v>6</v>
      </c>
      <c r="D171" s="60">
        <v>21</v>
      </c>
      <c r="E171" s="51">
        <v>0.2</v>
      </c>
      <c r="F171" s="51"/>
      <c r="G171" s="51"/>
      <c r="H171" s="51">
        <v>0.8</v>
      </c>
      <c r="I171" s="49">
        <f t="shared" si="6"/>
        <v>8.4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50</v>
      </c>
      <c r="B172" s="60">
        <v>178</v>
      </c>
      <c r="C172" s="60">
        <v>7</v>
      </c>
      <c r="D172" s="60">
        <v>21</v>
      </c>
      <c r="E172" s="51">
        <v>0.3</v>
      </c>
      <c r="F172" s="51"/>
      <c r="G172" s="51"/>
      <c r="H172" s="51">
        <v>0.7</v>
      </c>
      <c r="I172" s="49">
        <f t="shared" si="6"/>
        <v>8.1999999999999993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55</v>
      </c>
      <c r="B173" s="50">
        <v>197</v>
      </c>
      <c r="C173" s="50">
        <v>8</v>
      </c>
      <c r="D173" s="50">
        <v>21</v>
      </c>
      <c r="E173" s="51">
        <v>0.3</v>
      </c>
      <c r="F173" s="51"/>
      <c r="G173" s="51"/>
      <c r="H173" s="51">
        <v>0.7</v>
      </c>
      <c r="I173" s="49">
        <f t="shared" si="6"/>
        <v>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60</v>
      </c>
      <c r="B174" s="50">
        <v>214</v>
      </c>
      <c r="C174" s="50">
        <v>9</v>
      </c>
      <c r="D174" s="50">
        <v>21</v>
      </c>
      <c r="E174" s="51">
        <v>0.4</v>
      </c>
      <c r="F174" s="51"/>
      <c r="G174" s="51"/>
      <c r="H174" s="51">
        <v>0.6</v>
      </c>
      <c r="I174" s="49">
        <f t="shared" si="6"/>
        <v>7.6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>
        <v>65</v>
      </c>
      <c r="B175" s="50">
        <v>229</v>
      </c>
      <c r="C175" s="50">
        <v>10</v>
      </c>
      <c r="D175" s="50">
        <v>21</v>
      </c>
      <c r="E175" s="51">
        <v>0.4</v>
      </c>
      <c r="F175" s="51"/>
      <c r="G175" s="51"/>
      <c r="H175" s="51">
        <v>0.6</v>
      </c>
      <c r="I175" s="49">
        <f t="shared" si="6"/>
        <v>7.2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>
        <v>70</v>
      </c>
      <c r="B176" s="50">
        <v>242</v>
      </c>
      <c r="C176" s="50">
        <v>11</v>
      </c>
      <c r="D176" s="50">
        <v>21</v>
      </c>
      <c r="E176" s="51">
        <v>0.5</v>
      </c>
      <c r="F176" s="51"/>
      <c r="G176" s="51"/>
      <c r="H176" s="51">
        <v>0.5</v>
      </c>
      <c r="I176" s="49">
        <f t="shared" si="6"/>
        <v>6.8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>
        <v>75</v>
      </c>
      <c r="B177" s="50">
        <v>252</v>
      </c>
      <c r="C177" s="50">
        <v>12</v>
      </c>
      <c r="D177" s="50">
        <v>21</v>
      </c>
      <c r="E177" s="51">
        <v>0.5</v>
      </c>
      <c r="F177" s="51"/>
      <c r="G177" s="51"/>
      <c r="H177" s="51">
        <v>0.5</v>
      </c>
      <c r="I177" s="49">
        <f t="shared" si="6"/>
        <v>6.2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>
        <v>80</v>
      </c>
      <c r="B178" s="50">
        <v>261</v>
      </c>
      <c r="C178" s="50">
        <v>13</v>
      </c>
      <c r="D178" s="50">
        <v>21</v>
      </c>
      <c r="E178" s="51">
        <v>0.6</v>
      </c>
      <c r="F178" s="51"/>
      <c r="G178" s="51"/>
      <c r="H178" s="51">
        <v>0.4</v>
      </c>
      <c r="I178" s="49">
        <f t="shared" si="6"/>
        <v>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>
        <v>85</v>
      </c>
      <c r="B179" s="50">
        <v>269</v>
      </c>
      <c r="C179" s="50">
        <v>14</v>
      </c>
      <c r="D179" s="50">
        <v>21</v>
      </c>
      <c r="E179" s="51">
        <v>0.6</v>
      </c>
      <c r="F179" s="51"/>
      <c r="G179" s="51"/>
      <c r="H179" s="51">
        <v>0.4</v>
      </c>
      <c r="I179" s="49">
        <f t="shared" si="6"/>
        <v>5.8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>
        <v>90</v>
      </c>
      <c r="B180" s="50">
        <v>275</v>
      </c>
      <c r="C180" s="50">
        <v>15</v>
      </c>
      <c r="D180" s="50">
        <v>21</v>
      </c>
      <c r="E180" s="51">
        <v>0.7</v>
      </c>
      <c r="F180" s="51"/>
      <c r="G180" s="51"/>
      <c r="H180" s="51">
        <v>0.3</v>
      </c>
      <c r="I180" s="49">
        <f t="shared" si="6"/>
        <v>5.4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>
        <v>100</v>
      </c>
      <c r="B181" s="50">
        <v>282</v>
      </c>
      <c r="C181" s="50">
        <v>16</v>
      </c>
      <c r="D181" s="50">
        <v>21</v>
      </c>
      <c r="E181" s="51">
        <v>0.7</v>
      </c>
      <c r="F181" s="51"/>
      <c r="G181" s="51"/>
      <c r="H181" s="51">
        <v>0.3</v>
      </c>
      <c r="I181" s="49">
        <f t="shared" si="6"/>
        <v>2.8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>
        <v>110</v>
      </c>
      <c r="B182" s="50">
        <v>285</v>
      </c>
      <c r="C182" s="50">
        <v>17</v>
      </c>
      <c r="D182" s="50">
        <v>19</v>
      </c>
      <c r="E182" s="51">
        <v>0.8</v>
      </c>
      <c r="F182" s="51"/>
      <c r="G182" s="51"/>
      <c r="H182" s="51">
        <v>0.2</v>
      </c>
      <c r="I182" s="49">
        <f t="shared" si="6"/>
        <v>2.4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>
        <v>120</v>
      </c>
      <c r="B183" s="50">
        <v>285</v>
      </c>
      <c r="C183" s="50">
        <v>18</v>
      </c>
      <c r="D183" s="50">
        <v>285</v>
      </c>
      <c r="E183" s="51">
        <v>0.8</v>
      </c>
      <c r="F183" s="51"/>
      <c r="G183" s="51"/>
      <c r="H183" s="51">
        <v>0.2</v>
      </c>
      <c r="I183" s="49">
        <f t="shared" si="6"/>
        <v>1.9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Pin maritime</v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>
        <v>20</v>
      </c>
      <c r="B192" s="60">
        <v>122.33</v>
      </c>
      <c r="C192" s="60">
        <v>1</v>
      </c>
      <c r="D192" s="60">
        <v>29.36</v>
      </c>
      <c r="E192" s="51">
        <v>0</v>
      </c>
      <c r="F192" s="51">
        <v>0.56000000000000005</v>
      </c>
      <c r="G192" s="51">
        <v>0.44</v>
      </c>
      <c r="H192" s="51"/>
      <c r="I192" s="49">
        <f>IFERROR(B192/A192,"")</f>
        <v>6.1165000000000003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>
        <v>25</v>
      </c>
      <c r="B193" s="60">
        <v>158.38</v>
      </c>
      <c r="C193" s="60">
        <v>2</v>
      </c>
      <c r="D193" s="60">
        <v>25.64</v>
      </c>
      <c r="E193" s="51">
        <v>0</v>
      </c>
      <c r="F193" s="51">
        <v>0.56000000000000005</v>
      </c>
      <c r="G193" s="51">
        <v>0.44</v>
      </c>
      <c r="H193" s="51"/>
      <c r="I193" s="49">
        <f t="shared" ref="I193:I211" si="7">IF(A193&lt;&gt;0,(B193-(B192-D192))/(A193-A192),"")</f>
        <v>13.081999999999999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>
        <v>30</v>
      </c>
      <c r="B194" s="60">
        <v>188.22</v>
      </c>
      <c r="C194" s="60">
        <v>3</v>
      </c>
      <c r="D194" s="60">
        <v>31.46</v>
      </c>
      <c r="E194" s="51">
        <v>0.2</v>
      </c>
      <c r="F194" s="51">
        <v>0.45</v>
      </c>
      <c r="G194" s="51">
        <v>0.35</v>
      </c>
      <c r="H194" s="51"/>
      <c r="I194" s="49">
        <f t="shared" si="7"/>
        <v>11.095999999999998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>
        <v>35</v>
      </c>
      <c r="B195" s="60">
        <v>217.9</v>
      </c>
      <c r="C195" s="60">
        <v>4</v>
      </c>
      <c r="D195" s="60">
        <v>32.89</v>
      </c>
      <c r="E195" s="51">
        <v>0.4</v>
      </c>
      <c r="F195" s="51">
        <v>0.34</v>
      </c>
      <c r="G195" s="51">
        <v>0.26</v>
      </c>
      <c r="H195" s="51"/>
      <c r="I195" s="49">
        <f t="shared" si="7"/>
        <v>12.228000000000003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>
        <v>40</v>
      </c>
      <c r="B196" s="60">
        <v>247.66</v>
      </c>
      <c r="C196" s="60">
        <v>5</v>
      </c>
      <c r="D196" s="60">
        <v>41.47</v>
      </c>
      <c r="E196" s="51">
        <v>0.6</v>
      </c>
      <c r="F196" s="51">
        <v>0.22</v>
      </c>
      <c r="G196" s="51">
        <v>0.18</v>
      </c>
      <c r="H196" s="51"/>
      <c r="I196" s="49">
        <f t="shared" si="7"/>
        <v>12.530000000000001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>
        <v>50</v>
      </c>
      <c r="B197" s="60">
        <v>323.67</v>
      </c>
      <c r="C197" s="60">
        <v>6</v>
      </c>
      <c r="D197" s="60">
        <v>53.31</v>
      </c>
      <c r="E197" s="51">
        <v>0.8</v>
      </c>
      <c r="F197" s="51">
        <v>0.11</v>
      </c>
      <c r="G197" s="51">
        <v>0.09</v>
      </c>
      <c r="H197" s="51"/>
      <c r="I197" s="49">
        <f t="shared" si="7"/>
        <v>11.748000000000001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>
        <v>65</v>
      </c>
      <c r="B198" s="60">
        <v>393.21</v>
      </c>
      <c r="C198" s="60">
        <v>7</v>
      </c>
      <c r="D198" s="60">
        <v>393.21</v>
      </c>
      <c r="E198" s="51">
        <v>0.9</v>
      </c>
      <c r="F198" s="51">
        <v>0.06</v>
      </c>
      <c r="G198" s="51">
        <v>0.04</v>
      </c>
      <c r="H198" s="51"/>
      <c r="I198" s="49">
        <f t="shared" si="7"/>
        <v>8.1899999999999977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>Cèdre de l'Atlas</v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>
        <v>30</v>
      </c>
      <c r="B218" s="60">
        <v>170</v>
      </c>
      <c r="C218" s="50">
        <v>1</v>
      </c>
      <c r="D218" s="60">
        <v>70</v>
      </c>
      <c r="E218" s="63">
        <v>0.2</v>
      </c>
      <c r="F218" s="63">
        <v>0.45</v>
      </c>
      <c r="G218" s="63">
        <v>0.35</v>
      </c>
      <c r="H218" s="63"/>
      <c r="I218" s="53">
        <f>IFERROR(B218/A218,"")</f>
        <v>5.666666666666667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>
        <v>40</v>
      </c>
      <c r="B219" s="60">
        <v>200</v>
      </c>
      <c r="C219" s="50">
        <v>2</v>
      </c>
      <c r="D219" s="60">
        <v>50</v>
      </c>
      <c r="E219" s="63">
        <v>0.3</v>
      </c>
      <c r="F219" s="63">
        <v>0.39</v>
      </c>
      <c r="G219" s="63">
        <v>0.31</v>
      </c>
      <c r="H219" s="63"/>
      <c r="I219" s="53">
        <f t="shared" ref="I219:I237" si="8">IF(A219&lt;&gt;0,(B219-(B218-D218))/(A219-A218),"")</f>
        <v>10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>
        <v>50</v>
      </c>
      <c r="B220" s="60">
        <v>255</v>
      </c>
      <c r="C220" s="50">
        <v>3</v>
      </c>
      <c r="D220" s="60">
        <v>50</v>
      </c>
      <c r="E220" s="63">
        <v>0.4</v>
      </c>
      <c r="F220" s="63">
        <v>0.34</v>
      </c>
      <c r="G220" s="63">
        <v>0.26</v>
      </c>
      <c r="H220" s="63"/>
      <c r="I220" s="53">
        <f t="shared" si="8"/>
        <v>10.5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>
        <v>60</v>
      </c>
      <c r="B221" s="55">
        <v>300</v>
      </c>
      <c r="C221" s="55">
        <v>4</v>
      </c>
      <c r="D221" s="55">
        <v>50</v>
      </c>
      <c r="E221" s="63">
        <v>0.5</v>
      </c>
      <c r="F221" s="63">
        <v>0.28000000000000003</v>
      </c>
      <c r="G221" s="63">
        <v>0.22</v>
      </c>
      <c r="H221" s="63"/>
      <c r="I221" s="53">
        <f t="shared" si="8"/>
        <v>9.5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>
        <v>65</v>
      </c>
      <c r="B222" s="55">
        <v>340</v>
      </c>
      <c r="C222" s="55">
        <v>5</v>
      </c>
      <c r="D222" s="55">
        <v>340</v>
      </c>
      <c r="E222" s="63">
        <v>0.6</v>
      </c>
      <c r="F222" s="63">
        <v>0.22</v>
      </c>
      <c r="G222" s="63">
        <v>0.18</v>
      </c>
      <c r="H222" s="63"/>
      <c r="I222" s="53">
        <f t="shared" si="8"/>
        <v>18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Chêne sessile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Chêne pubescent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Charme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Chêne pédonculé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>Aulne glutineux</v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>Chêne vert</v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>Pin maritime</v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>Cèdre de l'Atlas</v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458.37755197712164</v>
      </c>
      <c r="T3" s="59">
        <f>IF('Données projet'!E9&gt;30,$R$33-$H$33,LOOKUP('Données projet'!$E$9,$A$3:$A$203,R3:R203)-LOOKUP('Données projet'!$E$9,$A$3:$A$203,$H$3:$H$203))</f>
        <v>278.21741231699917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508.60701013958447</v>
      </c>
      <c r="AO3" s="59">
        <f>IF('Données projet'!E10&gt;30,$AM$33-$H$33,LOOKUP('Données projet'!$E$10,$A$3:$A$203,AM3:AM203)-LOOKUP('Données projet'!$E$10,$A$3:$A$203,$H$3:$H$203))</f>
        <v>306.61893266146654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291.17074241052887</v>
      </c>
      <c r="BJ3" s="59">
        <f>IF('Données projet'!E11&gt;30,$BH$33-$H$33,LOOKUP('Données projet'!$E$11,$A$3:$A$203,BH3:BH203)-LOOKUP('Données projet'!$E$11,$A$3:$A$203,$H$3:$H$203))</f>
        <v>241.18285512887638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429.61977776013185</v>
      </c>
      <c r="CE3" s="59">
        <f>IF('Données projet'!E12&gt;30,$CC$33-$H$33,LOOKUP('Données projet'!$E$12,$A$3:$A$203,CC3:CC203)-LOOKUP('Données projet'!$E$12,$A$3:$A$203,$H$3:$H$203))</f>
        <v>261.95434270986385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255.09913504736693</v>
      </c>
      <c r="CZ3" s="59">
        <f>IF('Données projet'!E13&gt;30,$CX$33-$H$33,LOOKUP('Données projet'!$E$13,$A$3:$A$203,CX3:CX203)-LOOKUP('Données projet'!$E$13,$A$3:$A$203,$H$3:$H$203))</f>
        <v>248.42617382406644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459.67331926893809</v>
      </c>
      <c r="DU3" s="59">
        <f>IF('Données projet'!E14&gt;30,$DS$33-$H$33,LOOKUP('Données projet'!$E$14,$A$3:$A$203,DS3:DS203)-LOOKUP('Données projet'!$E$14,$A$3:$A$203,$H$3:$H$203))</f>
        <v>280.33242658375497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264.08053957457469</v>
      </c>
      <c r="EP3" s="59">
        <f>IF('Données projet'!E15&gt;30,$EN$33-$H$33,LOOKUP('Données projet'!$E$15,$A$3:$A$203,EN3:EN203)-LOOKUP('Données projet'!$E$15,$A$3:$A$203,$H$3:$H$203))</f>
        <v>284.83300065761051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166.27444639635013</v>
      </c>
      <c r="FK3" s="59">
        <f>IF('Données projet'!E16&gt;30,$FI$33-$H$33,LOOKUP('Données projet'!$E$16,$A$3:$A$203,FI3:FI203)-LOOKUP('Données projet'!$E$16,$A$3:$A$203,$H$3:$H$203))</f>
        <v>213.60182977243113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260.72987866106189</v>
      </c>
      <c r="S4" s="59">
        <f ca="1">AVERAGE(OFFSET($R$3,0,0,'Données projet'!$E$9+1,1))-AVERAGE(OFFSET($H$3,0,0,'Données projet'!$E$9+1,1))</f>
        <v>458.37755197712164</v>
      </c>
      <c r="T4" s="59">
        <f>$T$3</f>
        <v>278.21741231699917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1.2566203774920315</v>
      </c>
      <c r="AK4" s="13">
        <f>EXP(-1.0587+0.8836*LN(AJ4)+0.284)</f>
        <v>0.56390871417545174</v>
      </c>
      <c r="AL4" s="20">
        <f t="shared" ref="AL4:AL67" si="4">(AJ4+AK4)*0.475*44/12</f>
        <v>3.1707548346542</v>
      </c>
      <c r="AM4" s="59">
        <f t="shared" ref="AM4:AM67" si="5">AL4+(AD4+AE4)*44/12</f>
        <v>261.05964372354305</v>
      </c>
      <c r="AN4" s="59">
        <f ca="1">AVERAGE(OFFSET($AM$3,0,0,'Données projet'!$E$10+1,1))-AVERAGE(OFFSET($H$3,0,0,'Données projet'!$E$10+1,1))</f>
        <v>508.60701013958447</v>
      </c>
      <c r="AO4" s="59">
        <f>$AO$3</f>
        <v>306.61893266146654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1.1471412528159133</v>
      </c>
      <c r="BF4" s="13">
        <f>EXP(-1.0587+0.8836*LN(BE4)+0.284)</f>
        <v>0.52027092443628509</v>
      </c>
      <c r="BG4" s="20">
        <f t="shared" ref="BG4:BG67" si="7">(BE4+BF4)*0.475*44/12</f>
        <v>2.9040762087142453</v>
      </c>
      <c r="BH4" s="59">
        <f t="shared" ref="BH4:BH67" si="8">BG4+(AY4+AZ4)*44/12</f>
        <v>260.79296509760309</v>
      </c>
      <c r="BI4" s="59">
        <f ca="1">AVERAGE(OFFSET($BH$3,0,0,'Données projet'!$E$11+1,1))-AVERAGE(OFFSET($H$3,0,0,'Données projet'!$E$11+1,1))</f>
        <v>291.17074241052887</v>
      </c>
      <c r="BJ4" s="59">
        <f>$BJ$3</f>
        <v>241.18285512887638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3.65</v>
      </c>
      <c r="BY4" s="12">
        <f>IF('Données projet'!$A$114&gt;35,BY3+BX4-CG3,IF(A4&lt;'Données projet'!$A$114,$BV$205^A4,IF(A4='Données projet'!$A$114,'Données projet'!$B$114,BY3+BX4-CG3)))</f>
        <v>1.2392705892426346</v>
      </c>
      <c r="BZ4" s="13">
        <f>BY4*VLOOKUP('Données projet'!$B$12,Paramètres!$A$1:$I$89,3,0)*VLOOKUP('Données projet'!$B$12,Paramètres!$A$1:$I$89,5,0)</f>
        <v>1.0439615443779955</v>
      </c>
      <c r="CA4" s="13">
        <f>EXP(-1.0587+0.8836*LN(BZ4)+0.284)</f>
        <v>0.478698084995758</v>
      </c>
      <c r="CB4" s="20">
        <f t="shared" ref="CB4:CB67" si="10">(BZ4+CA4)*0.475*44/12</f>
        <v>2.6519655211592874</v>
      </c>
      <c r="CC4" s="59">
        <f t="shared" ref="CC4:CC67" si="11">CB4+(BT4+BU4)*44/12</f>
        <v>260.54085441004815</v>
      </c>
      <c r="CD4" s="59">
        <f ca="1">AVERAGE(OFFSET($CC$3,0,0,'Données projet'!$E$12+1,1))-AVERAGE(OFFSET($H$3,0,0,'Données projet'!$E$12+1,1))</f>
        <v>429.61977776013185</v>
      </c>
      <c r="CE4" s="59">
        <f>$CE$3</f>
        <v>261.95434270986385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2.4666666666666668</v>
      </c>
      <c r="CT4" s="12">
        <f>IF('Données projet'!$A$140&gt;35,CT3+CS4-DB3,IF(A4&lt;'Données projet'!$A$140,$CQ$205^A4,IF(A4='Données projet'!$A$140,'Données projet'!$B$140,CT3+CS4-DB3)))</f>
        <v>1.2721747796233518</v>
      </c>
      <c r="CU4" s="17">
        <f>CT4*VLOOKUP('Données projet'!$B$13,Paramètres!$A$1:$I$89,3,0)*VLOOKUP('Données projet'!$B$13,Paramètres!$A$1:$I$89,5,0)</f>
        <v>0.83352891560922016</v>
      </c>
      <c r="CV4" s="13">
        <f>EXP(-1.0587+0.8836*LN(CU4)+0.284)</f>
        <v>0.39235353441936577</v>
      </c>
      <c r="CW4" s="20">
        <f t="shared" ref="CW4:CW67" si="13">(CU4+CV4)*0.475*44/12</f>
        <v>2.1350786004664535</v>
      </c>
      <c r="CX4" s="59">
        <f t="shared" ref="CX4:CX67" si="14">CW4+(CO4+CP4)*44/12</f>
        <v>260.0239674893553</v>
      </c>
      <c r="CY4" s="59">
        <f ca="1">AVERAGE(OFFSET($CX$3,0,0,'Données projet'!$E$13+1,1))-AVERAGE(OFFSET($H$3,0,0,'Données projet'!$E$13+1,1))</f>
        <v>255.09913504736693</v>
      </c>
      <c r="CZ4" s="59">
        <f>$CZ$3</f>
        <v>248.42617382406644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2.1</v>
      </c>
      <c r="DO4" s="12">
        <f>IF('Données projet'!$A$166&gt;35,DO3+DN4-DW3,IF(A4&lt;'Données projet'!$A$166,$DL$205^A4,IF(A4='Données projet'!$A$166,'Données projet'!$B$166,DO3+DN4-DW3)))</f>
        <v>1.2054868146447177</v>
      </c>
      <c r="DP4" s="17">
        <f>DO4*VLOOKUP('Données projet'!$B$14,Paramètres!$A$1:$I$89,3,0)*VLOOKUP('Données projet'!$B$14,Paramètres!$A$1:$I$89,5,0)</f>
        <v>1.3728083845174046</v>
      </c>
      <c r="DQ4" s="13">
        <f>EXP(-1.0587+0.8836*LN(DP4)+0.284)</f>
        <v>0.60973930699832779</v>
      </c>
      <c r="DR4" s="20">
        <f t="shared" ref="DR4:DR67" si="16">(DP4+DQ4)*0.475*44/12</f>
        <v>3.4529372293899008</v>
      </c>
      <c r="DS4" s="59">
        <f t="shared" ref="DS4:DS67" si="17">DR4+(DJ4+DK4)*44/12</f>
        <v>261.34182611827873</v>
      </c>
      <c r="DT4" s="59">
        <f ca="1">AVERAGE(OFFSET($DS$3,0,0,'Données projet'!$E$14+1,1))-AVERAGE(OFFSET($H$3,0,0,'Données projet'!$E$14+1,1))</f>
        <v>459.67331926893809</v>
      </c>
      <c r="DU4" s="59">
        <f>$DU$3</f>
        <v>280.33242658375497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6.1165000000000003</v>
      </c>
      <c r="EJ4" s="12">
        <f>IF('Données projet'!$A$192&gt;35,EJ3+EI4-ER3,IF(A4&lt;'Données projet'!$A$192,$EG$205^A4,IF(A4='Données projet'!$A$192,'Données projet'!$B$192,EJ3+EI4-ER3)))</f>
        <v>1.2716765087493749</v>
      </c>
      <c r="EK4" s="17">
        <f>EJ4*VLOOKUP('Données projet'!$B$15,Paramètres!$A$1:$I$89,3,0)*VLOOKUP('Données projet'!$B$15,Paramètres!$A$1:$I$89,5,0)</f>
        <v>0.76046255223212622</v>
      </c>
      <c r="EL4" s="13">
        <f>EXP(-1.0587+0.8836*LN(EK4)+0.284)</f>
        <v>0.36180322850258073</v>
      </c>
      <c r="EM4" s="20">
        <f t="shared" ref="EM4:EM67" si="19">(EK4+EL4)*0.475*44/12</f>
        <v>1.9546129014462814</v>
      </c>
      <c r="EN4" s="59">
        <f t="shared" ref="EN4:EN67" si="20">EM4+(EE4+EF4)*44/12</f>
        <v>259.84350179033515</v>
      </c>
      <c r="EO4" s="59">
        <f ca="1">AVERAGE(OFFSET($EN$3,0,0,'Données projet'!$E$15+1,1))-AVERAGE(OFFSET($H$3,0,0,'Données projet'!$E$15+1,1))</f>
        <v>264.08053957457469</v>
      </c>
      <c r="EP4" s="59">
        <f>$EP$3</f>
        <v>284.83300065761051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5.666666666666667</v>
      </c>
      <c r="FE4" s="12">
        <f>IF('Données projet'!$A$218&gt;35,FE3+FD4-FM3,IF(A4&lt;'Données projet'!$A$218,$FB$205^A4,IF(A4='Données projet'!$A$218,'Données projet'!$B$218,FE3+FD4-FM3)))</f>
        <v>1.1867200975826817</v>
      </c>
      <c r="FF4" s="17">
        <f>FE4*VLOOKUP('Données projet'!$B$16,Paramètres!$A$1:$I$89,3,0)*VLOOKUP('Données projet'!$B$16,Paramètres!$A$1:$I$89,5,0)</f>
        <v>0.55538500566869509</v>
      </c>
      <c r="FG4" s="13">
        <f>EXP(-1.0587+0.8836*LN(FF4)+0.284)</f>
        <v>0.27407880760927583</v>
      </c>
      <c r="FH4" s="20">
        <f t="shared" ref="FH4:FH67" si="22">(FF4+FG4)*0.475*44/12</f>
        <v>1.4446494747924661</v>
      </c>
      <c r="FI4" s="59">
        <f t="shared" ref="FI4:FI67" si="23">FH4+(EZ4+FA4)*44/12</f>
        <v>259.33353836368133</v>
      </c>
      <c r="FJ4" s="59">
        <f ca="1">AVERAGE(OFFSET($FI$3,0,0,'Données projet'!$E$16+1,1))-AVERAGE(OFFSET($H$3,0,0,'Données projet'!$E$16+1,1))</f>
        <v>166.27444639635013</v>
      </c>
      <c r="FK4" s="59">
        <f>$FK$3</f>
        <v>213.60182977243113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262.60472488787678</v>
      </c>
      <c r="S5" s="59">
        <f ca="1">AVERAGE(OFFSET($R$3,0,0,'Données projet'!$E$9+1,1))-AVERAGE(OFFSET($H$3,0,0,'Données projet'!$E$9+1,1))</f>
        <v>458.37755197712164</v>
      </c>
      <c r="T5" s="59">
        <f t="shared" ref="T5:T68" si="34">$T$3</f>
        <v>278.21741231699917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1.5572926756688519</v>
      </c>
      <c r="AK5" s="13">
        <f t="shared" ref="AK5:AK68" si="35">EXP(-1.0587+0.8836*LN(AJ5)+0.284)</f>
        <v>0.68160129960402205</v>
      </c>
      <c r="AL5" s="20">
        <f t="shared" si="4"/>
        <v>3.8994070069335893</v>
      </c>
      <c r="AM5" s="59">
        <f t="shared" si="5"/>
        <v>263.01051811804473</v>
      </c>
      <c r="AN5" s="59">
        <f ca="1">AVERAGE(OFFSET($AM$3,0,0,'Données projet'!$E$10+1,1))-AVERAGE(OFFSET($H$3,0,0,'Données projet'!$E$10+1,1))</f>
        <v>508.60701013958447</v>
      </c>
      <c r="AO5" s="59">
        <f t="shared" ref="AO5:AO68" si="36">$AO$3</f>
        <v>306.61893266146654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1.3828636548046063</v>
      </c>
      <c r="BF5" s="13">
        <f t="shared" ref="BF5:BF68" si="37">EXP(-1.0587+0.8836*LN(BE5)+0.284)</f>
        <v>0.61368387142089176</v>
      </c>
      <c r="BG5" s="20">
        <f t="shared" si="7"/>
        <v>3.4773202748427425</v>
      </c>
      <c r="BH5" s="59">
        <f t="shared" si="8"/>
        <v>262.58843138595387</v>
      </c>
      <c r="BI5" s="59">
        <f ca="1">AVERAGE(OFFSET($BH$3,0,0,'Données projet'!$E$11+1,1))-AVERAGE(OFFSET($H$3,0,0,'Données projet'!$E$11+1,1))</f>
        <v>291.17074241052887</v>
      </c>
      <c r="BJ5" s="59">
        <f t="shared" ref="BJ5:BJ68" si="38">$BJ$3</f>
        <v>241.18285512887638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3.65</v>
      </c>
      <c r="BY5" s="12">
        <f>IF('Données projet'!$A$114&gt;35,BY4+BX5-CG4,IF(A5&lt;'Données projet'!$A$114,$BV$205^A5,IF(A5='Données projet'!$A$114,'Données projet'!$B$114,BY4+BX5-CG4)))</f>
        <v>1.5357915933617867</v>
      </c>
      <c r="BZ5" s="13">
        <f>BY5*VLOOKUP('Données projet'!$B$12,Paramètres!$A$1:$I$89,3,0)*VLOOKUP('Données projet'!$B$12,Paramètres!$A$1:$I$89,5,0)</f>
        <v>1.2937508382479692</v>
      </c>
      <c r="CA5" s="13">
        <f t="shared" ref="CA5:CA68" si="39">EXP(-1.0587+0.8836*LN(BZ5)+0.284)</f>
        <v>0.57860648124254321</v>
      </c>
      <c r="CB5" s="20">
        <f t="shared" si="10"/>
        <v>3.2610223314459752</v>
      </c>
      <c r="CC5" s="59">
        <f t="shared" si="11"/>
        <v>262.37213344255713</v>
      </c>
      <c r="CD5" s="59">
        <f ca="1">AVERAGE(OFFSET($CC$3,0,0,'Données projet'!$E$12+1,1))-AVERAGE(OFFSET($H$3,0,0,'Données projet'!$E$12+1,1))</f>
        <v>429.61977776013185</v>
      </c>
      <c r="CE5" s="59">
        <f t="shared" ref="CE5:CE68" si="40">$CE$3</f>
        <v>261.95434270986385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2.4666666666666668</v>
      </c>
      <c r="CT5" s="12">
        <f>IF('Données projet'!$A$140&gt;35,CT4+CS5-DB4,IF(A5&lt;'Données projet'!$A$140,$CQ$205^A5,IF(A5='Données projet'!$A$140,'Données projet'!$B$140,CT4+CS5-DB4)))</f>
        <v>1.6184286699097237</v>
      </c>
      <c r="CU5" s="17">
        <f>CT5*VLOOKUP('Données projet'!$B$13,Paramètres!$A$1:$I$89,3,0)*VLOOKUP('Données projet'!$B$13,Paramètres!$A$1:$I$89,5,0)</f>
        <v>1.0603944645248509</v>
      </c>
      <c r="CV5" s="13">
        <f t="shared" ref="CV5:CV68" si="41">EXP(-1.0587+0.8836*LN(CU5)+0.284)</f>
        <v>0.48535007986351425</v>
      </c>
      <c r="CW5" s="20">
        <f t="shared" si="13"/>
        <v>2.6921717481430694</v>
      </c>
      <c r="CX5" s="59">
        <f t="shared" si="14"/>
        <v>261.80328285925424</v>
      </c>
      <c r="CY5" s="59">
        <f ca="1">AVERAGE(OFFSET($CX$3,0,0,'Données projet'!$E$13+1,1))-AVERAGE(OFFSET($H$3,0,0,'Données projet'!$E$13+1,1))</f>
        <v>255.09913504736693</v>
      </c>
      <c r="CZ5" s="59">
        <f t="shared" ref="CZ5:CZ68" si="42">$CZ$3</f>
        <v>248.42617382406644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2.1</v>
      </c>
      <c r="DO5" s="12">
        <f>IF('Données projet'!$A$166&gt;35,DO4+DN5-DW4,IF(A5&lt;'Données projet'!$A$166,$DL$205^A5,IF(A5='Données projet'!$A$166,'Données projet'!$B$166,DO4+DN5-DW4)))</f>
        <v>1.4531984602822681</v>
      </c>
      <c r="DP5" s="17">
        <f>DO5*VLOOKUP('Données projet'!$B$14,Paramètres!$A$1:$I$89,3,0)*VLOOKUP('Données projet'!$B$14,Paramètres!$A$1:$I$89,5,0)</f>
        <v>1.6549024065694471</v>
      </c>
      <c r="DQ5" s="13">
        <f t="shared" ref="DQ5:DQ68" si="43">EXP(-1.0587+0.8836*LN(DP5)+0.284)</f>
        <v>0.71921601016174064</v>
      </c>
      <c r="DR5" s="20">
        <f t="shared" si="16"/>
        <v>4.134922909140152</v>
      </c>
      <c r="DS5" s="59">
        <f t="shared" si="17"/>
        <v>263.24603402025127</v>
      </c>
      <c r="DT5" s="59">
        <f ca="1">AVERAGE(OFFSET($DS$3,0,0,'Données projet'!$E$14+1,1))-AVERAGE(OFFSET($H$3,0,0,'Données projet'!$E$14+1,1))</f>
        <v>459.67331926893809</v>
      </c>
      <c r="DU5" s="59">
        <f t="shared" ref="DU5:DU68" si="44">$DU$3</f>
        <v>280.33242658375497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6.1165000000000003</v>
      </c>
      <c r="EJ5" s="12">
        <f>IF('Données projet'!$A$192&gt;35,EJ4+EI5-ER4,IF(A5&lt;'Données projet'!$A$192,$EG$205^A5,IF(A5='Données projet'!$A$192,'Données projet'!$B$192,EJ4+EI5-ER4)))</f>
        <v>1.617161142904999</v>
      </c>
      <c r="EK5" s="17">
        <f>EJ5*VLOOKUP('Données projet'!$B$15,Paramètres!$A$1:$I$89,3,0)*VLOOKUP('Données projet'!$B$15,Paramètres!$A$1:$I$89,5,0)</f>
        <v>0.96706236345718943</v>
      </c>
      <c r="EL5" s="13">
        <f t="shared" ref="EL5:EL68" si="45">EXP(-1.0587+0.8836*LN(EK5)+0.284)</f>
        <v>0.44740377563053879</v>
      </c>
      <c r="EM5" s="20">
        <f t="shared" si="19"/>
        <v>2.4635285255777934</v>
      </c>
      <c r="EN5" s="59">
        <f t="shared" si="20"/>
        <v>261.57463963668891</v>
      </c>
      <c r="EO5" s="59">
        <f ca="1">AVERAGE(OFFSET($EN$3,0,0,'Données projet'!$E$15+1,1))-AVERAGE(OFFSET($H$3,0,0,'Données projet'!$E$15+1,1))</f>
        <v>264.08053957457469</v>
      </c>
      <c r="EP5" s="59">
        <f t="shared" ref="EP5:EP68" si="46">$EP$3</f>
        <v>284.83300065761051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5.666666666666667</v>
      </c>
      <c r="FE5" s="12">
        <f>IF('Données projet'!$A$218&gt;35,FE4+FD5-FM4,IF(A5&lt;'Données projet'!$A$218,$FB$205^A5,IF(A5='Données projet'!$A$218,'Données projet'!$B$218,FE4+FD5-FM4)))</f>
        <v>1.4083045900066495</v>
      </c>
      <c r="FF5" s="17">
        <f>FE5*VLOOKUP('Données projet'!$B$16,Paramètres!$A$1:$I$89,3,0)*VLOOKUP('Données projet'!$B$16,Paramètres!$A$1:$I$89,5,0)</f>
        <v>0.65908654812311196</v>
      </c>
      <c r="FG5" s="13">
        <f t="shared" ref="FG5:FG68" si="47">EXP(-1.0587+0.8836*LN(FF5)+0.284)</f>
        <v>0.31883765901680755</v>
      </c>
      <c r="FH5" s="20">
        <f t="shared" si="22"/>
        <v>1.7032179941020262</v>
      </c>
      <c r="FI5" s="59">
        <f t="shared" si="23"/>
        <v>260.81432910521318</v>
      </c>
      <c r="FJ5" s="59">
        <f ca="1">AVERAGE(OFFSET($FI$3,0,0,'Données projet'!$E$16+1,1))-AVERAGE(OFFSET($H$3,0,0,'Données projet'!$E$16+1,1))</f>
        <v>166.27444639635013</v>
      </c>
      <c r="FK5" s="59">
        <f t="shared" ref="FK5:FK68" si="48">$FK$3</f>
        <v>213.60182977243113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264.63006022433916</v>
      </c>
      <c r="S6" s="59">
        <f ca="1">AVERAGE(OFFSET($R$3,0,0,'Données projet'!$E$9+1,1))-AVERAGE(OFFSET($H$3,0,0,'Données projet'!$E$9+1,1))</f>
        <v>458.37755197712164</v>
      </c>
      <c r="T6" s="59">
        <f t="shared" si="34"/>
        <v>278.21741231699917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1.9299070117993768</v>
      </c>
      <c r="AK6" s="13">
        <f t="shared" si="35"/>
        <v>0.82385733708903885</v>
      </c>
      <c r="AL6" s="20">
        <f t="shared" si="4"/>
        <v>4.7961395743139903</v>
      </c>
      <c r="AM6" s="59">
        <f t="shared" si="5"/>
        <v>265.12947290764731</v>
      </c>
      <c r="AN6" s="59">
        <f ca="1">AVERAGE(OFFSET($AM$3,0,0,'Données projet'!$E$10+1,1))-AVERAGE(OFFSET($H$3,0,0,'Données projet'!$E$10+1,1))</f>
        <v>508.60701013958447</v>
      </c>
      <c r="AO6" s="59">
        <f t="shared" si="36"/>
        <v>306.61893266146654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1.6670239023183575</v>
      </c>
      <c r="BF6" s="13">
        <f t="shared" si="37"/>
        <v>0.72386880825637001</v>
      </c>
      <c r="BG6" s="20">
        <f t="shared" si="7"/>
        <v>4.1641381375843167</v>
      </c>
      <c r="BH6" s="59">
        <f t="shared" si="8"/>
        <v>264.49747147091762</v>
      </c>
      <c r="BI6" s="59">
        <f ca="1">AVERAGE(OFFSET($BH$3,0,0,'Données projet'!$E$11+1,1))-AVERAGE(OFFSET($H$3,0,0,'Données projet'!$E$11+1,1))</f>
        <v>291.17074241052887</v>
      </c>
      <c r="BJ6" s="59">
        <f t="shared" si="38"/>
        <v>241.18285512887638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3.65</v>
      </c>
      <c r="BY6" s="12">
        <f>IF('Données projet'!$A$114&gt;35,BY5+BX6-CG5,IF(A6&lt;'Données projet'!$A$114,$BV$205^A6,IF(A6='Données projet'!$A$114,'Données projet'!$B$114,BY5+BX6-CG5)))</f>
        <v>1.9032613528593461</v>
      </c>
      <c r="BZ6" s="13">
        <f>BY6*VLOOKUP('Données projet'!$B$12,Paramètres!$A$1:$I$89,3,0)*VLOOKUP('Données projet'!$B$12,Paramètres!$A$1:$I$89,5,0)</f>
        <v>1.6033073636487132</v>
      </c>
      <c r="CA6" s="13">
        <f t="shared" si="39"/>
        <v>0.69936661672428513</v>
      </c>
      <c r="CB6" s="20">
        <f t="shared" si="10"/>
        <v>4.0104905158163051</v>
      </c>
      <c r="CC6" s="59">
        <f t="shared" si="11"/>
        <v>264.3438238491496</v>
      </c>
      <c r="CD6" s="59">
        <f ca="1">AVERAGE(OFFSET($CC$3,0,0,'Données projet'!$E$12+1,1))-AVERAGE(OFFSET($H$3,0,0,'Données projet'!$E$12+1,1))</f>
        <v>429.61977776013185</v>
      </c>
      <c r="CE6" s="59">
        <f t="shared" si="40"/>
        <v>261.95434270986385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2.4666666666666668</v>
      </c>
      <c r="CT6" s="12">
        <f>IF('Données projet'!$A$140&gt;35,CT5+CS6-DB5,IF(A6&lt;'Données projet'!$A$140,$CQ$205^A6,IF(A6='Données projet'!$A$140,'Données projet'!$B$140,CT5+CS6-DB5)))</f>
        <v>2.0589241364785171</v>
      </c>
      <c r="CU6" s="17">
        <f>CT6*VLOOKUP('Données projet'!$B$13,Paramètres!$A$1:$I$89,3,0)*VLOOKUP('Données projet'!$B$13,Paramètres!$A$1:$I$89,5,0)</f>
        <v>1.3490070942207244</v>
      </c>
      <c r="CV6" s="13">
        <f t="shared" si="41"/>
        <v>0.60038888236887178</v>
      </c>
      <c r="CW6" s="20">
        <f t="shared" si="13"/>
        <v>3.3951979925602132</v>
      </c>
      <c r="CX6" s="59">
        <f t="shared" si="14"/>
        <v>263.72853132589353</v>
      </c>
      <c r="CY6" s="59">
        <f ca="1">AVERAGE(OFFSET($CX$3,0,0,'Données projet'!$E$13+1,1))-AVERAGE(OFFSET($H$3,0,0,'Données projet'!$E$13+1,1))</f>
        <v>255.09913504736693</v>
      </c>
      <c r="CZ6" s="59">
        <f t="shared" si="42"/>
        <v>248.42617382406644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2.1</v>
      </c>
      <c r="DO6" s="12">
        <f>IF('Données projet'!$A$166&gt;35,DO5+DN6-DW5,IF(A6&lt;'Données projet'!$A$166,$DL$205^A6,IF(A6='Données projet'!$A$166,'Données projet'!$B$166,DO5+DN6-DW5)))</f>
        <v>1.7518115829322798</v>
      </c>
      <c r="DP6" s="17">
        <f>DO6*VLOOKUP('Données projet'!$B$14,Paramètres!$A$1:$I$89,3,0)*VLOOKUP('Données projet'!$B$14,Paramètres!$A$1:$I$89,5,0)</f>
        <v>1.9949630306432804</v>
      </c>
      <c r="DQ6" s="13">
        <f t="shared" si="43"/>
        <v>0.84834889818640413</v>
      </c>
      <c r="DR6" s="20">
        <f t="shared" si="16"/>
        <v>4.9521016093783672</v>
      </c>
      <c r="DS6" s="59">
        <f t="shared" si="17"/>
        <v>265.28543494271167</v>
      </c>
      <c r="DT6" s="59">
        <f ca="1">AVERAGE(OFFSET($DS$3,0,0,'Données projet'!$E$14+1,1))-AVERAGE(OFFSET($H$3,0,0,'Données projet'!$E$14+1,1))</f>
        <v>459.67331926893809</v>
      </c>
      <c r="DU6" s="59">
        <f t="shared" si="44"/>
        <v>280.33242658375497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6.1165000000000003</v>
      </c>
      <c r="EJ6" s="12">
        <f>IF('Données projet'!$A$192&gt;35,EJ5+EI6-ER5,IF(A6&lt;'Données projet'!$A$192,$EG$205^A6,IF(A6='Données projet'!$A$192,'Données projet'!$B$192,EJ5+EI6-ER5)))</f>
        <v>2.0565058362945781</v>
      </c>
      <c r="EK6" s="17">
        <f>EJ6*VLOOKUP('Données projet'!$B$15,Paramètres!$A$1:$I$89,3,0)*VLOOKUP('Données projet'!$B$15,Paramètres!$A$1:$I$89,5,0)</f>
        <v>1.2297904901041576</v>
      </c>
      <c r="EL6" s="13">
        <f t="shared" si="45"/>
        <v>0.55325691613344363</v>
      </c>
      <c r="EM6" s="20">
        <f t="shared" si="19"/>
        <v>3.1054742325304883</v>
      </c>
      <c r="EN6" s="59">
        <f t="shared" si="20"/>
        <v>263.43880756586378</v>
      </c>
      <c r="EO6" s="59">
        <f ca="1">AVERAGE(OFFSET($EN$3,0,0,'Données projet'!$E$15+1,1))-AVERAGE(OFFSET($H$3,0,0,'Données projet'!$E$15+1,1))</f>
        <v>264.08053957457469</v>
      </c>
      <c r="EP6" s="59">
        <f t="shared" si="46"/>
        <v>284.83300065761051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5.666666666666667</v>
      </c>
      <c r="FE6" s="12">
        <f>IF('Données projet'!$A$218&gt;35,FE5+FD6-FM5,IF(A6&lt;'Données projet'!$A$218,$FB$205^A6,IF(A6='Données projet'!$A$218,'Données projet'!$B$218,FE5+FD6-FM5)))</f>
        <v>1.6712633604788296</v>
      </c>
      <c r="FF6" s="17">
        <f>FE6*VLOOKUP('Données projet'!$B$16,Paramètres!$A$1:$I$89,3,0)*VLOOKUP('Données projet'!$B$16,Paramètres!$A$1:$I$89,5,0)</f>
        <v>0.78215125270409225</v>
      </c>
      <c r="FG6" s="13">
        <f t="shared" si="47"/>
        <v>0.37090592189177923</v>
      </c>
      <c r="FH6" s="20">
        <f t="shared" si="22"/>
        <v>2.0082412457544763</v>
      </c>
      <c r="FI6" s="59">
        <f t="shared" si="23"/>
        <v>262.34157457908782</v>
      </c>
      <c r="FJ6" s="59">
        <f ca="1">AVERAGE(OFFSET($FI$3,0,0,'Données projet'!$E$16+1,1))-AVERAGE(OFFSET($H$3,0,0,'Données projet'!$E$16+1,1))</f>
        <v>166.27444639635013</v>
      </c>
      <c r="FK6" s="59">
        <f t="shared" si="48"/>
        <v>213.60182977243113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266.84071003350698</v>
      </c>
      <c r="S7" s="59">
        <f ca="1">AVERAGE(OFFSET($R$3,0,0,'Données projet'!$E$9+1,1))-AVERAGE(OFFSET($H$3,0,0,'Données projet'!$E$9+1,1))</f>
        <v>458.37755197712164</v>
      </c>
      <c r="T7" s="59">
        <f t="shared" si="34"/>
        <v>278.21741231699917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2.3916769996961063</v>
      </c>
      <c r="AK7" s="13">
        <f t="shared" si="35"/>
        <v>0.9958034297612971</v>
      </c>
      <c r="AL7" s="20">
        <f t="shared" si="4"/>
        <v>5.8998617479716442</v>
      </c>
      <c r="AM7" s="59">
        <f t="shared" si="5"/>
        <v>267.45541730352721</v>
      </c>
      <c r="AN7" s="59">
        <f ca="1">AVERAGE(OFFSET($AM$3,0,0,'Données projet'!$E$10+1,1))-AVERAGE(OFFSET($H$3,0,0,'Données projet'!$E$10+1,1))</f>
        <v>508.60701013958447</v>
      </c>
      <c r="AO7" s="59">
        <f t="shared" si="36"/>
        <v>306.61893266146654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2.0095753339423639</v>
      </c>
      <c r="BF7" s="13">
        <f t="shared" si="37"/>
        <v>0.85383709099815042</v>
      </c>
      <c r="BG7" s="20">
        <f t="shared" si="7"/>
        <v>4.9871099734380619</v>
      </c>
      <c r="BH7" s="59">
        <f t="shared" si="8"/>
        <v>266.54266552899361</v>
      </c>
      <c r="BI7" s="59">
        <f ca="1">AVERAGE(OFFSET($BH$3,0,0,'Données projet'!$E$11+1,1))-AVERAGE(OFFSET($H$3,0,0,'Données projet'!$E$11+1,1))</f>
        <v>291.17074241052887</v>
      </c>
      <c r="BJ7" s="59">
        <f t="shared" si="38"/>
        <v>241.18285512887638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3.65</v>
      </c>
      <c r="BY7" s="12">
        <f>IF('Données projet'!$A$114&gt;35,BY6+BX7-CG6,IF(A7&lt;'Données projet'!$A$114,$BV$205^A7,IF(A7='Données projet'!$A$114,'Données projet'!$B$114,BY6+BX7-CG6)))</f>
        <v>2.3586558182407358</v>
      </c>
      <c r="BZ7" s="13">
        <f>BY7*VLOOKUP('Données projet'!$B$12,Paramètres!$A$1:$I$89,3,0)*VLOOKUP('Données projet'!$B$12,Paramètres!$A$1:$I$89,5,0)</f>
        <v>1.9869316612859962</v>
      </c>
      <c r="CA7" s="13">
        <f t="shared" si="39"/>
        <v>0.84533042826968274</v>
      </c>
      <c r="CB7" s="20">
        <f t="shared" si="10"/>
        <v>4.9328564726428068</v>
      </c>
      <c r="CC7" s="59">
        <f t="shared" si="11"/>
        <v>266.48841202819835</v>
      </c>
      <c r="CD7" s="59">
        <f ca="1">AVERAGE(OFFSET($CC$3,0,0,'Données projet'!$E$12+1,1))-AVERAGE(OFFSET($H$3,0,0,'Données projet'!$E$12+1,1))</f>
        <v>429.61977776013185</v>
      </c>
      <c r="CE7" s="59">
        <f t="shared" si="40"/>
        <v>261.95434270986385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2.4666666666666668</v>
      </c>
      <c r="CT7" s="12">
        <f>IF('Données projet'!$A$140&gt;35,CT6+CS7-DB6,IF(A7&lt;'Données projet'!$A$140,$CQ$205^A7,IF(A7='Données projet'!$A$140,'Données projet'!$B$140,CT6+CS7-DB6)))</f>
        <v>2.6193113595857573</v>
      </c>
      <c r="CU7" s="17">
        <f>CT7*VLOOKUP('Données projet'!$B$13,Paramètres!$A$1:$I$89,3,0)*VLOOKUP('Données projet'!$B$13,Paramètres!$A$1:$I$89,5,0)</f>
        <v>1.7161728028005883</v>
      </c>
      <c r="CV7" s="13">
        <f t="shared" si="41"/>
        <v>0.74269444886773317</v>
      </c>
      <c r="CW7" s="20">
        <f t="shared" si="13"/>
        <v>4.2825271299889929</v>
      </c>
      <c r="CX7" s="59">
        <f t="shared" si="14"/>
        <v>265.83808268554452</v>
      </c>
      <c r="CY7" s="59">
        <f ca="1">AVERAGE(OFFSET($CX$3,0,0,'Données projet'!$E$13+1,1))-AVERAGE(OFFSET($H$3,0,0,'Données projet'!$E$13+1,1))</f>
        <v>255.09913504736693</v>
      </c>
      <c r="CZ7" s="59">
        <f t="shared" si="42"/>
        <v>248.42617382406644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2.1</v>
      </c>
      <c r="DO7" s="12">
        <f>IF('Données projet'!$A$166&gt;35,DO6+DN7-DW6,IF(A7&lt;'Données projet'!$A$166,$DL$205^A7,IF(A7='Données projet'!$A$166,'Données projet'!$B$166,DO6+DN7-DW6)))</f>
        <v>2.1117857649667546</v>
      </c>
      <c r="DP7" s="17">
        <f>DO7*VLOOKUP('Données projet'!$B$14,Paramètres!$A$1:$I$89,3,0)*VLOOKUP('Données projet'!$B$14,Paramètres!$A$1:$I$89,5,0)</f>
        <v>2.4049016291441401</v>
      </c>
      <c r="DQ7" s="13">
        <f t="shared" si="43"/>
        <v>1.0006671749315441</v>
      </c>
      <c r="DR7" s="20">
        <f t="shared" si="16"/>
        <v>5.9313656670984827</v>
      </c>
      <c r="DS7" s="59">
        <f t="shared" si="17"/>
        <v>267.48692122265402</v>
      </c>
      <c r="DT7" s="59">
        <f ca="1">AVERAGE(OFFSET($DS$3,0,0,'Données projet'!$E$14+1,1))-AVERAGE(OFFSET($H$3,0,0,'Données projet'!$E$14+1,1))</f>
        <v>459.67331926893809</v>
      </c>
      <c r="DU7" s="59">
        <f t="shared" si="44"/>
        <v>280.33242658375497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6.1165000000000003</v>
      </c>
      <c r="EJ7" s="12">
        <f>IF('Données projet'!$A$192&gt;35,EJ6+EI7-ER6,IF(A7&lt;'Données projet'!$A$192,$EG$205^A7,IF(A7='Données projet'!$A$192,'Données projet'!$B$192,EJ6+EI7-ER6)))</f>
        <v>2.6152101621218025</v>
      </c>
      <c r="EK7" s="17">
        <f>EJ7*VLOOKUP('Données projet'!$B$15,Paramètres!$A$1:$I$89,3,0)*VLOOKUP('Données projet'!$B$15,Paramètres!$A$1:$I$89,5,0)</f>
        <v>1.5638956769488381</v>
      </c>
      <c r="EL7" s="13">
        <f t="shared" si="45"/>
        <v>0.68415429623521296</v>
      </c>
      <c r="EM7" s="20">
        <f t="shared" si="19"/>
        <v>3.9153537032955552</v>
      </c>
      <c r="EN7" s="59">
        <f t="shared" si="20"/>
        <v>265.47090925885112</v>
      </c>
      <c r="EO7" s="59">
        <f ca="1">AVERAGE(OFFSET($EN$3,0,0,'Données projet'!$E$15+1,1))-AVERAGE(OFFSET($H$3,0,0,'Données projet'!$E$15+1,1))</f>
        <v>264.08053957457469</v>
      </c>
      <c r="EP7" s="59">
        <f t="shared" si="46"/>
        <v>284.83300065761051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5.666666666666667</v>
      </c>
      <c r="FE7" s="12">
        <f>IF('Données projet'!$A$218&gt;35,FE6+FD7-FM6,IF(A7&lt;'Données projet'!$A$218,$FB$205^A7,IF(A7='Données projet'!$A$218,'Données projet'!$B$218,FE6+FD7-FM6)))</f>
        <v>1.9833218182337973</v>
      </c>
      <c r="FF7" s="17">
        <f>FE7*VLOOKUP('Données projet'!$B$16,Paramètres!$A$1:$I$89,3,0)*VLOOKUP('Données projet'!$B$16,Paramètres!$A$1:$I$89,5,0)</f>
        <v>0.92819461093341715</v>
      </c>
      <c r="FG7" s="13">
        <f t="shared" si="47"/>
        <v>0.43147727065433811</v>
      </c>
      <c r="FH7" s="20">
        <f t="shared" si="22"/>
        <v>2.3680951937653405</v>
      </c>
      <c r="FI7" s="59">
        <f t="shared" si="23"/>
        <v>263.92365074932087</v>
      </c>
      <c r="FJ7" s="59">
        <f ca="1">AVERAGE(OFFSET($FI$3,0,0,'Données projet'!$E$16+1,1))-AVERAGE(OFFSET($H$3,0,0,'Données projet'!$E$16+1,1))</f>
        <v>166.27444639635013</v>
      </c>
      <c r="FK7" s="59">
        <f t="shared" si="48"/>
        <v>213.60182977243113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269.27958561684324</v>
      </c>
      <c r="S8" s="59">
        <f ca="1">AVERAGE(OFFSET($R$3,0,0,'Données projet'!$E$9+1,1))-AVERAGE(OFFSET($H$3,0,0,'Données projet'!$E$9+1,1))</f>
        <v>458.37755197712164</v>
      </c>
      <c r="T8" s="59">
        <f t="shared" si="34"/>
        <v>278.21741231699917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2.9639349646914495</v>
      </c>
      <c r="AK8" s="13">
        <f t="shared" si="35"/>
        <v>1.2036361467970902</v>
      </c>
      <c r="AL8" s="20">
        <f t="shared" si="4"/>
        <v>7.2585196858425398</v>
      </c>
      <c r="AM8" s="59">
        <f t="shared" si="5"/>
        <v>270.03629746362031</v>
      </c>
      <c r="AN8" s="59">
        <f ca="1">AVERAGE(OFFSET($AM$3,0,0,'Données projet'!$E$10+1,1))-AVERAGE(OFFSET($H$3,0,0,'Données projet'!$E$10+1,1))</f>
        <v>508.60701013958447</v>
      </c>
      <c r="AO8" s="59">
        <f t="shared" si="36"/>
        <v>306.61893266146654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2.4225165681027749</v>
      </c>
      <c r="BF8" s="13">
        <f t="shared" si="37"/>
        <v>1.0071407548562075</v>
      </c>
      <c r="BG8" s="20">
        <f t="shared" si="7"/>
        <v>5.9733198374868941</v>
      </c>
      <c r="BH8" s="59">
        <f t="shared" si="8"/>
        <v>268.75109761526465</v>
      </c>
      <c r="BI8" s="59">
        <f ca="1">AVERAGE(OFFSET($BH$3,0,0,'Données projet'!$E$11+1,1))-AVERAGE(OFFSET($H$3,0,0,'Données projet'!$E$11+1,1))</f>
        <v>291.17074241052887</v>
      </c>
      <c r="BJ8" s="59">
        <f t="shared" si="38"/>
        <v>241.18285512887638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3.65</v>
      </c>
      <c r="BY8" s="12">
        <f>IF('Données projet'!$A$114&gt;35,BY7+BX8-CG7,IF(A8&lt;'Données projet'!$A$114,$BV$205^A8,IF(A8='Données projet'!$A$114,'Données projet'!$B$114,BY7+BX8-CG7)))</f>
        <v>2.9230127856917649</v>
      </c>
      <c r="BZ8" s="13">
        <f>BY8*VLOOKUP('Données projet'!$B$12,Paramètres!$A$1:$I$89,3,0)*VLOOKUP('Données projet'!$B$12,Paramètres!$A$1:$I$89,5,0)</f>
        <v>2.462345970666743</v>
      </c>
      <c r="CA8" s="13">
        <f t="shared" si="39"/>
        <v>1.021758139251189</v>
      </c>
      <c r="CB8" s="20">
        <f t="shared" si="10"/>
        <v>6.068147991440398</v>
      </c>
      <c r="CC8" s="59">
        <f t="shared" si="11"/>
        <v>268.84592576921818</v>
      </c>
      <c r="CD8" s="59">
        <f ca="1">AVERAGE(OFFSET($CC$3,0,0,'Données projet'!$E$12+1,1))-AVERAGE(OFFSET($H$3,0,0,'Données projet'!$E$12+1,1))</f>
        <v>429.61977776013185</v>
      </c>
      <c r="CE8" s="59">
        <f t="shared" si="40"/>
        <v>261.95434270986385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2.4666666666666668</v>
      </c>
      <c r="CT8" s="12">
        <f>IF('Données projet'!$A$140&gt;35,CT7+CS8-DB7,IF(A8&lt;'Données projet'!$A$140,$CQ$205^A8,IF(A8='Données projet'!$A$140,'Données projet'!$B$140,CT7+CS8-DB7)))</f>
        <v>3.332221851645953</v>
      </c>
      <c r="CU8" s="17">
        <f>CT8*VLOOKUP('Données projet'!$B$13,Paramètres!$A$1:$I$89,3,0)*VLOOKUP('Données projet'!$B$13,Paramètres!$A$1:$I$89,5,0)</f>
        <v>2.1832717571984284</v>
      </c>
      <c r="CV8" s="13">
        <f t="shared" si="41"/>
        <v>0.91872961105241191</v>
      </c>
      <c r="CW8" s="20">
        <f t="shared" si="13"/>
        <v>5.4026523830368793</v>
      </c>
      <c r="CX8" s="59">
        <f t="shared" si="14"/>
        <v>268.18043016081464</v>
      </c>
      <c r="CY8" s="59">
        <f ca="1">AVERAGE(OFFSET($CX$3,0,0,'Données projet'!$E$13+1,1))-AVERAGE(OFFSET($H$3,0,0,'Données projet'!$E$13+1,1))</f>
        <v>255.09913504736693</v>
      </c>
      <c r="CZ8" s="59">
        <f t="shared" si="42"/>
        <v>248.42617382406644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2.1</v>
      </c>
      <c r="DO8" s="12">
        <f>IF('Données projet'!$A$166&gt;35,DO7+DN8-DW7,IF(A8&lt;'Données projet'!$A$166,$DL$205^A8,IF(A8='Données projet'!$A$166,'Données projet'!$B$166,DO7+DN8-DW7)))</f>
        <v>2.5457298950218314</v>
      </c>
      <c r="DP8" s="17">
        <f>DO8*VLOOKUP('Données projet'!$B$14,Paramètres!$A$1:$I$89,3,0)*VLOOKUP('Données projet'!$B$14,Paramètres!$A$1:$I$89,5,0)</f>
        <v>2.8990772044508617</v>
      </c>
      <c r="DQ8" s="13">
        <f t="shared" si="43"/>
        <v>1.1803337012945099</v>
      </c>
      <c r="DR8" s="20">
        <f t="shared" si="16"/>
        <v>7.1049739941731884</v>
      </c>
      <c r="DS8" s="59">
        <f t="shared" si="17"/>
        <v>269.88275177195095</v>
      </c>
      <c r="DT8" s="59">
        <f ca="1">AVERAGE(OFFSET($DS$3,0,0,'Données projet'!$E$14+1,1))-AVERAGE(OFFSET($H$3,0,0,'Données projet'!$E$14+1,1))</f>
        <v>459.67331926893809</v>
      </c>
      <c r="DU8" s="59">
        <f t="shared" si="44"/>
        <v>280.33242658375497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6.1165000000000003</v>
      </c>
      <c r="EJ8" s="12">
        <f>IF('Données projet'!$A$192&gt;35,EJ7+EI8-ER7,IF(A8&lt;'Données projet'!$A$192,$EG$205^A8,IF(A8='Données projet'!$A$192,'Données projet'!$B$192,EJ7+EI8-ER7)))</f>
        <v>3.3257013286129404</v>
      </c>
      <c r="EK8" s="17">
        <f>EJ8*VLOOKUP('Données projet'!$B$15,Paramètres!$A$1:$I$89,3,0)*VLOOKUP('Données projet'!$B$15,Paramètres!$A$1:$I$89,5,0)</f>
        <v>1.9887693945105385</v>
      </c>
      <c r="EL8" s="13">
        <f t="shared" si="45"/>
        <v>0.84602123788761319</v>
      </c>
      <c r="EM8" s="20">
        <f t="shared" si="19"/>
        <v>4.9372603514267803</v>
      </c>
      <c r="EN8" s="59">
        <f t="shared" si="20"/>
        <v>267.71503812920457</v>
      </c>
      <c r="EO8" s="59">
        <f ca="1">AVERAGE(OFFSET($EN$3,0,0,'Données projet'!$E$15+1,1))-AVERAGE(OFFSET($H$3,0,0,'Données projet'!$E$15+1,1))</f>
        <v>264.08053957457469</v>
      </c>
      <c r="EP8" s="59">
        <f t="shared" si="46"/>
        <v>284.83300065761051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5.666666666666667</v>
      </c>
      <c r="FE8" s="12">
        <f>IF('Données projet'!$A$218&gt;35,FE7+FD8-FM7,IF(A8&lt;'Données projet'!$A$218,$FB$205^A8,IF(A8='Données projet'!$A$218,'Données projet'!$B$218,FE7+FD8-FM7)))</f>
        <v>2.3536478616722736</v>
      </c>
      <c r="FF8" s="17">
        <f>FE8*VLOOKUP('Données projet'!$B$16,Paramètres!$A$1:$I$89,3,0)*VLOOKUP('Données projet'!$B$16,Paramètres!$A$1:$I$89,5,0)</f>
        <v>1.101507199262624</v>
      </c>
      <c r="FG8" s="13">
        <f t="shared" si="47"/>
        <v>0.50194031451899346</v>
      </c>
      <c r="FH8" s="20">
        <f t="shared" si="22"/>
        <v>2.7926710865029833</v>
      </c>
      <c r="FI8" s="59">
        <f t="shared" si="23"/>
        <v>265.57044886428076</v>
      </c>
      <c r="FJ8" s="59">
        <f ca="1">AVERAGE(OFFSET($FI$3,0,0,'Données projet'!$E$16+1,1))-AVERAGE(OFFSET($H$3,0,0,'Données projet'!$E$16+1,1))</f>
        <v>166.27444639635013</v>
      </c>
      <c r="FK8" s="59">
        <f t="shared" si="48"/>
        <v>213.60182977243113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271.99956744330279</v>
      </c>
      <c r="S9" s="59">
        <f ca="1">AVERAGE(OFFSET($R$3,0,0,'Données projet'!$E$9+1,1))-AVERAGE(OFFSET($H$3,0,0,'Données projet'!$E$9+1,1))</f>
        <v>458.37755197712164</v>
      </c>
      <c r="T9" s="59">
        <f t="shared" si="34"/>
        <v>278.21741231699917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3.6731174301700205</v>
      </c>
      <c r="AK9" s="13">
        <f t="shared" si="35"/>
        <v>1.4548453345092642</v>
      </c>
      <c r="AL9" s="20">
        <f t="shared" si="4"/>
        <v>8.9312018151497536</v>
      </c>
      <c r="AM9" s="59">
        <f t="shared" si="5"/>
        <v>272.93120181514973</v>
      </c>
      <c r="AN9" s="59">
        <f ca="1">AVERAGE(OFFSET($AM$3,0,0,'Données projet'!$E$10+1,1))-AVERAGE(OFFSET($H$3,0,0,'Données projet'!$E$10+1,1))</f>
        <v>508.60701013958447</v>
      </c>
      <c r="AO9" s="59">
        <f t="shared" si="36"/>
        <v>306.61893266146654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2.9203117811062675</v>
      </c>
      <c r="BF9" s="13">
        <f t="shared" si="37"/>
        <v>1.1879695913731732</v>
      </c>
      <c r="BG9" s="20">
        <f t="shared" si="7"/>
        <v>7.1552567237350262</v>
      </c>
      <c r="BH9" s="59">
        <f t="shared" si="8"/>
        <v>271.15525672373502</v>
      </c>
      <c r="BI9" s="59">
        <f ca="1">AVERAGE(OFFSET($BH$3,0,0,'Données projet'!$E$11+1,1))-AVERAGE(OFFSET($H$3,0,0,'Données projet'!$E$11+1,1))</f>
        <v>291.17074241052887</v>
      </c>
      <c r="BJ9" s="59">
        <f t="shared" si="38"/>
        <v>241.18285512887638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3.65</v>
      </c>
      <c r="BY9" s="12">
        <f>IF('Données projet'!$A$114&gt;35,BY8+BX9-CG8,IF(A9&lt;'Données projet'!$A$114,$BV$205^A9,IF(A9='Données projet'!$A$114,'Données projet'!$B$114,BY8+BX9-CG8)))</f>
        <v>3.6224037772879885</v>
      </c>
      <c r="BZ9" s="13">
        <f>BY9*VLOOKUP('Données projet'!$B$12,Paramètres!$A$1:$I$89,3,0)*VLOOKUP('Données projet'!$B$12,Paramètres!$A$1:$I$89,5,0)</f>
        <v>3.0515129419874016</v>
      </c>
      <c r="CA9" s="13">
        <f t="shared" si="39"/>
        <v>1.2350078267772846</v>
      </c>
      <c r="CB9" s="20">
        <f t="shared" si="10"/>
        <v>7.4656903389318279</v>
      </c>
      <c r="CC9" s="59">
        <f t="shared" si="11"/>
        <v>271.46569033893184</v>
      </c>
      <c r="CD9" s="59">
        <f ca="1">AVERAGE(OFFSET($CC$3,0,0,'Données projet'!$E$12+1,1))-AVERAGE(OFFSET($H$3,0,0,'Données projet'!$E$12+1,1))</f>
        <v>429.61977776013185</v>
      </c>
      <c r="CE9" s="59">
        <f t="shared" si="40"/>
        <v>261.95434270986385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2.4666666666666668</v>
      </c>
      <c r="CT9" s="12">
        <f>IF('Données projet'!$A$140&gt;35,CT8+CS9-DB8,IF(A9&lt;'Données projet'!$A$140,$CQ$205^A9,IF(A9='Données projet'!$A$140,'Données projet'!$B$140,CT8+CS9-DB8)))</f>
        <v>4.2391685997738069</v>
      </c>
      <c r="CU9" s="17">
        <f>CT9*VLOOKUP('Données projet'!$B$13,Paramètres!$A$1:$I$89,3,0)*VLOOKUP('Données projet'!$B$13,Paramètres!$A$1:$I$89,5,0)</f>
        <v>2.7775032665717982</v>
      </c>
      <c r="CV9" s="13">
        <f t="shared" si="41"/>
        <v>1.1364890359842124</v>
      </c>
      <c r="CW9" s="20">
        <f t="shared" si="13"/>
        <v>6.8168699269517186</v>
      </c>
      <c r="CX9" s="59">
        <f t="shared" si="14"/>
        <v>270.81686992695171</v>
      </c>
      <c r="CY9" s="59">
        <f ca="1">AVERAGE(OFFSET($CX$3,0,0,'Données projet'!$E$13+1,1))-AVERAGE(OFFSET($H$3,0,0,'Données projet'!$E$13+1,1))</f>
        <v>255.09913504736693</v>
      </c>
      <c r="CZ9" s="59">
        <f t="shared" si="42"/>
        <v>248.42617382406644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2.1</v>
      </c>
      <c r="DO9" s="12">
        <f>IF('Données projet'!$A$166&gt;35,DO8+DN9-DW8,IF(A9&lt;'Données projet'!$A$166,$DL$205^A9,IF(A9='Données projet'!$A$166,'Données projet'!$B$166,DO8+DN9-DW8)))</f>
        <v>3.0688438220956993</v>
      </c>
      <c r="DP9" s="17">
        <f>DO9*VLOOKUP('Données projet'!$B$14,Paramètres!$A$1:$I$89,3,0)*VLOOKUP('Données projet'!$B$14,Paramètres!$A$1:$I$89,5,0)</f>
        <v>3.494799344602582</v>
      </c>
      <c r="DQ9" s="13">
        <f t="shared" si="43"/>
        <v>1.3922587662645227</v>
      </c>
      <c r="DR9" s="20">
        <f t="shared" si="16"/>
        <v>8.5116262097602071</v>
      </c>
      <c r="DS9" s="59">
        <f t="shared" si="17"/>
        <v>272.51162620976021</v>
      </c>
      <c r="DT9" s="59">
        <f ca="1">AVERAGE(OFFSET($DS$3,0,0,'Données projet'!$E$14+1,1))-AVERAGE(OFFSET($H$3,0,0,'Données projet'!$E$14+1,1))</f>
        <v>459.67331926893809</v>
      </c>
      <c r="DU9" s="59">
        <f t="shared" si="44"/>
        <v>280.33242658375497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6.1165000000000003</v>
      </c>
      <c r="EJ9" s="12">
        <f>IF('Données projet'!$A$192&gt;35,EJ8+EI9-ER8,IF(A9&lt;'Données projet'!$A$192,$EG$205^A9,IF(A9='Données projet'!$A$192,'Données projet'!$B$192,EJ8+EI9-ER8)))</f>
        <v>4.2292162547136618</v>
      </c>
      <c r="EK9" s="17">
        <f>EJ9*VLOOKUP('Données projet'!$B$15,Paramètres!$A$1:$I$89,3,0)*VLOOKUP('Données projet'!$B$15,Paramètres!$A$1:$I$89,5,0)</f>
        <v>2.5290713203187702</v>
      </c>
      <c r="EL9" s="13">
        <f t="shared" si="45"/>
        <v>1.0461849598775497</v>
      </c>
      <c r="EM9" s="20">
        <f t="shared" si="19"/>
        <v>6.2269046880085908</v>
      </c>
      <c r="EN9" s="59">
        <f t="shared" si="20"/>
        <v>270.22690468800857</v>
      </c>
      <c r="EO9" s="59">
        <f ca="1">AVERAGE(OFFSET($EN$3,0,0,'Données projet'!$E$15+1,1))-AVERAGE(OFFSET($H$3,0,0,'Données projet'!$E$15+1,1))</f>
        <v>264.08053957457469</v>
      </c>
      <c r="EP9" s="59">
        <f t="shared" si="46"/>
        <v>284.83300065761051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5.666666666666667</v>
      </c>
      <c r="FE9" s="12">
        <f>IF('Données projet'!$A$218&gt;35,FE8+FD9-FM8,IF(A9&lt;'Données projet'!$A$218,$FB$205^A9,IF(A9='Données projet'!$A$218,'Données projet'!$B$218,FE8+FD9-FM8)))</f>
        <v>2.7931212200789908</v>
      </c>
      <c r="FF9" s="17">
        <f>FE9*VLOOKUP('Données projet'!$B$16,Paramètres!$A$1:$I$89,3,0)*VLOOKUP('Données projet'!$B$16,Paramètres!$A$1:$I$89,5,0)</f>
        <v>1.3071807309969676</v>
      </c>
      <c r="FG9" s="13">
        <f t="shared" si="47"/>
        <v>0.58391043161404843</v>
      </c>
      <c r="FH9" s="20">
        <f t="shared" si="22"/>
        <v>3.2936504415475194</v>
      </c>
      <c r="FI9" s="59">
        <f t="shared" si="23"/>
        <v>267.29365044154753</v>
      </c>
      <c r="FJ9" s="59">
        <f ca="1">AVERAGE(OFFSET($FI$3,0,0,'Données projet'!$E$16+1,1))-AVERAGE(OFFSET($H$3,0,0,'Données projet'!$E$16+1,1))</f>
        <v>166.27444639635013</v>
      </c>
      <c r="FK9" s="59">
        <f t="shared" si="48"/>
        <v>213.60182977243113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275.06582823164507</v>
      </c>
      <c r="S10" s="59">
        <f ca="1">AVERAGE(OFFSET($R$3,0,0,'Données projet'!$E$9+1,1))-AVERAGE(OFFSET($H$3,0,0,'Données projet'!$E$9+1,1))</f>
        <v>458.37755197712164</v>
      </c>
      <c r="T10" s="59">
        <f t="shared" si="34"/>
        <v>278.21741231699917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4.5519864020441929</v>
      </c>
      <c r="AK10" s="13">
        <f t="shared" si="35"/>
        <v>1.7584840343783612</v>
      </c>
      <c r="AL10" s="20">
        <f t="shared" si="4"/>
        <v>10.990736010102614</v>
      </c>
      <c r="AM10" s="59">
        <f t="shared" si="5"/>
        <v>276.21295823232487</v>
      </c>
      <c r="AN10" s="59">
        <f ca="1">AVERAGE(OFFSET($AM$3,0,0,'Données projet'!$E$10+1,1))-AVERAGE(OFFSET($H$3,0,0,'Données projet'!$E$10+1,1))</f>
        <v>508.60701013958447</v>
      </c>
      <c r="AO10" s="59">
        <f t="shared" si="36"/>
        <v>306.61893266146654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3.520397346775237</v>
      </c>
      <c r="BF10" s="13">
        <f t="shared" si="37"/>
        <v>1.4012656554930452</v>
      </c>
      <c r="BG10" s="20">
        <f t="shared" si="7"/>
        <v>8.5718963956172569</v>
      </c>
      <c r="BH10" s="59">
        <f t="shared" si="8"/>
        <v>273.7941186178395</v>
      </c>
      <c r="BI10" s="59">
        <f ca="1">AVERAGE(OFFSET($BH$3,0,0,'Données projet'!$E$11+1,1))-AVERAGE(OFFSET($H$3,0,0,'Données projet'!$E$11+1,1))</f>
        <v>291.17074241052887</v>
      </c>
      <c r="BJ10" s="59">
        <f t="shared" si="38"/>
        <v>241.18285512887638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3.65</v>
      </c>
      <c r="BY10" s="12">
        <f>IF('Données projet'!$A$114&gt;35,BY9+BX10-CG9,IF(A10&lt;'Données projet'!$A$114,$BV$205^A10,IF(A10='Données projet'!$A$114,'Données projet'!$B$114,BY9+BX10-CG9)))</f>
        <v>4.4891384635544309</v>
      </c>
      <c r="BZ10" s="13">
        <f>BY10*VLOOKUP('Données projet'!$B$12,Paramètres!$A$1:$I$89,3,0)*VLOOKUP('Données projet'!$B$12,Paramètres!$A$1:$I$89,5,0)</f>
        <v>3.7816502416982529</v>
      </c>
      <c r="CA10" s="13">
        <f t="shared" si="39"/>
        <v>1.492764553183741</v>
      </c>
      <c r="CB10" s="20">
        <f t="shared" si="10"/>
        <v>9.1862724344194735</v>
      </c>
      <c r="CC10" s="59">
        <f t="shared" si="11"/>
        <v>274.40849465664172</v>
      </c>
      <c r="CD10" s="59">
        <f ca="1">AVERAGE(OFFSET($CC$3,0,0,'Données projet'!$E$12+1,1))-AVERAGE(OFFSET($H$3,0,0,'Données projet'!$E$12+1,1))</f>
        <v>429.61977776013185</v>
      </c>
      <c r="CE10" s="59">
        <f t="shared" si="40"/>
        <v>261.95434270986385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2.4666666666666668</v>
      </c>
      <c r="CT10" s="12">
        <f>IF('Données projet'!$A$140&gt;35,CT9+CS10-DB9,IF(A10&lt;'Données projet'!$A$140,$CQ$205^A10,IF(A10='Données projet'!$A$140,'Données projet'!$B$140,CT9+CS10-DB9)))</f>
        <v>5.3929633792034757</v>
      </c>
      <c r="CU10" s="17">
        <f>CT10*VLOOKUP('Données projet'!$B$13,Paramètres!$A$1:$I$89,3,0)*VLOOKUP('Données projet'!$B$13,Paramètres!$A$1:$I$89,5,0)</f>
        <v>3.5334696060541173</v>
      </c>
      <c r="CV10" s="13">
        <f t="shared" si="41"/>
        <v>1.4058623052682262</v>
      </c>
      <c r="CW10" s="20">
        <f t="shared" si="13"/>
        <v>8.6026697455530794</v>
      </c>
      <c r="CX10" s="59">
        <f t="shared" si="14"/>
        <v>273.82489196777533</v>
      </c>
      <c r="CY10" s="59">
        <f ca="1">AVERAGE(OFFSET($CX$3,0,0,'Données projet'!$E$13+1,1))-AVERAGE(OFFSET($H$3,0,0,'Données projet'!$E$13+1,1))</f>
        <v>255.09913504736693</v>
      </c>
      <c r="CZ10" s="59">
        <f t="shared" si="42"/>
        <v>248.42617382406644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2.1</v>
      </c>
      <c r="DO10" s="12">
        <f>IF('Données projet'!$A$166&gt;35,DO9+DN10-DW9,IF(A10&lt;'Données projet'!$A$166,$DL$205^A10,IF(A10='Données projet'!$A$166,'Données projet'!$B$166,DO9+DN10-DW9)))</f>
        <v>3.6994507637402658</v>
      </c>
      <c r="DP10" s="17">
        <f>DO10*VLOOKUP('Données projet'!$B$14,Paramètres!$A$1:$I$89,3,0)*VLOOKUP('Données projet'!$B$14,Paramètres!$A$1:$I$89,5,0)</f>
        <v>4.2129345297474154</v>
      </c>
      <c r="DQ10" s="13">
        <f t="shared" si="43"/>
        <v>1.6422342851979264</v>
      </c>
      <c r="DR10" s="20">
        <f t="shared" si="16"/>
        <v>10.197752352696471</v>
      </c>
      <c r="DS10" s="59">
        <f t="shared" si="17"/>
        <v>275.41997457491868</v>
      </c>
      <c r="DT10" s="59">
        <f ca="1">AVERAGE(OFFSET($DS$3,0,0,'Données projet'!$E$14+1,1))-AVERAGE(OFFSET($H$3,0,0,'Données projet'!$E$14+1,1))</f>
        <v>459.67331926893809</v>
      </c>
      <c r="DU10" s="59">
        <f t="shared" si="44"/>
        <v>280.33242658375497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6.1165000000000003</v>
      </c>
      <c r="EJ10" s="12">
        <f>IF('Données projet'!$A$192&gt;35,EJ9+EI10-ER9,IF(A10&lt;'Données projet'!$A$192,$EG$205^A10,IF(A10='Données projet'!$A$192,'Données projet'!$B$192,EJ9+EI10-ER9)))</f>
        <v>5.3781949615403768</v>
      </c>
      <c r="EK10" s="17">
        <f>EJ10*VLOOKUP('Données projet'!$B$15,Paramètres!$A$1:$I$89,3,0)*VLOOKUP('Données projet'!$B$15,Paramètres!$A$1:$I$89,5,0)</f>
        <v>3.2161605870011458</v>
      </c>
      <c r="EL10" s="13">
        <f t="shared" si="45"/>
        <v>1.2937062584939336</v>
      </c>
      <c r="EM10" s="20">
        <f t="shared" si="19"/>
        <v>7.8546847559039286</v>
      </c>
      <c r="EN10" s="59">
        <f t="shared" si="20"/>
        <v>273.07690697812615</v>
      </c>
      <c r="EO10" s="59">
        <f ca="1">AVERAGE(OFFSET($EN$3,0,0,'Données projet'!$E$15+1,1))-AVERAGE(OFFSET($H$3,0,0,'Données projet'!$E$15+1,1))</f>
        <v>264.08053957457469</v>
      </c>
      <c r="EP10" s="59">
        <f t="shared" si="46"/>
        <v>284.83300065761051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5.666666666666667</v>
      </c>
      <c r="FE10" s="12">
        <f>IF('Données projet'!$A$218&gt;35,FE9+FD10-FM9,IF(A10&lt;'Données projet'!$A$218,$FB$205^A10,IF(A10='Données projet'!$A$218,'Données projet'!$B$218,FE9+FD10-FM9)))</f>
        <v>3.3146530868523985</v>
      </c>
      <c r="FF10" s="17">
        <f>FE10*VLOOKUP('Données projet'!$B$16,Paramètres!$A$1:$I$89,3,0)*VLOOKUP('Données projet'!$B$16,Paramètres!$A$1:$I$89,5,0)</f>
        <v>1.5512576446469224</v>
      </c>
      <c r="FG10" s="13">
        <f t="shared" si="47"/>
        <v>0.67926680181972632</v>
      </c>
      <c r="FH10" s="20">
        <f t="shared" si="22"/>
        <v>3.8848300775960793</v>
      </c>
      <c r="FI10" s="59">
        <f t="shared" si="23"/>
        <v>269.10705229981829</v>
      </c>
      <c r="FJ10" s="59">
        <f ca="1">AVERAGE(OFFSET($FI$3,0,0,'Données projet'!$E$16+1,1))-AVERAGE(OFFSET($H$3,0,0,'Données projet'!$E$16+1,1))</f>
        <v>166.27444639635013</v>
      </c>
      <c r="FK10" s="59">
        <f t="shared" si="48"/>
        <v>213.60182977243113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278.55869888669031</v>
      </c>
      <c r="S11" s="59">
        <f ca="1">AVERAGE(OFFSET($R$3,0,0,'Données projet'!$E$9+1,1))-AVERAGE(OFFSET($H$3,0,0,'Données projet'!$E$9+1,1))</f>
        <v>458.37755197712164</v>
      </c>
      <c r="T11" s="59">
        <f t="shared" si="34"/>
        <v>278.21741231699917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5.6411428706857674</v>
      </c>
      <c r="AK11" s="13">
        <f t="shared" si="35"/>
        <v>2.125494735292019</v>
      </c>
      <c r="AL11" s="20">
        <f t="shared" si="4"/>
        <v>13.526893830411311</v>
      </c>
      <c r="AM11" s="59">
        <f t="shared" si="5"/>
        <v>279.97133827485578</v>
      </c>
      <c r="AN11" s="59">
        <f ca="1">AVERAGE(OFFSET($AM$3,0,0,'Données projet'!$E$10+1,1))-AVERAGE(OFFSET($H$3,0,0,'Données projet'!$E$10+1,1))</f>
        <v>508.60701013958447</v>
      </c>
      <c r="AO11" s="59">
        <f t="shared" si="36"/>
        <v>306.61893266146654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4.2437925838477959</v>
      </c>
      <c r="BF11" s="13">
        <f t="shared" si="37"/>
        <v>1.6528583320004788</v>
      </c>
      <c r="BG11" s="20">
        <f t="shared" si="7"/>
        <v>10.27000034510241</v>
      </c>
      <c r="BH11" s="59">
        <f t="shared" si="8"/>
        <v>276.71444478954686</v>
      </c>
      <c r="BI11" s="59">
        <f ca="1">AVERAGE(OFFSET($BH$3,0,0,'Données projet'!$E$11+1,1))-AVERAGE(OFFSET($H$3,0,0,'Données projet'!$E$11+1,1))</f>
        <v>291.17074241052887</v>
      </c>
      <c r="BJ11" s="59">
        <f t="shared" si="38"/>
        <v>241.18285512887638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3.65</v>
      </c>
      <c r="BY11" s="12">
        <f>IF('Données projet'!$A$114&gt;35,BY10+BX11-CG10,IF(A11&lt;'Données projet'!$A$114,$BV$205^A11,IF(A11='Données projet'!$A$114,'Données projet'!$B$114,BY10+BX11-CG10)))</f>
        <v>5.563257268920875</v>
      </c>
      <c r="BZ11" s="13">
        <f>BY11*VLOOKUP('Données projet'!$B$12,Paramètres!$A$1:$I$89,3,0)*VLOOKUP('Données projet'!$B$12,Paramètres!$A$1:$I$89,5,0)</f>
        <v>4.6864879233389463</v>
      </c>
      <c r="CA11" s="13">
        <f t="shared" si="39"/>
        <v>1.8043173192324258</v>
      </c>
      <c r="CB11" s="20">
        <f t="shared" si="10"/>
        <v>11.304819130811806</v>
      </c>
      <c r="CC11" s="59">
        <f t="shared" si="11"/>
        <v>277.74926357525624</v>
      </c>
      <c r="CD11" s="59">
        <f ca="1">AVERAGE(OFFSET($CC$3,0,0,'Données projet'!$E$12+1,1))-AVERAGE(OFFSET($H$3,0,0,'Données projet'!$E$12+1,1))</f>
        <v>429.61977776013185</v>
      </c>
      <c r="CE11" s="59">
        <f t="shared" si="40"/>
        <v>261.95434270986385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2.4666666666666668</v>
      </c>
      <c r="CT11" s="12">
        <f>IF('Données projet'!$A$140&gt;35,CT10+CS11-DB10,IF(A11&lt;'Données projet'!$A$140,$CQ$205^A11,IF(A11='Données projet'!$A$140,'Données projet'!$B$140,CT10+CS11-DB10)))</f>
        <v>6.8607919984549888</v>
      </c>
      <c r="CU11" s="17">
        <f>CT11*VLOOKUP('Données projet'!$B$13,Paramètres!$A$1:$I$89,3,0)*VLOOKUP('Données projet'!$B$13,Paramètres!$A$1:$I$89,5,0)</f>
        <v>4.4951909173877089</v>
      </c>
      <c r="CV11" s="13">
        <f t="shared" si="41"/>
        <v>1.7390830520969034</v>
      </c>
      <c r="CW11" s="20">
        <f t="shared" si="13"/>
        <v>10.858027163519033</v>
      </c>
      <c r="CX11" s="59">
        <f t="shared" si="14"/>
        <v>277.30247160796347</v>
      </c>
      <c r="CY11" s="59">
        <f ca="1">AVERAGE(OFFSET($CX$3,0,0,'Données projet'!$E$13+1,1))-AVERAGE(OFFSET($H$3,0,0,'Données projet'!$E$13+1,1))</f>
        <v>255.09913504736693</v>
      </c>
      <c r="CZ11" s="59">
        <f t="shared" si="42"/>
        <v>248.42617382406644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2.1</v>
      </c>
      <c r="DO11" s="12">
        <f>IF('Données projet'!$A$166&gt;35,DO10+DN11-DW10,IF(A11&lt;'Données projet'!$A$166,$DL$205^A11,IF(A11='Données projet'!$A$166,'Données projet'!$B$166,DO10+DN11-DW10)))</f>
        <v>4.4596391171162209</v>
      </c>
      <c r="DP11" s="17">
        <f>DO11*VLOOKUP('Données projet'!$B$14,Paramètres!$A$1:$I$89,3,0)*VLOOKUP('Données projet'!$B$14,Paramètres!$A$1:$I$89,5,0)</f>
        <v>5.0786370265719523</v>
      </c>
      <c r="DQ11" s="13">
        <f t="shared" si="43"/>
        <v>1.9370920929558988</v>
      </c>
      <c r="DR11" s="20">
        <f t="shared" si="16"/>
        <v>12.219061549844341</v>
      </c>
      <c r="DS11" s="59">
        <f t="shared" si="17"/>
        <v>278.66350599428881</v>
      </c>
      <c r="DT11" s="59">
        <f ca="1">AVERAGE(OFFSET($DS$3,0,0,'Données projet'!$E$14+1,1))-AVERAGE(OFFSET($H$3,0,0,'Données projet'!$E$14+1,1))</f>
        <v>459.67331926893809</v>
      </c>
      <c r="DU11" s="59">
        <f t="shared" si="44"/>
        <v>280.33242658375497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6.1165000000000003</v>
      </c>
      <c r="EJ11" s="12">
        <f>IF('Données projet'!$A$192&gt;35,EJ10+EI11-ER10,IF(A11&lt;'Données projet'!$A$192,$EG$205^A11,IF(A11='Données projet'!$A$192,'Données projet'!$B$192,EJ10+EI11-ER10)))</f>
        <v>6.8393241920651446</v>
      </c>
      <c r="EK11" s="17">
        <f>EJ11*VLOOKUP('Données projet'!$B$15,Paramètres!$A$1:$I$89,3,0)*VLOOKUP('Données projet'!$B$15,Paramètres!$A$1:$I$89,5,0)</f>
        <v>4.0899158668549571</v>
      </c>
      <c r="EL11" s="13">
        <f t="shared" si="45"/>
        <v>1.5997896619181633</v>
      </c>
      <c r="EM11" s="20">
        <f t="shared" si="19"/>
        <v>9.9095704626131838</v>
      </c>
      <c r="EN11" s="59">
        <f t="shared" si="20"/>
        <v>276.35401490705766</v>
      </c>
      <c r="EO11" s="59">
        <f ca="1">AVERAGE(OFFSET($EN$3,0,0,'Données projet'!$E$15+1,1))-AVERAGE(OFFSET($H$3,0,0,'Données projet'!$E$15+1,1))</f>
        <v>264.08053957457469</v>
      </c>
      <c r="EP11" s="59">
        <f t="shared" si="46"/>
        <v>284.83300065761051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5.666666666666667</v>
      </c>
      <c r="FE11" s="12">
        <f>IF('Données projet'!$A$218&gt;35,FE10+FD11-FM10,IF(A11&lt;'Données projet'!$A$218,$FB$205^A11,IF(A11='Données projet'!$A$218,'Données projet'!$B$218,FE10+FD11-FM10)))</f>
        <v>3.9335654346822158</v>
      </c>
      <c r="FF11" s="17">
        <f>FE11*VLOOKUP('Données projet'!$B$16,Paramètres!$A$1:$I$89,3,0)*VLOOKUP('Données projet'!$B$16,Paramètres!$A$1:$I$89,5,0)</f>
        <v>1.8409086234312768</v>
      </c>
      <c r="FG11" s="13">
        <f t="shared" si="47"/>
        <v>0.79019548730956168</v>
      </c>
      <c r="FH11" s="20">
        <f t="shared" si="22"/>
        <v>4.5825063262069596</v>
      </c>
      <c r="FI11" s="59">
        <f t="shared" si="23"/>
        <v>271.02695077065141</v>
      </c>
      <c r="FJ11" s="59">
        <f ca="1">AVERAGE(OFFSET($FI$3,0,0,'Données projet'!$E$16+1,1))-AVERAGE(OFFSET($H$3,0,0,'Données projet'!$E$16+1,1))</f>
        <v>166.27444639635013</v>
      </c>
      <c r="FK11" s="59">
        <f t="shared" si="48"/>
        <v>213.60182977243113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282.5772044671009</v>
      </c>
      <c r="S12" s="59">
        <f ca="1">AVERAGE(OFFSET($R$3,0,0,'Données projet'!$E$9+1,1))-AVERAGE(OFFSET($H$3,0,0,'Données projet'!$E$9+1,1))</f>
        <v>458.37755197712164</v>
      </c>
      <c r="T12" s="59">
        <f t="shared" si="34"/>
        <v>278.21741231699917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6.9909024493566383</v>
      </c>
      <c r="AK12" s="13">
        <f t="shared" si="35"/>
        <v>2.5691037174250742</v>
      </c>
      <c r="AL12" s="20">
        <f t="shared" si="4"/>
        <v>16.650344073811482</v>
      </c>
      <c r="AM12" s="59">
        <f t="shared" si="5"/>
        <v>284.31701074047817</v>
      </c>
      <c r="AN12" s="59">
        <f ca="1">AVERAGE(OFFSET($AM$3,0,0,'Données projet'!$E$10+1,1))-AVERAGE(OFFSET($H$3,0,0,'Données projet'!$E$10+1,1))</f>
        <v>508.60701013958447</v>
      </c>
      <c r="AO12" s="59">
        <f t="shared" si="36"/>
        <v>306.61893266146654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5.1158360039155557</v>
      </c>
      <c r="BF12" s="13">
        <f t="shared" si="37"/>
        <v>1.9496236526985691</v>
      </c>
      <c r="BG12" s="20">
        <f t="shared" si="7"/>
        <v>12.305675568602934</v>
      </c>
      <c r="BH12" s="59">
        <f t="shared" si="8"/>
        <v>279.97234223526959</v>
      </c>
      <c r="BI12" s="59">
        <f ca="1">AVERAGE(OFFSET($BH$3,0,0,'Données projet'!$E$11+1,1))-AVERAGE(OFFSET($H$3,0,0,'Données projet'!$E$11+1,1))</f>
        <v>291.17074241052887</v>
      </c>
      <c r="BJ12" s="59">
        <f t="shared" si="38"/>
        <v>241.18285512887638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3.65</v>
      </c>
      <c r="BY12" s="12">
        <f>IF('Données projet'!$A$114&gt;35,BY11+BX12-CG11,IF(A12&lt;'Données projet'!$A$114,$BV$205^A12,IF(A12='Données projet'!$A$114,'Données projet'!$B$114,BY11+BX12-CG11)))</f>
        <v>6.8943811137639424</v>
      </c>
      <c r="BZ12" s="13">
        <f>BY12*VLOOKUP('Données projet'!$B$12,Paramètres!$A$1:$I$89,3,0)*VLOOKUP('Données projet'!$B$12,Paramètres!$A$1:$I$89,5,0)</f>
        <v>5.8078266502347455</v>
      </c>
      <c r="CA12" s="13">
        <f t="shared" si="39"/>
        <v>2.1808938198181922</v>
      </c>
      <c r="CB12" s="20">
        <f t="shared" si="10"/>
        <v>13.913688152008866</v>
      </c>
      <c r="CC12" s="59">
        <f t="shared" si="11"/>
        <v>281.58035481867557</v>
      </c>
      <c r="CD12" s="59">
        <f ca="1">AVERAGE(OFFSET($CC$3,0,0,'Données projet'!$E$12+1,1))-AVERAGE(OFFSET($H$3,0,0,'Données projet'!$E$12+1,1))</f>
        <v>429.61977776013185</v>
      </c>
      <c r="CE12" s="59">
        <f t="shared" si="40"/>
        <v>261.95434270986385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2.4666666666666668</v>
      </c>
      <c r="CT12" s="12">
        <f>IF('Données projet'!$A$140&gt;35,CT11+CS12-DB11,IF(A12&lt;'Données projet'!$A$140,$CQ$205^A12,IF(A12='Données projet'!$A$140,'Données projet'!$B$140,CT11+CS12-DB11)))</f>
        <v>8.7281265486761299</v>
      </c>
      <c r="CU12" s="17">
        <f>CT12*VLOOKUP('Données projet'!$B$13,Paramètres!$A$1:$I$89,3,0)*VLOOKUP('Données projet'!$B$13,Paramètres!$A$1:$I$89,5,0)</f>
        <v>5.7186685146926006</v>
      </c>
      <c r="CV12" s="13">
        <f t="shared" si="41"/>
        <v>2.1512845537982104</v>
      </c>
      <c r="CW12" s="20">
        <f t="shared" si="13"/>
        <v>13.706834927621495</v>
      </c>
      <c r="CX12" s="59">
        <f t="shared" si="14"/>
        <v>281.3735015942882</v>
      </c>
      <c r="CY12" s="59">
        <f ca="1">AVERAGE(OFFSET($CX$3,0,0,'Données projet'!$E$13+1,1))-AVERAGE(OFFSET($H$3,0,0,'Données projet'!$E$13+1,1))</f>
        <v>255.09913504736693</v>
      </c>
      <c r="CZ12" s="59">
        <f t="shared" si="42"/>
        <v>248.42617382406644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2.1</v>
      </c>
      <c r="DO12" s="12">
        <f>IF('Données projet'!$A$166&gt;35,DO11+DN12-DW11,IF(A12&lt;'Données projet'!$A$166,$DL$205^A12,IF(A12='Données projet'!$A$166,'Données projet'!$B$166,DO11+DN12-DW11)))</f>
        <v>5.3760361537574148</v>
      </c>
      <c r="DP12" s="17">
        <f>DO12*VLOOKUP('Données projet'!$B$14,Paramètres!$A$1:$I$89,3,0)*VLOOKUP('Données projet'!$B$14,Paramètres!$A$1:$I$89,5,0)</f>
        <v>6.1222299718989444</v>
      </c>
      <c r="DQ12" s="13">
        <f t="shared" si="43"/>
        <v>2.2848906580585888</v>
      </c>
      <c r="DR12" s="20">
        <f t="shared" si="16"/>
        <v>14.642401763842701</v>
      </c>
      <c r="DS12" s="59">
        <f t="shared" si="17"/>
        <v>282.3090684305094</v>
      </c>
      <c r="DT12" s="59">
        <f ca="1">AVERAGE(OFFSET($DS$3,0,0,'Données projet'!$E$14+1,1))-AVERAGE(OFFSET($H$3,0,0,'Données projet'!$E$14+1,1))</f>
        <v>459.67331926893809</v>
      </c>
      <c r="DU12" s="59">
        <f t="shared" si="44"/>
        <v>280.33242658375497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6.1165000000000003</v>
      </c>
      <c r="EJ12" s="12">
        <f>IF('Données projet'!$A$192&gt;35,EJ11+EI12-ER11,IF(A12&lt;'Données projet'!$A$192,$EG$205^A12,IF(A12='Données projet'!$A$192,'Données projet'!$B$192,EJ11+EI12-ER11)))</f>
        <v>8.6974079107705418</v>
      </c>
      <c r="EK12" s="17">
        <f>EJ12*VLOOKUP('Données projet'!$B$15,Paramètres!$A$1:$I$89,3,0)*VLOOKUP('Données projet'!$B$15,Paramètres!$A$1:$I$89,5,0)</f>
        <v>5.2010499306407842</v>
      </c>
      <c r="EL12" s="13">
        <f t="shared" si="45"/>
        <v>1.9782906247664507</v>
      </c>
      <c r="EM12" s="20">
        <f t="shared" si="19"/>
        <v>12.504018134000935</v>
      </c>
      <c r="EN12" s="59">
        <f t="shared" si="20"/>
        <v>280.17068480066763</v>
      </c>
      <c r="EO12" s="59">
        <f ca="1">AVERAGE(OFFSET($EN$3,0,0,'Données projet'!$E$15+1,1))-AVERAGE(OFFSET($H$3,0,0,'Données projet'!$E$15+1,1))</f>
        <v>264.08053957457469</v>
      </c>
      <c r="EP12" s="59">
        <f t="shared" si="46"/>
        <v>284.83300065761051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5.666666666666667</v>
      </c>
      <c r="FE12" s="12">
        <f>IF('Données projet'!$A$218&gt;35,FE11+FD12-FM11,IF(A12&lt;'Données projet'!$A$218,$FB$205^A12,IF(A12='Données projet'!$A$218,'Données projet'!$B$218,FE11+FD12-FM11)))</f>
        <v>4.6680411564939428</v>
      </c>
      <c r="FF12" s="17">
        <f>FE12*VLOOKUP('Données projet'!$B$16,Paramètres!$A$1:$I$89,3,0)*VLOOKUP('Données projet'!$B$16,Paramètres!$A$1:$I$89,5,0)</f>
        <v>2.1846432612391653</v>
      </c>
      <c r="FG12" s="13">
        <f t="shared" si="47"/>
        <v>0.91923954842431754</v>
      </c>
      <c r="FH12" s="20">
        <f t="shared" si="22"/>
        <v>5.4059292268305654</v>
      </c>
      <c r="FI12" s="59">
        <f t="shared" si="23"/>
        <v>273.07259589349724</v>
      </c>
      <c r="FJ12" s="59">
        <f ca="1">AVERAGE(OFFSET($FI$3,0,0,'Données projet'!$E$16+1,1))-AVERAGE(OFFSET($H$3,0,0,'Données projet'!$E$16+1,1))</f>
        <v>166.27444639635013</v>
      </c>
      <c r="FK12" s="59">
        <f t="shared" si="48"/>
        <v>213.60182977243113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287.2434272262301</v>
      </c>
      <c r="S13" s="59">
        <f ca="1">AVERAGE(OFFSET($R$3,0,0,'Données projet'!$E$9+1,1))-AVERAGE(OFFSET($H$3,0,0,'Données projet'!$E$9+1,1))</f>
        <v>458.37755197712164</v>
      </c>
      <c r="T13" s="59">
        <f t="shared" si="34"/>
        <v>278.21741231699917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8.6636197977519771</v>
      </c>
      <c r="AK13" s="13">
        <f t="shared" si="35"/>
        <v>3.1052976990698267</v>
      </c>
      <c r="AL13" s="20">
        <f t="shared" si="4"/>
        <v>20.497531306964643</v>
      </c>
      <c r="AM13" s="59">
        <f t="shared" si="5"/>
        <v>289.38642019585347</v>
      </c>
      <c r="AN13" s="59">
        <f ca="1">AVERAGE(OFFSET($AM$3,0,0,'Données projet'!$E$10+1,1))-AVERAGE(OFFSET($H$3,0,0,'Données projet'!$E$10+1,1))</f>
        <v>508.60701013958447</v>
      </c>
      <c r="AO13" s="59">
        <f t="shared" si="36"/>
        <v>306.61893266146654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6.1670728486049251</v>
      </c>
      <c r="BF13" s="13">
        <f t="shared" si="37"/>
        <v>2.2996722184660952</v>
      </c>
      <c r="BG13" s="20">
        <f t="shared" si="7"/>
        <v>14.746247658482027</v>
      </c>
      <c r="BH13" s="59">
        <f t="shared" si="8"/>
        <v>283.63513654737091</v>
      </c>
      <c r="BI13" s="59">
        <f ca="1">AVERAGE(OFFSET($BH$3,0,0,'Données projet'!$E$11+1,1))-AVERAGE(OFFSET($H$3,0,0,'Données projet'!$E$11+1,1))</f>
        <v>291.17074241052887</v>
      </c>
      <c r="BJ13" s="59">
        <f t="shared" si="38"/>
        <v>241.18285512887638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3.65</v>
      </c>
      <c r="BY13" s="12">
        <f>IF('Données projet'!$A$114&gt;35,BY12+BX13-CG12,IF(A13&lt;'Données projet'!$A$114,$BV$205^A13,IF(A13='Données projet'!$A$114,'Données projet'!$B$114,BY12+BX13-CG12)))</f>
        <v>8.5440037453175322</v>
      </c>
      <c r="BZ13" s="13">
        <f>BY13*VLOOKUP('Données projet'!$B$12,Paramètres!$A$1:$I$89,3,0)*VLOOKUP('Données projet'!$B$12,Paramètres!$A$1:$I$89,5,0)</f>
        <v>7.1974687550554899</v>
      </c>
      <c r="CA13" s="13">
        <f t="shared" si="39"/>
        <v>2.6360650660630816</v>
      </c>
      <c r="CB13" s="20">
        <f t="shared" si="10"/>
        <v>17.126738071781514</v>
      </c>
      <c r="CC13" s="59">
        <f t="shared" si="11"/>
        <v>286.01562696067037</v>
      </c>
      <c r="CD13" s="59">
        <f ca="1">AVERAGE(OFFSET($CC$3,0,0,'Données projet'!$E$12+1,1))-AVERAGE(OFFSET($H$3,0,0,'Données projet'!$E$12+1,1))</f>
        <v>429.61977776013185</v>
      </c>
      <c r="CE13" s="59">
        <f t="shared" si="40"/>
        <v>261.95434270986385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2.4666666666666668</v>
      </c>
      <c r="CT13" s="12">
        <f>IF('Données projet'!$A$140&gt;35,CT12+CS13-DB12,IF(A13&lt;'Données projet'!$A$140,$CQ$205^A13,IF(A13='Données projet'!$A$140,'Données projet'!$B$140,CT12+CS13-DB12)))</f>
        <v>11.103702468586782</v>
      </c>
      <c r="CU13" s="17">
        <f>CT13*VLOOKUP('Données projet'!$B$13,Paramètres!$A$1:$I$89,3,0)*VLOOKUP('Données projet'!$B$13,Paramètres!$A$1:$I$89,5,0)</f>
        <v>7.2751458574180594</v>
      </c>
      <c r="CV13" s="13">
        <f t="shared" si="41"/>
        <v>2.6611870122191768</v>
      </c>
      <c r="CW13" s="20">
        <f t="shared" si="13"/>
        <v>17.305779747951522</v>
      </c>
      <c r="CX13" s="59">
        <f t="shared" si="14"/>
        <v>286.19466863684039</v>
      </c>
      <c r="CY13" s="59">
        <f ca="1">AVERAGE(OFFSET($CX$3,0,0,'Données projet'!$E$13+1,1))-AVERAGE(OFFSET($H$3,0,0,'Données projet'!$E$13+1,1))</f>
        <v>255.09913504736693</v>
      </c>
      <c r="CZ13" s="59">
        <f t="shared" si="42"/>
        <v>248.42617382406644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2.1</v>
      </c>
      <c r="DO13" s="12">
        <f>IF('Données projet'!$A$166&gt;35,DO12+DN13-DW12,IF(A13&lt;'Données projet'!$A$166,$DL$205^A13,IF(A13='Données projet'!$A$166,'Données projet'!$B$166,DO12+DN13-DW12)))</f>
        <v>6.4807406984078657</v>
      </c>
      <c r="DP13" s="17">
        <f>DO13*VLOOKUP('Données projet'!$B$14,Paramètres!$A$1:$I$89,3,0)*VLOOKUP('Données projet'!$B$14,Paramètres!$A$1:$I$89,5,0)</f>
        <v>7.3802675073468773</v>
      </c>
      <c r="DQ13" s="13">
        <f t="shared" si="43"/>
        <v>2.6951353207564148</v>
      </c>
      <c r="DR13" s="20">
        <f t="shared" si="16"/>
        <v>17.547993258946569</v>
      </c>
      <c r="DS13" s="59">
        <f t="shared" si="17"/>
        <v>286.43688214783543</v>
      </c>
      <c r="DT13" s="59">
        <f ca="1">AVERAGE(OFFSET($DS$3,0,0,'Données projet'!$E$14+1,1))-AVERAGE(OFFSET($H$3,0,0,'Données projet'!$E$14+1,1))</f>
        <v>459.67331926893809</v>
      </c>
      <c r="DU13" s="59">
        <f t="shared" si="44"/>
        <v>280.33242658375497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6.1165000000000003</v>
      </c>
      <c r="EJ13" s="12">
        <f>IF('Données projet'!$A$192&gt;35,EJ12+EI13-ER12,IF(A13&lt;'Données projet'!$A$192,$EG$205^A13,IF(A13='Données projet'!$A$192,'Données projet'!$B$192,EJ12+EI13-ER12)))</f>
        <v>11.060289327137879</v>
      </c>
      <c r="EK13" s="17">
        <f>EJ13*VLOOKUP('Données projet'!$B$15,Paramètres!$A$1:$I$89,3,0)*VLOOKUP('Données projet'!$B$15,Paramètres!$A$1:$I$89,5,0)</f>
        <v>6.6140530176284518</v>
      </c>
      <c r="EL13" s="13">
        <f t="shared" si="45"/>
        <v>2.4463427219215492</v>
      </c>
      <c r="EM13" s="20">
        <f t="shared" si="19"/>
        <v>15.780189246382918</v>
      </c>
      <c r="EN13" s="59">
        <f t="shared" si="20"/>
        <v>284.66907813527177</v>
      </c>
      <c r="EO13" s="59">
        <f ca="1">AVERAGE(OFFSET($EN$3,0,0,'Données projet'!$E$15+1,1))-AVERAGE(OFFSET($H$3,0,0,'Données projet'!$E$15+1,1))</f>
        <v>264.08053957457469</v>
      </c>
      <c r="EP13" s="59">
        <f t="shared" si="46"/>
        <v>284.83300065761051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5.666666666666667</v>
      </c>
      <c r="FE13" s="12">
        <f>IF('Données projet'!$A$218&gt;35,FE12+FD13-FM12,IF(A13&lt;'Données projet'!$A$218,$FB$205^A13,IF(A13='Données projet'!$A$218,'Données projet'!$B$218,FE12+FD13-FM12)))</f>
        <v>5.5396582567544659</v>
      </c>
      <c r="FF13" s="17">
        <f>FE13*VLOOKUP('Données projet'!$B$16,Paramètres!$A$1:$I$89,3,0)*VLOOKUP('Données projet'!$B$16,Paramètres!$A$1:$I$89,5,0)</f>
        <v>2.59256006416109</v>
      </c>
      <c r="FG13" s="13">
        <f t="shared" si="47"/>
        <v>1.069357343793981</v>
      </c>
      <c r="FH13" s="20">
        <f t="shared" si="22"/>
        <v>6.377839485521748</v>
      </c>
      <c r="FI13" s="59">
        <f t="shared" si="23"/>
        <v>275.2667283744106</v>
      </c>
      <c r="FJ13" s="59">
        <f ca="1">AVERAGE(OFFSET($FI$3,0,0,'Données projet'!$E$16+1,1))-AVERAGE(OFFSET($H$3,0,0,'Données projet'!$E$16+1,1))</f>
        <v>166.27444639635013</v>
      </c>
      <c r="FK13" s="59">
        <f t="shared" si="48"/>
        <v>213.60182977243113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292.70789065900522</v>
      </c>
      <c r="S14" s="59">
        <f ca="1">AVERAGE(OFFSET($R$3,0,0,'Données projet'!$E$9+1,1))-AVERAGE(OFFSET($H$3,0,0,'Données projet'!$E$9+1,1))</f>
        <v>458.37755197712164</v>
      </c>
      <c r="T14" s="59">
        <f t="shared" si="34"/>
        <v>278.21741231699917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10.736569211734251</v>
      </c>
      <c r="AK14" s="13">
        <f t="shared" si="35"/>
        <v>3.7533999637480915</v>
      </c>
      <c r="AL14" s="20">
        <f t="shared" si="4"/>
        <v>25.23669631396508</v>
      </c>
      <c r="AM14" s="59">
        <f t="shared" si="5"/>
        <v>295.34780742507621</v>
      </c>
      <c r="AN14" s="59">
        <f ca="1">AVERAGE(OFFSET($AM$3,0,0,'Données projet'!$E$10+1,1))-AVERAGE(OFFSET($H$3,0,0,'Données projet'!$E$10+1,1))</f>
        <v>508.60701013958447</v>
      </c>
      <c r="AO14" s="59">
        <f t="shared" si="36"/>
        <v>306.61893266146654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7.4343250039466771</v>
      </c>
      <c r="BF14" s="13">
        <f t="shared" si="37"/>
        <v>2.712570862107007</v>
      </c>
      <c r="BG14" s="20">
        <f t="shared" si="7"/>
        <v>17.672510300043498</v>
      </c>
      <c r="BH14" s="59">
        <f t="shared" si="8"/>
        <v>287.78362141115463</v>
      </c>
      <c r="BI14" s="59">
        <f ca="1">AVERAGE(OFFSET($BH$3,0,0,'Données projet'!$E$11+1,1))-AVERAGE(OFFSET($H$3,0,0,'Données projet'!$E$11+1,1))</f>
        <v>291.17074241052887</v>
      </c>
      <c r="BJ14" s="59">
        <f t="shared" si="38"/>
        <v>241.18285512887638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3.65</v>
      </c>
      <c r="BY14" s="12">
        <f>IF('Données projet'!$A$114&gt;35,BY13+BX14-CG13,IF(A14&lt;'Données projet'!$A$114,$BV$205^A14,IF(A14='Données projet'!$A$114,'Données projet'!$B$114,BY13+BX14-CG13)))</f>
        <v>10.588332555950936</v>
      </c>
      <c r="BZ14" s="13">
        <f>BY14*VLOOKUP('Données projet'!$B$12,Paramètres!$A$1:$I$89,3,0)*VLOOKUP('Données projet'!$B$12,Paramètres!$A$1:$I$89,5,0)</f>
        <v>8.9196113451330703</v>
      </c>
      <c r="CA14" s="13">
        <f t="shared" si="39"/>
        <v>3.186234455512118</v>
      </c>
      <c r="CB14" s="20">
        <f t="shared" si="10"/>
        <v>21.084348102790369</v>
      </c>
      <c r="CC14" s="59">
        <f t="shared" si="11"/>
        <v>291.19545921390153</v>
      </c>
      <c r="CD14" s="59">
        <f ca="1">AVERAGE(OFFSET($CC$3,0,0,'Données projet'!$E$12+1,1))-AVERAGE(OFFSET($H$3,0,0,'Données projet'!$E$12+1,1))</f>
        <v>429.61977776013185</v>
      </c>
      <c r="CE14" s="59">
        <f t="shared" si="40"/>
        <v>261.95434270986385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2.4666666666666668</v>
      </c>
      <c r="CT14" s="12">
        <f>IF('Données projet'!$A$140&gt;35,CT13+CS14-DB13,IF(A14&lt;'Données projet'!$A$140,$CQ$205^A14,IF(A14='Données projet'!$A$140,'Données projet'!$B$140,CT13+CS14-DB13)))</f>
        <v>14.125850240977657</v>
      </c>
      <c r="CU14" s="17">
        <f>CT14*VLOOKUP('Données projet'!$B$13,Paramètres!$A$1:$I$89,3,0)*VLOOKUP('Données projet'!$B$13,Paramètres!$A$1:$I$89,5,0)</f>
        <v>9.2552570778885617</v>
      </c>
      <c r="CV14" s="13">
        <f t="shared" si="41"/>
        <v>3.2919477349012349</v>
      </c>
      <c r="CW14" s="20">
        <f t="shared" si="13"/>
        <v>21.853048382275563</v>
      </c>
      <c r="CX14" s="59">
        <f t="shared" si="14"/>
        <v>291.96415949338672</v>
      </c>
      <c r="CY14" s="59">
        <f ca="1">AVERAGE(OFFSET($CX$3,0,0,'Données projet'!$E$13+1,1))-AVERAGE(OFFSET($H$3,0,0,'Données projet'!$E$13+1,1))</f>
        <v>255.09913504736693</v>
      </c>
      <c r="CZ14" s="59">
        <f t="shared" si="42"/>
        <v>248.42617382406644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2.1</v>
      </c>
      <c r="DO14" s="12">
        <f>IF('Données projet'!$A$166&gt;35,DO13+DN14-DW13,IF(A14&lt;'Données projet'!$A$166,$DL$205^A14,IF(A14='Données projet'!$A$166,'Données projet'!$B$166,DO13+DN14-DW13)))</f>
        <v>7.8124474610620815</v>
      </c>
      <c r="DP14" s="17">
        <f>DO14*VLOOKUP('Données projet'!$B$14,Paramètres!$A$1:$I$89,3,0)*VLOOKUP('Données projet'!$B$14,Paramètres!$A$1:$I$89,5,0)</f>
        <v>8.8968151686574988</v>
      </c>
      <c r="DQ14" s="13">
        <f t="shared" si="43"/>
        <v>3.1790380741285023</v>
      </c>
      <c r="DR14" s="20">
        <f t="shared" si="16"/>
        <v>21.032111064518954</v>
      </c>
      <c r="DS14" s="59">
        <f t="shared" si="17"/>
        <v>291.14322217563011</v>
      </c>
      <c r="DT14" s="59">
        <f ca="1">AVERAGE(OFFSET($DS$3,0,0,'Données projet'!$E$14+1,1))-AVERAGE(OFFSET($H$3,0,0,'Données projet'!$E$14+1,1))</f>
        <v>459.67331926893809</v>
      </c>
      <c r="DU14" s="59">
        <f t="shared" si="44"/>
        <v>280.33242658375497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6.1165000000000003</v>
      </c>
      <c r="EJ14" s="12">
        <f>IF('Données projet'!$A$192&gt;35,EJ13+EI14-ER13,IF(A14&lt;'Données projet'!$A$192,$EG$205^A14,IF(A14='Données projet'!$A$192,'Données projet'!$B$192,EJ13+EI14-ER13)))</f>
        <v>14.06511011729267</v>
      </c>
      <c r="EK14" s="17">
        <f>EJ14*VLOOKUP('Données projet'!$B$15,Paramètres!$A$1:$I$89,3,0)*VLOOKUP('Données projet'!$B$15,Paramètres!$A$1:$I$89,5,0)</f>
        <v>8.4109358501410174</v>
      </c>
      <c r="EL14" s="13">
        <f t="shared" si="45"/>
        <v>3.0251332327903286</v>
      </c>
      <c r="EM14" s="20">
        <f t="shared" si="19"/>
        <v>19.917820319438761</v>
      </c>
      <c r="EN14" s="59">
        <f t="shared" si="20"/>
        <v>290.0289314305499</v>
      </c>
      <c r="EO14" s="59">
        <f ca="1">AVERAGE(OFFSET($EN$3,0,0,'Données projet'!$E$15+1,1))-AVERAGE(OFFSET($H$3,0,0,'Données projet'!$E$15+1,1))</f>
        <v>264.08053957457469</v>
      </c>
      <c r="EP14" s="59">
        <f t="shared" si="46"/>
        <v>284.83300065761051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5.666666666666667</v>
      </c>
      <c r="FE14" s="12">
        <f>IF('Données projet'!$A$218&gt;35,FE13+FD14-FM13,IF(A14&lt;'Données projet'!$A$218,$FB$205^A14,IF(A14='Données projet'!$A$218,'Données projet'!$B$218,FE13+FD14-FM13)))</f>
        <v>6.5740237870303684</v>
      </c>
      <c r="FF14" s="17">
        <f>FE14*VLOOKUP('Données projet'!$B$16,Paramètres!$A$1:$I$89,3,0)*VLOOKUP('Données projet'!$B$16,Paramètres!$A$1:$I$89,5,0)</f>
        <v>3.0766431323302124</v>
      </c>
      <c r="FG14" s="13">
        <f t="shared" si="47"/>
        <v>1.24399035124876</v>
      </c>
      <c r="FH14" s="20">
        <f t="shared" si="22"/>
        <v>7.5251033172333761</v>
      </c>
      <c r="FI14" s="59">
        <f t="shared" si="23"/>
        <v>277.63621442834454</v>
      </c>
      <c r="FJ14" s="59">
        <f ca="1">AVERAGE(OFFSET($FI$3,0,0,'Données projet'!$E$16+1,1))-AVERAGE(OFFSET($H$3,0,0,'Données projet'!$E$16+1,1))</f>
        <v>166.27444639635013</v>
      </c>
      <c r="FK14" s="59">
        <f t="shared" si="48"/>
        <v>213.60182977243113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299.15620406350808</v>
      </c>
      <c r="S15" s="59">
        <f ca="1">AVERAGE(OFFSET($R$3,0,0,'Données projet'!$E$9+1,1))-AVERAGE(OFFSET($H$3,0,0,'Données projet'!$E$9+1,1))</f>
        <v>458.37755197712164</v>
      </c>
      <c r="T15" s="59">
        <f t="shared" si="34"/>
        <v>278.21741231699917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13.305514453470233</v>
      </c>
      <c r="AK15" s="13">
        <f t="shared" si="35"/>
        <v>4.5367667299931158</v>
      </c>
      <c r="AL15" s="20">
        <f t="shared" si="4"/>
        <v>31.075306394532003</v>
      </c>
      <c r="AM15" s="59">
        <f t="shared" si="5"/>
        <v>302.40863972786531</v>
      </c>
      <c r="AN15" s="59">
        <f ca="1">AVERAGE(OFFSET($AM$3,0,0,'Données projet'!$E$10+1,1))-AVERAGE(OFFSET($H$3,0,0,'Données projet'!$E$10+1,1))</f>
        <v>508.60701013958447</v>
      </c>
      <c r="AO15" s="59">
        <f t="shared" si="36"/>
        <v>306.61893266146654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8.9619807680412578</v>
      </c>
      <c r="BF15" s="13">
        <f t="shared" si="37"/>
        <v>3.1996041100413177</v>
      </c>
      <c r="BG15" s="20">
        <f t="shared" si="7"/>
        <v>21.181426995993817</v>
      </c>
      <c r="BH15" s="59">
        <f t="shared" si="8"/>
        <v>292.51476032932715</v>
      </c>
      <c r="BI15" s="59">
        <f ca="1">AVERAGE(OFFSET($BH$3,0,0,'Données projet'!$E$11+1,1))-AVERAGE(OFFSET($H$3,0,0,'Données projet'!$E$11+1,1))</f>
        <v>291.17074241052887</v>
      </c>
      <c r="BJ15" s="59">
        <f t="shared" si="38"/>
        <v>241.18285512887638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3.65</v>
      </c>
      <c r="BY15" s="12">
        <f>IF('Données projet'!$A$114&gt;35,BY14+BX15-CG14,IF(A15&lt;'Données projet'!$A$114,$BV$205^A15,IF(A15='Données projet'!$A$114,'Données projet'!$B$114,BY14+BX15-CG14)))</f>
        <v>13.121809125710287</v>
      </c>
      <c r="BZ15" s="13">
        <f>BY15*VLOOKUP('Données projet'!$B$12,Paramètres!$A$1:$I$89,3,0)*VLOOKUP('Données projet'!$B$12,Paramètres!$A$1:$I$89,5,0)</f>
        <v>11.053812007498347</v>
      </c>
      <c r="CA15" s="13">
        <f t="shared" si="39"/>
        <v>3.8512289154738402</v>
      </c>
      <c r="CB15" s="20">
        <f t="shared" si="10"/>
        <v>25.959612940843225</v>
      </c>
      <c r="CC15" s="59">
        <f t="shared" si="11"/>
        <v>297.29294627417653</v>
      </c>
      <c r="CD15" s="59">
        <f ca="1">AVERAGE(OFFSET($CC$3,0,0,'Données projet'!$E$12+1,1))-AVERAGE(OFFSET($H$3,0,0,'Données projet'!$E$12+1,1))</f>
        <v>429.61977776013185</v>
      </c>
      <c r="CE15" s="59">
        <f t="shared" si="40"/>
        <v>261.95434270986385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2.4666666666666668</v>
      </c>
      <c r="CT15" s="12">
        <f>IF('Données projet'!$A$140&gt;35,CT14+CS15-DB14,IF(A15&lt;'Données projet'!$A$140,$CQ$205^A15,IF(A15='Données projet'!$A$140,'Données projet'!$B$140,CT14+CS15-DB14)))</f>
        <v>17.970550417308221</v>
      </c>
      <c r="CU15" s="17">
        <f>CT15*VLOOKUP('Données projet'!$B$13,Paramètres!$A$1:$I$89,3,0)*VLOOKUP('Données projet'!$B$13,Paramètres!$A$1:$I$89,5,0)</f>
        <v>11.774304633420346</v>
      </c>
      <c r="CV15" s="13">
        <f t="shared" si="41"/>
        <v>4.0722128281711418</v>
      </c>
      <c r="CW15" s="20">
        <f t="shared" si="13"/>
        <v>27.599351245605177</v>
      </c>
      <c r="CX15" s="59">
        <f t="shared" si="14"/>
        <v>298.93268457893851</v>
      </c>
      <c r="CY15" s="59">
        <f ca="1">AVERAGE(OFFSET($CX$3,0,0,'Données projet'!$E$13+1,1))-AVERAGE(OFFSET($H$3,0,0,'Données projet'!$E$13+1,1))</f>
        <v>255.09913504736693</v>
      </c>
      <c r="CZ15" s="59">
        <f t="shared" si="42"/>
        <v>248.42617382406644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2.1</v>
      </c>
      <c r="DO15" s="12">
        <f>IF('Données projet'!$A$166&gt;35,DO14+DN15-DW14,IF(A15&lt;'Données projet'!$A$166,$DL$205^A15,IF(A15='Données projet'!$A$166,'Données projet'!$B$166,DO14+DN15-DW14)))</f>
        <v>9.4178024044149407</v>
      </c>
      <c r="DP15" s="17">
        <f>DO15*VLOOKUP('Données projet'!$B$14,Paramètres!$A$1:$I$89,3,0)*VLOOKUP('Données projet'!$B$14,Paramètres!$A$1:$I$89,5,0)</f>
        <v>10.724993378147735</v>
      </c>
      <c r="DQ15" s="13">
        <f t="shared" si="43"/>
        <v>3.7498239880297484</v>
      </c>
      <c r="DR15" s="20">
        <f t="shared" si="16"/>
        <v>25.210306912759112</v>
      </c>
      <c r="DS15" s="59">
        <f t="shared" si="17"/>
        <v>296.54364024609242</v>
      </c>
      <c r="DT15" s="59">
        <f ca="1">AVERAGE(OFFSET($DS$3,0,0,'Données projet'!$E$14+1,1))-AVERAGE(OFFSET($H$3,0,0,'Données projet'!$E$14+1,1))</f>
        <v>459.67331926893809</v>
      </c>
      <c r="DU15" s="59">
        <f t="shared" si="44"/>
        <v>280.33242658375497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6.1165000000000003</v>
      </c>
      <c r="EJ15" s="12">
        <f>IF('Données projet'!$A$192&gt;35,EJ14+EI15-ER14,IF(A15&lt;'Données projet'!$A$192,$EG$205^A15,IF(A15='Données projet'!$A$192,'Données projet'!$B$192,EJ14+EI15-ER14)))</f>
        <v>17.886270129134253</v>
      </c>
      <c r="EK15" s="17">
        <f>EJ15*VLOOKUP('Données projet'!$B$15,Paramètres!$A$1:$I$89,3,0)*VLOOKUP('Données projet'!$B$15,Paramètres!$A$1:$I$89,5,0)</f>
        <v>10.695989537222285</v>
      </c>
      <c r="EL15" s="13">
        <f t="shared" si="45"/>
        <v>3.7408622243020035</v>
      </c>
      <c r="EM15" s="20">
        <f t="shared" si="19"/>
        <v>25.1441834846548</v>
      </c>
      <c r="EN15" s="59">
        <f t="shared" si="20"/>
        <v>296.47751681798809</v>
      </c>
      <c r="EO15" s="59">
        <f ca="1">AVERAGE(OFFSET($EN$3,0,0,'Données projet'!$E$15+1,1))-AVERAGE(OFFSET($H$3,0,0,'Données projet'!$E$15+1,1))</f>
        <v>264.08053957457469</v>
      </c>
      <c r="EP15" s="59">
        <f t="shared" si="46"/>
        <v>284.83300065761051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5.666666666666667</v>
      </c>
      <c r="FE15" s="12">
        <f>IF('Données projet'!$A$218&gt;35,FE14+FD15-FM14,IF(A15&lt;'Données projet'!$A$218,$FB$205^A15,IF(A15='Données projet'!$A$218,'Données projet'!$B$218,FE14+FD15-FM14)))</f>
        <v>7.8015261500555493</v>
      </c>
      <c r="FF15" s="17">
        <f>FE15*VLOOKUP('Données projet'!$B$16,Paramètres!$A$1:$I$89,3,0)*VLOOKUP('Données projet'!$B$16,Paramètres!$A$1:$I$89,5,0)</f>
        <v>3.6511142382259969</v>
      </c>
      <c r="FG15" s="13">
        <f t="shared" si="47"/>
        <v>1.4471420643258348</v>
      </c>
      <c r="FH15" s="20">
        <f t="shared" si="22"/>
        <v>8.8794630602777733</v>
      </c>
      <c r="FI15" s="59">
        <f t="shared" si="23"/>
        <v>280.21279639361109</v>
      </c>
      <c r="FJ15" s="59">
        <f ca="1">AVERAGE(OFFSET($FI$3,0,0,'Données projet'!$E$16+1,1))-AVERAGE(OFFSET($H$3,0,0,'Données projet'!$E$16+1,1))</f>
        <v>166.27444639635013</v>
      </c>
      <c r="FK15" s="59">
        <f t="shared" si="48"/>
        <v>213.60182977243113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306.81726343399242</v>
      </c>
      <c r="S16" s="59">
        <f ca="1">AVERAGE(OFFSET($R$3,0,0,'Données projet'!$E$9+1,1))-AVERAGE(OFFSET($H$3,0,0,'Données projet'!$E$9+1,1))</f>
        <v>458.37755197712164</v>
      </c>
      <c r="T16" s="59">
        <f t="shared" si="34"/>
        <v>278.21741231699917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16.489132736928447</v>
      </c>
      <c r="AK16" s="13">
        <f t="shared" si="35"/>
        <v>5.4836288594779292</v>
      </c>
      <c r="AL16" s="20">
        <f t="shared" si="4"/>
        <v>38.269226447074438</v>
      </c>
      <c r="AM16" s="59">
        <f t="shared" si="5"/>
        <v>310.82478200263</v>
      </c>
      <c r="AN16" s="59">
        <f ca="1">AVERAGE(OFFSET($AM$3,0,0,'Données projet'!$E$10+1,1))-AVERAGE(OFFSET($H$3,0,0,'Données projet'!$E$10+1,1))</f>
        <v>508.60701013958447</v>
      </c>
      <c r="AO16" s="59">
        <f t="shared" si="36"/>
        <v>306.61893266146654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10.803549648973275</v>
      </c>
      <c r="BF16" s="13">
        <f t="shared" si="37"/>
        <v>3.77408258858951</v>
      </c>
      <c r="BG16" s="20">
        <f t="shared" si="7"/>
        <v>25.389376147088512</v>
      </c>
      <c r="BH16" s="59">
        <f t="shared" si="8"/>
        <v>297.94493170264406</v>
      </c>
      <c r="BI16" s="59">
        <f ca="1">AVERAGE(OFFSET($BH$3,0,0,'Données projet'!$E$11+1,1))-AVERAGE(OFFSET($H$3,0,0,'Données projet'!$E$11+1,1))</f>
        <v>291.17074241052887</v>
      </c>
      <c r="BJ16" s="59">
        <f t="shared" si="38"/>
        <v>241.18285512887638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3.65</v>
      </c>
      <c r="BY16" s="12">
        <f>IF('Données projet'!$A$114&gt;35,BY15+BX16-CG15,IF(A16&lt;'Données projet'!$A$114,$BV$205^A16,IF(A16='Données projet'!$A$114,'Données projet'!$B$114,BY15+BX16-CG15)))</f>
        <v>16.261472127148366</v>
      </c>
      <c r="BZ16" s="13">
        <f>BY16*VLOOKUP('Données projet'!$B$12,Paramètres!$A$1:$I$89,3,0)*VLOOKUP('Données projet'!$B$12,Paramètres!$A$1:$I$89,5,0)</f>
        <v>13.698664119909786</v>
      </c>
      <c r="CA16" s="13">
        <f t="shared" si="39"/>
        <v>4.6550134230463893</v>
      </c>
      <c r="CB16" s="20">
        <f t="shared" si="10"/>
        <v>31.965988387315338</v>
      </c>
      <c r="CC16" s="59">
        <f t="shared" si="11"/>
        <v>304.52154394287089</v>
      </c>
      <c r="CD16" s="59">
        <f ca="1">AVERAGE(OFFSET($CC$3,0,0,'Données projet'!$E$12+1,1))-AVERAGE(OFFSET($H$3,0,0,'Données projet'!$E$12+1,1))</f>
        <v>429.61977776013185</v>
      </c>
      <c r="CE16" s="59">
        <f t="shared" si="40"/>
        <v>261.95434270986385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2.4666666666666668</v>
      </c>
      <c r="CT16" s="12">
        <f>IF('Données projet'!$A$140&gt;35,CT15+CS16-DB15,IF(A16&lt;'Données projet'!$A$140,$CQ$205^A16,IF(A16='Données projet'!$A$140,'Données projet'!$B$140,CT15+CS16-DB15)))</f>
        <v>22.86168101684942</v>
      </c>
      <c r="CU16" s="17">
        <f>CT16*VLOOKUP('Données projet'!$B$13,Paramètres!$A$1:$I$89,3,0)*VLOOKUP('Données projet'!$B$13,Paramètres!$A$1:$I$89,5,0)</f>
        <v>14.97897340223974</v>
      </c>
      <c r="CV16" s="13">
        <f t="shared" si="41"/>
        <v>5.0374181649694805</v>
      </c>
      <c r="CW16" s="20">
        <f t="shared" si="13"/>
        <v>34.861881979556053</v>
      </c>
      <c r="CX16" s="59">
        <f t="shared" si="14"/>
        <v>307.41743753511162</v>
      </c>
      <c r="CY16" s="59">
        <f ca="1">AVERAGE(OFFSET($CX$3,0,0,'Données projet'!$E$13+1,1))-AVERAGE(OFFSET($H$3,0,0,'Données projet'!$E$13+1,1))</f>
        <v>255.09913504736693</v>
      </c>
      <c r="CZ16" s="59">
        <f t="shared" si="42"/>
        <v>248.42617382406644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2.1</v>
      </c>
      <c r="DO16" s="12">
        <f>IF('Données projet'!$A$166&gt;35,DO15+DN16-DW15,IF(A16&lt;'Données projet'!$A$166,$DL$205^A16,IF(A16='Données projet'!$A$166,'Données projet'!$B$166,DO15+DN16-DW15)))</f>
        <v>11.35303662145153</v>
      </c>
      <c r="DP16" s="17">
        <f>DO16*VLOOKUP('Données projet'!$B$14,Paramètres!$A$1:$I$89,3,0)*VLOOKUP('Données projet'!$B$14,Paramètres!$A$1:$I$89,5,0)</f>
        <v>12.928838104509001</v>
      </c>
      <c r="DQ16" s="13">
        <f t="shared" si="43"/>
        <v>4.4230926504578099</v>
      </c>
      <c r="DR16" s="20">
        <f t="shared" si="16"/>
        <v>30.221279398233865</v>
      </c>
      <c r="DS16" s="59">
        <f t="shared" si="17"/>
        <v>302.77683495378943</v>
      </c>
      <c r="DT16" s="59">
        <f ca="1">AVERAGE(OFFSET($DS$3,0,0,'Données projet'!$E$14+1,1))-AVERAGE(OFFSET($H$3,0,0,'Données projet'!$E$14+1,1))</f>
        <v>459.67331926893809</v>
      </c>
      <c r="DU16" s="59">
        <f t="shared" si="44"/>
        <v>280.33242658375497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6.1165000000000003</v>
      </c>
      <c r="EJ16" s="12">
        <f>IF('Données projet'!$A$192&gt;35,EJ15+EI16-ER15,IF(A16&lt;'Données projet'!$A$192,$EG$205^A16,IF(A16='Données projet'!$A$192,'Données projet'!$B$192,EJ15+EI16-ER15)))</f>
        <v>22.745549552365677</v>
      </c>
      <c r="EK16" s="17">
        <f>EJ16*VLOOKUP('Données projet'!$B$15,Paramètres!$A$1:$I$89,3,0)*VLOOKUP('Données projet'!$B$15,Paramètres!$A$1:$I$89,5,0)</f>
        <v>13.601838632314676</v>
      </c>
      <c r="EL16" s="13">
        <f t="shared" si="45"/>
        <v>4.6259285473856249</v>
      </c>
      <c r="EM16" s="20">
        <f t="shared" si="19"/>
        <v>31.746694504644694</v>
      </c>
      <c r="EN16" s="59">
        <f t="shared" si="20"/>
        <v>304.30225006020021</v>
      </c>
      <c r="EO16" s="59">
        <f ca="1">AVERAGE(OFFSET($EN$3,0,0,'Données projet'!$E$15+1,1))-AVERAGE(OFFSET($H$3,0,0,'Données projet'!$E$15+1,1))</f>
        <v>264.08053957457469</v>
      </c>
      <c r="EP16" s="59">
        <f t="shared" si="46"/>
        <v>284.83300065761051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5.666666666666667</v>
      </c>
      <c r="FE16" s="12">
        <f>IF('Données projet'!$A$218&gt;35,FE15+FD16-FM15,IF(A16&lt;'Données projet'!$A$218,$FB$205^A16,IF(A16='Données projet'!$A$218,'Données projet'!$B$218,FE15+FD16-FM15)))</f>
        <v>9.2582278740877637</v>
      </c>
      <c r="FF16" s="17">
        <f>FE16*VLOOKUP('Données projet'!$B$16,Paramètres!$A$1:$I$89,3,0)*VLOOKUP('Données projet'!$B$16,Paramètres!$A$1:$I$89,5,0)</f>
        <v>4.3328506450730728</v>
      </c>
      <c r="FG16" s="13">
        <f t="shared" si="47"/>
        <v>1.683469773088665</v>
      </c>
      <c r="FH16" s="20">
        <f t="shared" si="22"/>
        <v>10.478424728298359</v>
      </c>
      <c r="FI16" s="59">
        <f t="shared" si="23"/>
        <v>283.03398028385391</v>
      </c>
      <c r="FJ16" s="59">
        <f ca="1">AVERAGE(OFFSET($FI$3,0,0,'Données projet'!$E$16+1,1))-AVERAGE(OFFSET($H$3,0,0,'Données projet'!$E$16+1,1))</f>
        <v>166.27444639635013</v>
      </c>
      <c r="FK16" s="59">
        <f t="shared" si="48"/>
        <v>213.60182977243113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315.9733740744461</v>
      </c>
      <c r="S17" s="59">
        <f ca="1">AVERAGE(OFFSET($R$3,0,0,'Données projet'!$E$9+1,1))-AVERAGE(OFFSET($H$3,0,0,'Données projet'!$E$9+1,1))</f>
        <v>458.37755197712164</v>
      </c>
      <c r="T17" s="59">
        <f t="shared" si="34"/>
        <v>278.21741231699917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20.434497242993334</v>
      </c>
      <c r="AK17" s="13">
        <f t="shared" si="35"/>
        <v>6.6281092368495731</v>
      </c>
      <c r="AL17" s="20">
        <f t="shared" si="4"/>
        <v>47.134039619059727</v>
      </c>
      <c r="AM17" s="59">
        <f t="shared" si="5"/>
        <v>320.91181739683748</v>
      </c>
      <c r="AN17" s="59">
        <f ca="1">AVERAGE(OFFSET($AM$3,0,0,'Données projet'!$E$10+1,1))-AVERAGE(OFFSET($H$3,0,0,'Données projet'!$E$10+1,1))</f>
        <v>508.60701013958447</v>
      </c>
      <c r="AO17" s="59">
        <f t="shared" si="36"/>
        <v>306.61893266146654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13.023536653196853</v>
      </c>
      <c r="BF17" s="13">
        <f t="shared" si="37"/>
        <v>4.4517068035990768</v>
      </c>
      <c r="BG17" s="20">
        <f t="shared" si="7"/>
        <v>30.436049020586243</v>
      </c>
      <c r="BH17" s="59">
        <f t="shared" si="8"/>
        <v>304.21382679836404</v>
      </c>
      <c r="BI17" s="59">
        <f ca="1">AVERAGE(OFFSET($BH$3,0,0,'Données projet'!$E$11+1,1))-AVERAGE(OFFSET($H$3,0,0,'Données projet'!$E$11+1,1))</f>
        <v>291.17074241052887</v>
      </c>
      <c r="BJ17" s="59">
        <f t="shared" si="38"/>
        <v>241.18285512887638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3.65</v>
      </c>
      <c r="BY17" s="12">
        <f>IF('Données projet'!$A$114&gt;35,BY16+BX17-CG16,IF(A17&lt;'Données projet'!$A$114,$BV$205^A17,IF(A17='Données projet'!$A$114,'Données projet'!$B$114,BY16+BX17-CG16)))</f>
        <v>20.152364144963837</v>
      </c>
      <c r="BZ17" s="13">
        <f>BY17*VLOOKUP('Données projet'!$B$12,Paramètres!$A$1:$I$89,3,0)*VLOOKUP('Données projet'!$B$12,Paramètres!$A$1:$I$89,5,0)</f>
        <v>16.976351555717539</v>
      </c>
      <c r="CA17" s="13">
        <f t="shared" si="39"/>
        <v>5.6265546516016363</v>
      </c>
      <c r="CB17" s="20">
        <f t="shared" si="10"/>
        <v>39.366728311080898</v>
      </c>
      <c r="CC17" s="59">
        <f t="shared" si="11"/>
        <v>313.14450608885869</v>
      </c>
      <c r="CD17" s="59">
        <f ca="1">AVERAGE(OFFSET($CC$3,0,0,'Données projet'!$E$12+1,1))-AVERAGE(OFFSET($H$3,0,0,'Données projet'!$E$12+1,1))</f>
        <v>429.61977776013185</v>
      </c>
      <c r="CE17" s="59">
        <f t="shared" si="40"/>
        <v>261.95434270986385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2.4666666666666668</v>
      </c>
      <c r="CT17" s="12">
        <f>IF('Données projet'!$A$140&gt;35,CT16+CS17-DB16,IF(A17&lt;'Données projet'!$A$140,$CQ$205^A17,IF(A17='Données projet'!$A$140,'Données projet'!$B$140,CT16+CS17-DB16)))</f>
        <v>29.084054009429774</v>
      </c>
      <c r="CU17" s="17">
        <f>CT17*VLOOKUP('Données projet'!$B$13,Paramètres!$A$1:$I$89,3,0)*VLOOKUP('Données projet'!$B$13,Paramètres!$A$1:$I$89,5,0)</f>
        <v>19.055872186978391</v>
      </c>
      <c r="CV17" s="13">
        <f t="shared" si="41"/>
        <v>6.231398711093604</v>
      </c>
      <c r="CW17" s="20">
        <f t="shared" si="13"/>
        <v>44.041996814142045</v>
      </c>
      <c r="CX17" s="59">
        <f t="shared" si="14"/>
        <v>317.81977459191984</v>
      </c>
      <c r="CY17" s="59">
        <f ca="1">AVERAGE(OFFSET($CX$3,0,0,'Données projet'!$E$13+1,1))-AVERAGE(OFFSET($H$3,0,0,'Données projet'!$E$13+1,1))</f>
        <v>255.09913504736693</v>
      </c>
      <c r="CZ17" s="59">
        <f t="shared" si="42"/>
        <v>248.42617382406644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2.1</v>
      </c>
      <c r="DO17" s="12">
        <f>IF('Données projet'!$A$166&gt;35,DO16+DN17-DW16,IF(A17&lt;'Données projet'!$A$166,$DL$205^A17,IF(A17='Données projet'!$A$166,'Données projet'!$B$166,DO16+DN17-DW16)))</f>
        <v>13.685935953338433</v>
      </c>
      <c r="DP17" s="17">
        <f>DO17*VLOOKUP('Données projet'!$B$14,Paramètres!$A$1:$I$89,3,0)*VLOOKUP('Données projet'!$B$14,Paramètres!$A$1:$I$89,5,0)</f>
        <v>15.585543863661808</v>
      </c>
      <c r="DQ17" s="13">
        <f t="shared" si="43"/>
        <v>5.217244504538245</v>
      </c>
      <c r="DR17" s="20">
        <f t="shared" si="16"/>
        <v>36.23152307461509</v>
      </c>
      <c r="DS17" s="59">
        <f t="shared" si="17"/>
        <v>310.00930085239287</v>
      </c>
      <c r="DT17" s="59">
        <f ca="1">AVERAGE(OFFSET($DS$3,0,0,'Données projet'!$E$14+1,1))-AVERAGE(OFFSET($H$3,0,0,'Données projet'!$E$14+1,1))</f>
        <v>459.67331926893809</v>
      </c>
      <c r="DU17" s="59">
        <f t="shared" si="44"/>
        <v>280.33242658375497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6.1165000000000003</v>
      </c>
      <c r="EJ17" s="12">
        <f>IF('Données projet'!$A$192&gt;35,EJ16+EI17-ER16,IF(A17&lt;'Données projet'!$A$192,$EG$205^A17,IF(A17='Données projet'!$A$192,'Données projet'!$B$192,EJ16+EI17-ER16)))</f>
        <v>28.924981044338292</v>
      </c>
      <c r="EK17" s="17">
        <f>EJ17*VLOOKUP('Données projet'!$B$15,Paramètres!$A$1:$I$89,3,0)*VLOOKUP('Données projet'!$B$15,Paramètres!$A$1:$I$89,5,0)</f>
        <v>17.2971386645143</v>
      </c>
      <c r="EL17" s="13">
        <f t="shared" si="45"/>
        <v>5.7203964333409996</v>
      </c>
      <c r="EM17" s="20">
        <f t="shared" si="19"/>
        <v>40.088873628764645</v>
      </c>
      <c r="EN17" s="59">
        <f t="shared" si="20"/>
        <v>313.86665140654242</v>
      </c>
      <c r="EO17" s="59">
        <f ca="1">AVERAGE(OFFSET($EN$3,0,0,'Données projet'!$E$15+1,1))-AVERAGE(OFFSET($H$3,0,0,'Données projet'!$E$15+1,1))</f>
        <v>264.08053957457469</v>
      </c>
      <c r="EP17" s="59">
        <f t="shared" si="46"/>
        <v>284.83300065761051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5.666666666666667</v>
      </c>
      <c r="FE17" s="12">
        <f>IF('Données projet'!$A$218&gt;35,FE16+FD17-FM16,IF(A17&lt;'Données projet'!$A$218,$FB$205^A17,IF(A17='Données projet'!$A$218,'Données projet'!$B$218,FE16+FD17-FM16)))</f>
        <v>10.986925086180136</v>
      </c>
      <c r="FF17" s="17">
        <f>FE17*VLOOKUP('Données projet'!$B$16,Paramètres!$A$1:$I$89,3,0)*VLOOKUP('Données projet'!$B$16,Paramètres!$A$1:$I$89,5,0)</f>
        <v>5.141880940332304</v>
      </c>
      <c r="FG17" s="13">
        <f t="shared" si="47"/>
        <v>1.95839133335087</v>
      </c>
      <c r="FH17" s="20">
        <f t="shared" si="22"/>
        <v>12.366307543331528</v>
      </c>
      <c r="FI17" s="59">
        <f t="shared" si="23"/>
        <v>286.14408532110929</v>
      </c>
      <c r="FJ17" s="59">
        <f ca="1">AVERAGE(OFFSET($FI$3,0,0,'Données projet'!$E$16+1,1))-AVERAGE(OFFSET($H$3,0,0,'Données projet'!$E$16+1,1))</f>
        <v>166.27444639635013</v>
      </c>
      <c r="FK17" s="59">
        <f t="shared" si="48"/>
        <v>213.60182977243113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326.97274628871452</v>
      </c>
      <c r="S18" s="59">
        <f ca="1">AVERAGE(OFFSET($R$3,0,0,'Données projet'!$E$9+1,1))-AVERAGE(OFFSET($H$3,0,0,'Données projet'!$E$9+1,1))</f>
        <v>458.37755197712164</v>
      </c>
      <c r="T18" s="59">
        <f t="shared" si="34"/>
        <v>278.21741231699917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25.323871439201337</v>
      </c>
      <c r="AK18" s="13">
        <f t="shared" si="35"/>
        <v>8.0114524854610902</v>
      </c>
      <c r="AL18" s="20">
        <f t="shared" si="4"/>
        <v>58.059022502120392</v>
      </c>
      <c r="AM18" s="59">
        <f t="shared" si="5"/>
        <v>333.0590225021204</v>
      </c>
      <c r="AN18" s="59">
        <f ca="1">AVERAGE(OFFSET($AM$3,0,0,'Données projet'!$E$10+1,1))-AVERAGE(OFFSET($H$3,0,0,'Données projet'!$E$10+1,1))</f>
        <v>508.60701013958447</v>
      </c>
      <c r="AO18" s="59">
        <f t="shared" si="36"/>
        <v>306.61893266146654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15.699701715471004</v>
      </c>
      <c r="BF18" s="13">
        <f t="shared" si="37"/>
        <v>5.250996235516082</v>
      </c>
      <c r="BG18" s="20">
        <f t="shared" si="7"/>
        <v>36.489132264635835</v>
      </c>
      <c r="BH18" s="59">
        <f t="shared" si="8"/>
        <v>311.48913226463583</v>
      </c>
      <c r="BI18" s="59">
        <f ca="1">AVERAGE(OFFSET($BH$3,0,0,'Données projet'!$E$11+1,1))-AVERAGE(OFFSET($H$3,0,0,'Données projet'!$E$11+1,1))</f>
        <v>291.17074241052887</v>
      </c>
      <c r="BJ18" s="59">
        <f t="shared" si="38"/>
        <v>241.18285512887638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3.65</v>
      </c>
      <c r="BY18" s="12">
        <f>IF('Données projet'!$A$114&gt;35,BY17+BX18-CG17,IF(A18&lt;'Données projet'!$A$114,$BV$205^A18,IF(A18='Données projet'!$A$114,'Données projet'!$B$114,BY17+BX18-CG17)))</f>
        <v>24.974232188561476</v>
      </c>
      <c r="BZ18" s="13">
        <f>BY18*VLOOKUP('Données projet'!$B$12,Paramètres!$A$1:$I$89,3,0)*VLOOKUP('Données projet'!$B$12,Paramètres!$A$1:$I$89,5,0)</f>
        <v>21.03829319564419</v>
      </c>
      <c r="CA18" s="13">
        <f t="shared" si="39"/>
        <v>6.8008648676982615</v>
      </c>
      <c r="CB18" s="20">
        <f t="shared" si="10"/>
        <v>48.486533626988098</v>
      </c>
      <c r="CC18" s="59">
        <f t="shared" si="11"/>
        <v>323.48653362698809</v>
      </c>
      <c r="CD18" s="59">
        <f ca="1">AVERAGE(OFFSET($CC$3,0,0,'Données projet'!$E$12+1,1))-AVERAGE(OFFSET($H$3,0,0,'Données projet'!$E$12+1,1))</f>
        <v>429.61977776013185</v>
      </c>
      <c r="CE18" s="59">
        <f t="shared" si="40"/>
        <v>261.95434270986385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37</v>
      </c>
      <c r="CR18" s="12">
        <f>VLOOKUP(A18,'Données projet'!$A$139:$I$159,9,0)</f>
        <v>2.4666666666666668</v>
      </c>
      <c r="CS18" s="12">
        <f t="array" ref="CS18">INDEX(CR:CR,MIN(IF(ISNUMBER(CR18:CR214),ROW(CR18:CR214),"")))</f>
        <v>2.4666666666666668</v>
      </c>
      <c r="CT18" s="12">
        <f>IF('Données projet'!$A$140&gt;35,CT17+CS18-DB17,IF(A18&lt;'Données projet'!$A$140,$CQ$205^A18,IF(A18='Données projet'!$A$140,'Données projet'!$B$140,CT17+CS18-DB17)))</f>
        <v>37</v>
      </c>
      <c r="CU18" s="17">
        <f>CT18*VLOOKUP('Données projet'!$B$13,Paramètres!$A$1:$I$89,3,0)*VLOOKUP('Données projet'!$B$13,Paramètres!$A$1:$I$89,5,0)</f>
        <v>24.2424</v>
      </c>
      <c r="CV18" s="13">
        <f t="shared" si="41"/>
        <v>7.7083792976822032</v>
      </c>
      <c r="CW18" s="20">
        <f t="shared" si="13"/>
        <v>55.647607276796499</v>
      </c>
      <c r="CX18" s="59">
        <f t="shared" si="14"/>
        <v>330.64760727679652</v>
      </c>
      <c r="CY18" s="59">
        <f ca="1">AVERAGE(OFFSET($CX$3,0,0,'Données projet'!$E$13+1,1))-AVERAGE(OFFSET($H$3,0,0,'Données projet'!$E$13+1,1))</f>
        <v>255.09913504736693</v>
      </c>
      <c r="CZ18" s="59">
        <f t="shared" si="42"/>
        <v>248.42617382406644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2.1</v>
      </c>
      <c r="DO18" s="12">
        <f>IF('Données projet'!$A$166&gt;35,DO17+DN18-DW17,IF(A18&lt;'Données projet'!$A$166,$DL$205^A18,IF(A18='Données projet'!$A$166,'Données projet'!$B$166,DO17+DN18-DW17)))</f>
        <v>16.498215337821566</v>
      </c>
      <c r="DP18" s="17">
        <f>DO18*VLOOKUP('Données projet'!$B$14,Paramètres!$A$1:$I$89,3,0)*VLOOKUP('Données projet'!$B$14,Paramètres!$A$1:$I$89,5,0)</f>
        <v>18.7881676267112</v>
      </c>
      <c r="DQ18" s="13">
        <f t="shared" si="43"/>
        <v>6.1539837329243312</v>
      </c>
      <c r="DR18" s="20">
        <f t="shared" si="16"/>
        <v>43.440913618031878</v>
      </c>
      <c r="DS18" s="59">
        <f t="shared" si="17"/>
        <v>318.44091361803186</v>
      </c>
      <c r="DT18" s="59">
        <f ca="1">AVERAGE(OFFSET($DS$3,0,0,'Données projet'!$E$14+1,1))-AVERAGE(OFFSET($H$3,0,0,'Données projet'!$E$14+1,1))</f>
        <v>459.67331926893809</v>
      </c>
      <c r="DU18" s="59">
        <f t="shared" si="44"/>
        <v>280.33242658375497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6.1165000000000003</v>
      </c>
      <c r="EJ18" s="12">
        <f>IF('Données projet'!$A$192&gt;35,EJ17+EI18-ER17,IF(A18&lt;'Données projet'!$A$192,$EG$205^A18,IF(A18='Données projet'!$A$192,'Données projet'!$B$192,EJ17+EI18-ER17)))</f>
        <v>36.783218910105973</v>
      </c>
      <c r="EK18" s="17">
        <f>EJ18*VLOOKUP('Données projet'!$B$15,Paramètres!$A$1:$I$89,3,0)*VLOOKUP('Données projet'!$B$15,Paramètres!$A$1:$I$89,5,0)</f>
        <v>21.996364908243375</v>
      </c>
      <c r="EL18" s="13">
        <f t="shared" si="45"/>
        <v>7.0738090784117356</v>
      </c>
      <c r="EM18" s="20">
        <f t="shared" si="19"/>
        <v>50.630553026757646</v>
      </c>
      <c r="EN18" s="59">
        <f t="shared" si="20"/>
        <v>325.63055302675764</v>
      </c>
      <c r="EO18" s="59">
        <f ca="1">AVERAGE(OFFSET($EN$3,0,0,'Données projet'!$E$15+1,1))-AVERAGE(OFFSET($H$3,0,0,'Données projet'!$E$15+1,1))</f>
        <v>264.08053957457469</v>
      </c>
      <c r="EP18" s="59">
        <f t="shared" si="46"/>
        <v>284.83300065761051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5.666666666666667</v>
      </c>
      <c r="FE18" s="12">
        <f>IF('Données projet'!$A$218&gt;35,FE17+FD18-FM17,IF(A18&lt;'Données projet'!$A$218,$FB$205^A18,IF(A18='Données projet'!$A$218,'Données projet'!$B$218,FE17+FD18-FM17)))</f>
        <v>13.038404810405304</v>
      </c>
      <c r="FF18" s="17">
        <f>FE18*VLOOKUP('Données projet'!$B$16,Paramètres!$A$1:$I$89,3,0)*VLOOKUP('Données projet'!$B$16,Paramètres!$A$1:$I$89,5,0)</f>
        <v>6.101973451269683</v>
      </c>
      <c r="FG18" s="13">
        <f t="shared" si="47"/>
        <v>2.2782093720086061</v>
      </c>
      <c r="FH18" s="20">
        <f t="shared" si="22"/>
        <v>14.595485083876353</v>
      </c>
      <c r="FI18" s="59">
        <f t="shared" si="23"/>
        <v>289.59548508387633</v>
      </c>
      <c r="FJ18" s="59">
        <f ca="1">AVERAGE(OFFSET($FI$3,0,0,'Données projet'!$E$16+1,1))-AVERAGE(OFFSET($H$3,0,0,'Données projet'!$E$16+1,1))</f>
        <v>166.27444639635013</v>
      </c>
      <c r="FK18" s="59">
        <f t="shared" si="48"/>
        <v>213.60182977243113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340.24492173474681</v>
      </c>
      <c r="S19" s="59">
        <f ca="1">AVERAGE(OFFSET($R$3,0,0,'Données projet'!$E$9+1,1))-AVERAGE(OFFSET($H$3,0,0,'Données projet'!$E$9+1,1))</f>
        <v>458.37755197712164</v>
      </c>
      <c r="T19" s="59">
        <f t="shared" si="34"/>
        <v>278.21741231699917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31.383129080363769</v>
      </c>
      <c r="AK19" s="13">
        <f t="shared" si="35"/>
        <v>9.6835113353243223</v>
      </c>
      <c r="AL19" s="20">
        <f t="shared" si="4"/>
        <v>71.524398723990075</v>
      </c>
      <c r="AM19" s="59">
        <f t="shared" si="5"/>
        <v>347.74662094621232</v>
      </c>
      <c r="AN19" s="59">
        <f ca="1">AVERAGE(OFFSET($AM$3,0,0,'Données projet'!$E$10+1,1))-AVERAGE(OFFSET($H$3,0,0,'Données projet'!$E$10+1,1))</f>
        <v>508.60701013958447</v>
      </c>
      <c r="AO19" s="59">
        <f t="shared" si="36"/>
        <v>306.61893266146654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18.925783411855349</v>
      </c>
      <c r="BF19" s="13">
        <f t="shared" si="37"/>
        <v>6.1937954770768169</v>
      </c>
      <c r="BG19" s="20">
        <f t="shared" si="7"/>
        <v>43.749933231556859</v>
      </c>
      <c r="BH19" s="59">
        <f t="shared" si="8"/>
        <v>319.97215545377907</v>
      </c>
      <c r="BI19" s="59">
        <f ca="1">AVERAGE(OFFSET($BH$3,0,0,'Données projet'!$E$11+1,1))-AVERAGE(OFFSET($H$3,0,0,'Données projet'!$E$11+1,1))</f>
        <v>291.17074241052887</v>
      </c>
      <c r="BJ19" s="59">
        <f t="shared" si="38"/>
        <v>241.18285512887638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3.65</v>
      </c>
      <c r="BY19" s="12">
        <f>IF('Données projet'!$A$114&gt;35,BY18+BX19-CG18,IF(A19&lt;'Données projet'!$A$114,$BV$205^A19,IF(A19='Données projet'!$A$114,'Données projet'!$B$114,BY18+BX19-CG18)))</f>
        <v>30.949831440200953</v>
      </c>
      <c r="BZ19" s="13">
        <f>BY19*VLOOKUP('Données projet'!$B$12,Paramètres!$A$1:$I$89,3,0)*VLOOKUP('Données projet'!$B$12,Paramètres!$A$1:$I$89,5,0)</f>
        <v>26.072138005225284</v>
      </c>
      <c r="CA19" s="13">
        <f t="shared" si="39"/>
        <v>8.2202636982343371</v>
      </c>
      <c r="CB19" s="20">
        <f t="shared" si="10"/>
        <v>59.725932966858835</v>
      </c>
      <c r="CC19" s="59">
        <f t="shared" si="11"/>
        <v>335.94815518908104</v>
      </c>
      <c r="CD19" s="59">
        <f ca="1">AVERAGE(OFFSET($CC$3,0,0,'Données projet'!$E$12+1,1))-AVERAGE(OFFSET($H$3,0,0,'Données projet'!$E$12+1,1))</f>
        <v>429.61977776013185</v>
      </c>
      <c r="CE19" s="59">
        <f t="shared" si="40"/>
        <v>261.95434270986385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8.6</v>
      </c>
      <c r="CT19" s="12">
        <f>IF('Données projet'!$A$140&gt;35,CT18+CS19-DB18,IF(A19&lt;'Données projet'!$A$140,$CQ$205^A19,IF(A19='Données projet'!$A$140,'Données projet'!$B$140,CT18+CS19-DB18)))</f>
        <v>45.6</v>
      </c>
      <c r="CU19" s="17">
        <f>CT19*VLOOKUP('Données projet'!$B$13,Paramètres!$A$1:$I$89,3,0)*VLOOKUP('Données projet'!$B$13,Paramètres!$A$1:$I$89,5,0)</f>
        <v>29.877120000000001</v>
      </c>
      <c r="CV19" s="13">
        <f t="shared" si="41"/>
        <v>9.2717426343874898</v>
      </c>
      <c r="CW19" s="20">
        <f t="shared" si="13"/>
        <v>68.18426908822488</v>
      </c>
      <c r="CX19" s="59">
        <f t="shared" si="14"/>
        <v>344.40649131044711</v>
      </c>
      <c r="CY19" s="59">
        <f ca="1">AVERAGE(OFFSET($CX$3,0,0,'Données projet'!$E$13+1,1))-AVERAGE(OFFSET($H$3,0,0,'Données projet'!$E$13+1,1))</f>
        <v>255.09913504736693</v>
      </c>
      <c r="CZ19" s="59">
        <f t="shared" si="42"/>
        <v>248.42617382406644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2.1</v>
      </c>
      <c r="DO19" s="12">
        <f>IF('Données projet'!$A$166&gt;35,DO18+DN19-DW18,IF(A19&lt;'Données projet'!$A$166,$DL$205^A19,IF(A19='Données projet'!$A$166,'Données projet'!$B$166,DO18+DN19-DW18)))</f>
        <v>19.888381054913147</v>
      </c>
      <c r="DP19" s="17">
        <f>DO19*VLOOKUP('Données projet'!$B$14,Paramètres!$A$1:$I$89,3,0)*VLOOKUP('Données projet'!$B$14,Paramètres!$A$1:$I$89,5,0)</f>
        <v>22.648888345335092</v>
      </c>
      <c r="DQ19" s="13">
        <f t="shared" si="43"/>
        <v>7.2589114334500859</v>
      </c>
      <c r="DR19" s="20">
        <f t="shared" si="16"/>
        <v>52.089417948050851</v>
      </c>
      <c r="DS19" s="59">
        <f t="shared" si="17"/>
        <v>328.31164017027311</v>
      </c>
      <c r="DT19" s="59">
        <f ca="1">AVERAGE(OFFSET($DS$3,0,0,'Données projet'!$E$14+1,1))-AVERAGE(OFFSET($H$3,0,0,'Données projet'!$E$14+1,1))</f>
        <v>459.67331926893809</v>
      </c>
      <c r="DU19" s="59">
        <f t="shared" si="44"/>
        <v>280.33242658375497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6.1165000000000003</v>
      </c>
      <c r="EJ19" s="12">
        <f>IF('Données projet'!$A$192&gt;35,EJ18+EI19-ER18,IF(A19&lt;'Données projet'!$A$192,$EG$205^A19,IF(A19='Données projet'!$A$192,'Données projet'!$B$192,EJ18+EI19-ER18)))</f>
        <v>46.776355404167546</v>
      </c>
      <c r="EK19" s="17">
        <f>EJ19*VLOOKUP('Données projet'!$B$15,Paramètres!$A$1:$I$89,3,0)*VLOOKUP('Données projet'!$B$15,Paramètres!$A$1:$I$89,5,0)</f>
        <v>27.972260531692193</v>
      </c>
      <c r="EL19" s="13">
        <f t="shared" si="45"/>
        <v>8.74743131195806</v>
      </c>
      <c r="EM19" s="20">
        <f t="shared" si="19"/>
        <v>63.953463294357526</v>
      </c>
      <c r="EN19" s="59">
        <f t="shared" si="20"/>
        <v>340.17568551657973</v>
      </c>
      <c r="EO19" s="59">
        <f ca="1">AVERAGE(OFFSET($EN$3,0,0,'Données projet'!$E$15+1,1))-AVERAGE(OFFSET($H$3,0,0,'Données projet'!$E$15+1,1))</f>
        <v>264.08053957457469</v>
      </c>
      <c r="EP19" s="59">
        <f t="shared" si="46"/>
        <v>284.83300065761051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5.666666666666667</v>
      </c>
      <c r="FE19" s="12">
        <f>IF('Données projet'!$A$218&gt;35,FE18+FD19-FM18,IF(A19&lt;'Données projet'!$A$218,$FB$205^A19,IF(A19='Données projet'!$A$218,'Données projet'!$B$218,FE18+FD19-FM18)))</f>
        <v>15.472937028926689</v>
      </c>
      <c r="FF19" s="17">
        <f>FE19*VLOOKUP('Données projet'!$B$16,Paramètres!$A$1:$I$89,3,0)*VLOOKUP('Données projet'!$B$16,Paramètres!$A$1:$I$89,5,0)</f>
        <v>7.2413345295376894</v>
      </c>
      <c r="FG19" s="13">
        <f t="shared" si="47"/>
        <v>2.6502557759113361</v>
      </c>
      <c r="FH19" s="20">
        <f t="shared" si="22"/>
        <v>17.227853115323715</v>
      </c>
      <c r="FI19" s="59">
        <f t="shared" si="23"/>
        <v>293.45007533754597</v>
      </c>
      <c r="FJ19" s="59">
        <f ca="1">AVERAGE(OFFSET($FI$3,0,0,'Données projet'!$E$16+1,1))-AVERAGE(OFFSET($H$3,0,0,'Données projet'!$E$16+1,1))</f>
        <v>166.27444639635013</v>
      </c>
      <c r="FK19" s="59">
        <f t="shared" si="48"/>
        <v>213.60182977243113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356.31981931185817</v>
      </c>
      <c r="S20" s="59">
        <f ca="1">AVERAGE(OFFSET($R$3,0,0,'Données projet'!$E$9+1,1))-AVERAGE(OFFSET($H$3,0,0,'Données projet'!$E$9+1,1))</f>
        <v>458.37755197712164</v>
      </c>
      <c r="T20" s="59">
        <f t="shared" si="34"/>
        <v>278.21741231699917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38.892188867700071</v>
      </c>
      <c r="AK20" s="13">
        <f t="shared" si="35"/>
        <v>11.704543208803392</v>
      </c>
      <c r="AL20" s="20">
        <f t="shared" si="4"/>
        <v>88.122641699910204</v>
      </c>
      <c r="AM20" s="59">
        <f t="shared" si="5"/>
        <v>365.56708614435468</v>
      </c>
      <c r="AN20" s="59">
        <f ca="1">AVERAGE(OFFSET($AM$3,0,0,'Données projet'!$E$10+1,1))-AVERAGE(OFFSET($H$3,0,0,'Données projet'!$E$10+1,1))</f>
        <v>508.60701013958447</v>
      </c>
      <c r="AO20" s="59">
        <f t="shared" si="36"/>
        <v>306.61893266146654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22.814782359813346</v>
      </c>
      <c r="BF20" s="13">
        <f t="shared" si="37"/>
        <v>7.3058712463706073</v>
      </c>
      <c r="BG20" s="20">
        <f t="shared" si="7"/>
        <v>52.46013836410372</v>
      </c>
      <c r="BH20" s="59">
        <f t="shared" si="8"/>
        <v>329.90458280854818</v>
      </c>
      <c r="BI20" s="59">
        <f ca="1">AVERAGE(OFFSET($BH$3,0,0,'Données projet'!$E$11+1,1))-AVERAGE(OFFSET($H$3,0,0,'Données projet'!$E$11+1,1))</f>
        <v>291.17074241052887</v>
      </c>
      <c r="BJ20" s="59">
        <f t="shared" si="38"/>
        <v>241.18285512887638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3.65</v>
      </c>
      <c r="BY20" s="12">
        <f>IF('Données projet'!$A$114&gt;35,BY19+BX20-CG19,IF(A20&lt;'Données projet'!$A$114,$BV$205^A20,IF(A20='Données projet'!$A$114,'Données projet'!$B$114,BY19+BX20-CG19)))</f>
        <v>38.355215845858055</v>
      </c>
      <c r="BZ20" s="13">
        <f>BY20*VLOOKUP('Données projet'!$B$12,Paramètres!$A$1:$I$89,3,0)*VLOOKUP('Données projet'!$B$12,Paramètres!$A$1:$I$89,5,0)</f>
        <v>32.310433828550828</v>
      </c>
      <c r="CA20" s="13">
        <f t="shared" si="39"/>
        <v>9.9359032392271498</v>
      </c>
      <c r="CB20" s="20">
        <f t="shared" si="10"/>
        <v>73.579037059713301</v>
      </c>
      <c r="CC20" s="59">
        <f t="shared" si="11"/>
        <v>351.02348150415776</v>
      </c>
      <c r="CD20" s="59">
        <f ca="1">AVERAGE(OFFSET($CC$3,0,0,'Données projet'!$E$12+1,1))-AVERAGE(OFFSET($H$3,0,0,'Données projet'!$E$12+1,1))</f>
        <v>429.61977776013185</v>
      </c>
      <c r="CE20" s="59">
        <f t="shared" si="40"/>
        <v>261.95434270986385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8.6</v>
      </c>
      <c r="CT20" s="12">
        <f>IF('Données projet'!$A$140&gt;35,CT19+CS20-DB19,IF(A20&lt;'Données projet'!$A$140,$CQ$205^A20,IF(A20='Données projet'!$A$140,'Données projet'!$B$140,CT19+CS20-DB19)))</f>
        <v>54.2</v>
      </c>
      <c r="CU20" s="17">
        <f>CT20*VLOOKUP('Données projet'!$B$13,Paramètres!$A$1:$I$89,3,0)*VLOOKUP('Données projet'!$B$13,Paramètres!$A$1:$I$89,5,0)</f>
        <v>35.511839999999999</v>
      </c>
      <c r="CV20" s="13">
        <f t="shared" si="41"/>
        <v>10.800946192888624</v>
      </c>
      <c r="CW20" s="20">
        <f t="shared" si="13"/>
        <v>80.661435952614355</v>
      </c>
      <c r="CX20" s="59">
        <f t="shared" si="14"/>
        <v>358.1058803970588</v>
      </c>
      <c r="CY20" s="59">
        <f ca="1">AVERAGE(OFFSET($CX$3,0,0,'Données projet'!$E$13+1,1))-AVERAGE(OFFSET($H$3,0,0,'Données projet'!$E$13+1,1))</f>
        <v>255.09913504736693</v>
      </c>
      <c r="CZ20" s="59">
        <f t="shared" si="42"/>
        <v>248.42617382406644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2.1</v>
      </c>
      <c r="DO20" s="12">
        <f>IF('Données projet'!$A$166&gt;35,DO19+DN20-DW19,IF(A20&lt;'Données projet'!$A$166,$DL$205^A20,IF(A20='Données projet'!$A$166,'Données projet'!$B$166,DO19+DN20-DW19)))</f>
        <v>23.975181126327602</v>
      </c>
      <c r="DP20" s="17">
        <f>DO20*VLOOKUP('Données projet'!$B$14,Paramètres!$A$1:$I$89,3,0)*VLOOKUP('Données projet'!$B$14,Paramètres!$A$1:$I$89,5,0)</f>
        <v>27.302936266661874</v>
      </c>
      <c r="DQ20" s="13">
        <f t="shared" si="43"/>
        <v>8.5622252975364237</v>
      </c>
      <c r="DR20" s="20">
        <f t="shared" si="16"/>
        <v>62.465156390978699</v>
      </c>
      <c r="DS20" s="59">
        <f t="shared" si="17"/>
        <v>339.90960083542313</v>
      </c>
      <c r="DT20" s="59">
        <f ca="1">AVERAGE(OFFSET($DS$3,0,0,'Données projet'!$E$14+1,1))-AVERAGE(OFFSET($H$3,0,0,'Données projet'!$E$14+1,1))</f>
        <v>459.67331926893809</v>
      </c>
      <c r="DU20" s="59">
        <f t="shared" si="44"/>
        <v>280.33242658375497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6.1165000000000003</v>
      </c>
      <c r="EJ20" s="12">
        <f>IF('Données projet'!$A$192&gt;35,EJ19+EI20-ER19,IF(A20&lt;'Données projet'!$A$192,$EG$205^A20,IF(A20='Données projet'!$A$192,'Données projet'!$B$192,EJ19+EI20-ER19)))</f>
        <v>59.484392332391742</v>
      </c>
      <c r="EK20" s="17">
        <f>EJ20*VLOOKUP('Données projet'!$B$15,Paramètres!$A$1:$I$89,3,0)*VLOOKUP('Données projet'!$B$15,Paramètres!$A$1:$I$89,5,0)</f>
        <v>35.571666614770265</v>
      </c>
      <c r="EL20" s="13">
        <f t="shared" si="45"/>
        <v>10.817022866922583</v>
      </c>
      <c r="EM20" s="20">
        <f t="shared" si="19"/>
        <v>80.793634180615044</v>
      </c>
      <c r="EN20" s="59">
        <f t="shared" si="20"/>
        <v>358.23807862505953</v>
      </c>
      <c r="EO20" s="59">
        <f ca="1">AVERAGE(OFFSET($EN$3,0,0,'Données projet'!$E$15+1,1))-AVERAGE(OFFSET($H$3,0,0,'Données projet'!$E$15+1,1))</f>
        <v>264.08053957457469</v>
      </c>
      <c r="EP20" s="59">
        <f t="shared" si="46"/>
        <v>284.83300065761051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5.666666666666667</v>
      </c>
      <c r="FE20" s="12">
        <f>IF('Données projet'!$A$218&gt;35,FE19+FD20-FM19,IF(A20&lt;'Données projet'!$A$218,$FB$205^A20,IF(A20='Données projet'!$A$218,'Données projet'!$B$218,FE19+FD20-FM19)))</f>
        <v>18.362045340858568</v>
      </c>
      <c r="FF20" s="17">
        <f>FE20*VLOOKUP('Données projet'!$B$16,Paramètres!$A$1:$I$89,3,0)*VLOOKUP('Données projet'!$B$16,Paramètres!$A$1:$I$89,5,0)</f>
        <v>8.5934372195218103</v>
      </c>
      <c r="FG20" s="13">
        <f t="shared" si="47"/>
        <v>3.0830597767046952</v>
      </c>
      <c r="FH20" s="20">
        <f t="shared" si="22"/>
        <v>20.336565601761166</v>
      </c>
      <c r="FI20" s="59">
        <f t="shared" si="23"/>
        <v>297.78101004620561</v>
      </c>
      <c r="FJ20" s="59">
        <f ca="1">AVERAGE(OFFSET($FI$3,0,0,'Données projet'!$E$16+1,1))-AVERAGE(OFFSET($H$3,0,0,'Données projet'!$E$16+1,1))</f>
        <v>166.27444639635013</v>
      </c>
      <c r="FK20" s="59">
        <f t="shared" si="48"/>
        <v>213.60182977243113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375.85125169782572</v>
      </c>
      <c r="S21" s="59">
        <f ca="1">AVERAGE(OFFSET($R$3,0,0,'Données projet'!$E$9+1,1))-AVERAGE(OFFSET($H$3,0,0,'Données projet'!$E$9+1,1))</f>
        <v>458.37755197712164</v>
      </c>
      <c r="T21" s="59">
        <f t="shared" si="34"/>
        <v>278.21741231699917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48.197945815010499</v>
      </c>
      <c r="AK21" s="13">
        <f t="shared" si="35"/>
        <v>14.147381769152156</v>
      </c>
      <c r="AL21" s="20">
        <f t="shared" si="4"/>
        <v>108.58477887574996</v>
      </c>
      <c r="AM21" s="59">
        <f t="shared" si="5"/>
        <v>387.25144554241666</v>
      </c>
      <c r="AN21" s="59">
        <f ca="1">AVERAGE(OFFSET($AM$3,0,0,'Données projet'!$E$10+1,1))-AVERAGE(OFFSET($H$3,0,0,'Données projet'!$E$10+1,1))</f>
        <v>508.60701013958447</v>
      </c>
      <c r="AO21" s="59">
        <f t="shared" si="36"/>
        <v>306.61893266146654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27.502919313743888</v>
      </c>
      <c r="BF21" s="13">
        <f t="shared" si="37"/>
        <v>8.6176165916501422</v>
      </c>
      <c r="BG21" s="20">
        <f t="shared" si="7"/>
        <v>62.909933368561269</v>
      </c>
      <c r="BH21" s="59">
        <f t="shared" si="8"/>
        <v>341.57660003522795</v>
      </c>
      <c r="BI21" s="59">
        <f ca="1">AVERAGE(OFFSET($BH$3,0,0,'Données projet'!$E$11+1,1))-AVERAGE(OFFSET($H$3,0,0,'Données projet'!$E$11+1,1))</f>
        <v>291.17074241052887</v>
      </c>
      <c r="BJ21" s="59">
        <f t="shared" si="38"/>
        <v>241.18285512887638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3.65</v>
      </c>
      <c r="BY21" s="12">
        <f>IF('Données projet'!$A$114&gt;35,BY20+BX21-CG20,IF(A21&lt;'Données projet'!$A$114,$BV$205^A21,IF(A21='Données projet'!$A$114,'Données projet'!$B$114,BY20+BX21-CG20)))</f>
        <v>47.532490941824946</v>
      </c>
      <c r="BZ21" s="13">
        <f>BY21*VLOOKUP('Données projet'!$B$12,Paramètres!$A$1:$I$89,3,0)*VLOOKUP('Données projet'!$B$12,Paramètres!$A$1:$I$89,5,0)</f>
        <v>40.041370369393334</v>
      </c>
      <c r="CA21" s="13">
        <f t="shared" si="39"/>
        <v>12.009611467876571</v>
      </c>
      <c r="CB21" s="20">
        <f t="shared" si="10"/>
        <v>90.655460033245092</v>
      </c>
      <c r="CC21" s="59">
        <f t="shared" si="11"/>
        <v>369.32212669991179</v>
      </c>
      <c r="CD21" s="59">
        <f ca="1">AVERAGE(OFFSET($CC$3,0,0,'Données projet'!$E$12+1,1))-AVERAGE(OFFSET($H$3,0,0,'Données projet'!$E$12+1,1))</f>
        <v>429.61977776013185</v>
      </c>
      <c r="CE21" s="59">
        <f t="shared" si="40"/>
        <v>261.95434270986385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8.6</v>
      </c>
      <c r="CT21" s="12">
        <f>IF('Données projet'!$A$140&gt;35,CT20+CS21-DB20,IF(A21&lt;'Données projet'!$A$140,$CQ$205^A21,IF(A21='Données projet'!$A$140,'Données projet'!$B$140,CT20+CS21-DB20)))</f>
        <v>62.800000000000004</v>
      </c>
      <c r="CU21" s="17">
        <f>CT21*VLOOKUP('Données projet'!$B$13,Paramètres!$A$1:$I$89,3,0)*VLOOKUP('Données projet'!$B$13,Paramètres!$A$1:$I$89,5,0)</f>
        <v>41.146560000000001</v>
      </c>
      <c r="CV21" s="13">
        <f t="shared" si="41"/>
        <v>12.302041115546221</v>
      </c>
      <c r="CW21" s="20">
        <f t="shared" si="13"/>
        <v>93.089646942909667</v>
      </c>
      <c r="CX21" s="59">
        <f t="shared" si="14"/>
        <v>371.75631360957635</v>
      </c>
      <c r="CY21" s="59">
        <f ca="1">AVERAGE(OFFSET($CX$3,0,0,'Données projet'!$E$13+1,1))-AVERAGE(OFFSET($H$3,0,0,'Données projet'!$E$13+1,1))</f>
        <v>255.09913504736693</v>
      </c>
      <c r="CZ21" s="59">
        <f t="shared" si="42"/>
        <v>248.42617382406644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2.1</v>
      </c>
      <c r="DO21" s="12">
        <f>IF('Données projet'!$A$166&gt;35,DO20+DN21-DW20,IF(A21&lt;'Données projet'!$A$166,$DL$205^A21,IF(A21='Données projet'!$A$166,'Données projet'!$B$166,DO20+DN21-DW20)))</f>
        <v>28.901764726506816</v>
      </c>
      <c r="DP21" s="17">
        <f>DO21*VLOOKUP('Données projet'!$B$14,Paramètres!$A$1:$I$89,3,0)*VLOOKUP('Données projet'!$B$14,Paramètres!$A$1:$I$89,5,0)</f>
        <v>32.913329670545963</v>
      </c>
      <c r="DQ21" s="13">
        <f t="shared" si="43"/>
        <v>10.099544913572311</v>
      </c>
      <c r="DR21" s="20">
        <f t="shared" si="16"/>
        <v>74.91408990067265</v>
      </c>
      <c r="DS21" s="59">
        <f t="shared" si="17"/>
        <v>353.58075656733934</v>
      </c>
      <c r="DT21" s="59">
        <f ca="1">AVERAGE(OFFSET($DS$3,0,0,'Données projet'!$E$14+1,1))-AVERAGE(OFFSET($H$3,0,0,'Données projet'!$E$14+1,1))</f>
        <v>459.67331926893809</v>
      </c>
      <c r="DU21" s="59">
        <f t="shared" si="44"/>
        <v>280.33242658375497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6.1165000000000003</v>
      </c>
      <c r="EJ21" s="12">
        <f>IF('Données projet'!$A$192&gt;35,EJ20+EI21-ER20,IF(A21&lt;'Données projet'!$A$192,$EG$205^A21,IF(A21='Données projet'!$A$192,'Données projet'!$B$192,EJ20+EI21-ER20)))</f>
        <v>75.644904366334018</v>
      </c>
      <c r="EK21" s="17">
        <f>EJ21*VLOOKUP('Données projet'!$B$15,Paramètres!$A$1:$I$89,3,0)*VLOOKUP('Données projet'!$B$15,Paramètres!$A$1:$I$89,5,0)</f>
        <v>45.235652811067744</v>
      </c>
      <c r="EL21" s="13">
        <f t="shared" si="45"/>
        <v>13.376267790016469</v>
      </c>
      <c r="EM21" s="20">
        <f t="shared" si="19"/>
        <v>102.08242838022169</v>
      </c>
      <c r="EN21" s="59">
        <f t="shared" si="20"/>
        <v>380.74909504688839</v>
      </c>
      <c r="EO21" s="59">
        <f ca="1">AVERAGE(OFFSET($EN$3,0,0,'Données projet'!$E$15+1,1))-AVERAGE(OFFSET($H$3,0,0,'Données projet'!$E$15+1,1))</f>
        <v>264.08053957457469</v>
      </c>
      <c r="EP21" s="59">
        <f t="shared" si="46"/>
        <v>284.83300065761051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5.666666666666667</v>
      </c>
      <c r="FE21" s="12">
        <f>IF('Données projet'!$A$218&gt;35,FE20+FD21-FM20,IF(A21&lt;'Données projet'!$A$218,$FB$205^A21,IF(A21='Données projet'!$A$218,'Données projet'!$B$218,FE20+FD21-FM20)))</f>
        <v>21.790608238721305</v>
      </c>
      <c r="FF21" s="17">
        <f>FE21*VLOOKUP('Données projet'!$B$16,Paramètres!$A$1:$I$89,3,0)*VLOOKUP('Données projet'!$B$16,Paramètres!$A$1:$I$89,5,0)</f>
        <v>10.19800465572157</v>
      </c>
      <c r="FG21" s="13">
        <f t="shared" si="47"/>
        <v>3.5865434850211249</v>
      </c>
      <c r="FH21" s="20">
        <f t="shared" si="22"/>
        <v>24.008088011793529</v>
      </c>
      <c r="FI21" s="59">
        <f t="shared" si="23"/>
        <v>302.6747546784602</v>
      </c>
      <c r="FJ21" s="59">
        <f ca="1">AVERAGE(OFFSET($FI$3,0,0,'Données projet'!$E$16+1,1))-AVERAGE(OFFSET($H$3,0,0,'Données projet'!$E$16+1,1))</f>
        <v>166.27444639635013</v>
      </c>
      <c r="FK21" s="59">
        <f t="shared" si="48"/>
        <v>213.60182977243113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399.64596418363215</v>
      </c>
      <c r="S22" s="59">
        <f ca="1">AVERAGE(OFFSET($R$3,0,0,'Données projet'!$E$9+1,1))-AVERAGE(OFFSET($H$3,0,0,'Données projet'!$E$9+1,1))</f>
        <v>458.37755197712164</v>
      </c>
      <c r="T22" s="59">
        <f t="shared" si="34"/>
        <v>278.21741231699917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59.730296710452635</v>
      </c>
      <c r="AK22" s="13">
        <f t="shared" si="35"/>
        <v>17.100061689857345</v>
      </c>
      <c r="AL22" s="20">
        <f t="shared" si="4"/>
        <v>133.81287421387319</v>
      </c>
      <c r="AM22" s="59">
        <f t="shared" si="5"/>
        <v>413.70176310276202</v>
      </c>
      <c r="AN22" s="59">
        <f ca="1">AVERAGE(OFFSET($AM$3,0,0,'Données projet'!$E$10+1,1))-AVERAGE(OFFSET($H$3,0,0,'Données projet'!$E$10+1,1))</f>
        <v>508.60701013958447</v>
      </c>
      <c r="AO22" s="59">
        <f t="shared" si="36"/>
        <v>306.61893266146654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33.154406596955802</v>
      </c>
      <c r="BF22" s="13">
        <f t="shared" si="37"/>
        <v>10.16488153381791</v>
      </c>
      <c r="BG22" s="20">
        <f t="shared" si="7"/>
        <v>75.447760161097548</v>
      </c>
      <c r="BH22" s="59">
        <f t="shared" si="8"/>
        <v>355.33664904998642</v>
      </c>
      <c r="BI22" s="59">
        <f ca="1">AVERAGE(OFFSET($BH$3,0,0,'Données projet'!$E$11+1,1))-AVERAGE(OFFSET($H$3,0,0,'Données projet'!$E$11+1,1))</f>
        <v>291.17074241052887</v>
      </c>
      <c r="BJ22" s="59">
        <f t="shared" si="38"/>
        <v>241.18285512887638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3.65</v>
      </c>
      <c r="BY22" s="12">
        <f>IF('Données projet'!$A$114&gt;35,BY21+BX22-CG21,IF(A22&lt;'Données projet'!$A$114,$BV$205^A22,IF(A22='Données projet'!$A$114,'Données projet'!$B$114,BY21+BX22-CG21)))</f>
        <v>58.90561805764559</v>
      </c>
      <c r="BZ22" s="13">
        <f>BY22*VLOOKUP('Données projet'!$B$12,Paramètres!$A$1:$I$89,3,0)*VLOOKUP('Données projet'!$B$12,Paramètres!$A$1:$I$89,5,0)</f>
        <v>49.622092651760646</v>
      </c>
      <c r="CA22" s="13">
        <f t="shared" si="39"/>
        <v>14.516120390537463</v>
      </c>
      <c r="CB22" s="20">
        <f t="shared" si="10"/>
        <v>111.70738771533587</v>
      </c>
      <c r="CC22" s="59">
        <f t="shared" si="11"/>
        <v>391.59627660422473</v>
      </c>
      <c r="CD22" s="59">
        <f ca="1">AVERAGE(OFFSET($CC$3,0,0,'Données projet'!$E$12+1,1))-AVERAGE(OFFSET($H$3,0,0,'Données projet'!$E$12+1,1))</f>
        <v>429.61977776013185</v>
      </c>
      <c r="CE22" s="59">
        <f t="shared" si="40"/>
        <v>261.95434270986385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8.6</v>
      </c>
      <c r="CT22" s="12">
        <f>IF('Données projet'!$A$140&gt;35,CT21+CS22-DB21,IF(A22&lt;'Données projet'!$A$140,$CQ$205^A22,IF(A22='Données projet'!$A$140,'Données projet'!$B$140,CT21+CS22-DB21)))</f>
        <v>71.400000000000006</v>
      </c>
      <c r="CU22" s="17">
        <f>CT22*VLOOKUP('Données projet'!$B$13,Paramètres!$A$1:$I$89,3,0)*VLOOKUP('Données projet'!$B$13,Paramètres!$A$1:$I$89,5,0)</f>
        <v>46.781280000000002</v>
      </c>
      <c r="CV22" s="13">
        <f t="shared" si="41"/>
        <v>13.779319585353516</v>
      </c>
      <c r="CW22" s="20">
        <f t="shared" si="13"/>
        <v>105.47637761115737</v>
      </c>
      <c r="CX22" s="59">
        <f t="shared" si="14"/>
        <v>385.36526650004623</v>
      </c>
      <c r="CY22" s="59">
        <f ca="1">AVERAGE(OFFSET($CX$3,0,0,'Données projet'!$E$13+1,1))-AVERAGE(OFFSET($H$3,0,0,'Données projet'!$E$13+1,1))</f>
        <v>255.09913504736693</v>
      </c>
      <c r="CZ22" s="59">
        <f t="shared" si="42"/>
        <v>248.42617382406644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2.1</v>
      </c>
      <c r="DO22" s="12">
        <f>IF('Données projet'!$A$166&gt;35,DO21+DN22-DW21,IF(A22&lt;'Données projet'!$A$166,$DL$205^A22,IF(A22='Données projet'!$A$166,'Données projet'!$B$166,DO21+DN22-DW21)))</f>
        <v>34.840696297767764</v>
      </c>
      <c r="DP22" s="17">
        <f>DO22*VLOOKUP('Données projet'!$B$14,Paramètres!$A$1:$I$89,3,0)*VLOOKUP('Données projet'!$B$14,Paramètres!$A$1:$I$89,5,0)</f>
        <v>39.676584943897929</v>
      </c>
      <c r="DQ22" s="13">
        <f t="shared" si="43"/>
        <v>11.912885250825237</v>
      </c>
      <c r="DR22" s="20">
        <f t="shared" si="16"/>
        <v>89.851660589142838</v>
      </c>
      <c r="DS22" s="59">
        <f t="shared" si="17"/>
        <v>369.74054947803171</v>
      </c>
      <c r="DT22" s="59">
        <f ca="1">AVERAGE(OFFSET($DS$3,0,0,'Données projet'!$E$14+1,1))-AVERAGE(OFFSET($H$3,0,0,'Données projet'!$E$14+1,1))</f>
        <v>459.67331926893809</v>
      </c>
      <c r="DU22" s="59">
        <f t="shared" si="44"/>
        <v>280.33242658375497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6.1165000000000003</v>
      </c>
      <c r="EJ22" s="12">
        <f>IF('Données projet'!$A$192&gt;35,EJ21+EI22-ER21,IF(A22&lt;'Données projet'!$A$192,$EG$205^A22,IF(A22='Données projet'!$A$192,'Données projet'!$B$192,EJ21+EI22-ER21)))</f>
        <v>96.19584788925998</v>
      </c>
      <c r="EK22" s="17">
        <f>EJ22*VLOOKUP('Données projet'!$B$15,Paramètres!$A$1:$I$89,3,0)*VLOOKUP('Données projet'!$B$15,Paramètres!$A$1:$I$89,5,0)</f>
        <v>57.52511703777747</v>
      </c>
      <c r="EL22" s="13">
        <f t="shared" si="45"/>
        <v>16.541015230481396</v>
      </c>
      <c r="EM22" s="20">
        <f t="shared" si="19"/>
        <v>128.99851370055086</v>
      </c>
      <c r="EN22" s="59">
        <f t="shared" si="20"/>
        <v>408.88740258943972</v>
      </c>
      <c r="EO22" s="59">
        <f ca="1">AVERAGE(OFFSET($EN$3,0,0,'Données projet'!$E$15+1,1))-AVERAGE(OFFSET($H$3,0,0,'Données projet'!$E$15+1,1))</f>
        <v>264.08053957457469</v>
      </c>
      <c r="EP22" s="59">
        <f t="shared" si="46"/>
        <v>284.83300065761051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5.666666666666667</v>
      </c>
      <c r="FE22" s="12">
        <f>IF('Données projet'!$A$218&gt;35,FE21+FD22-FM21,IF(A22&lt;'Données projet'!$A$218,$FB$205^A22,IF(A22='Données projet'!$A$218,'Données projet'!$B$218,FE21+FD22-FM21)))</f>
        <v>25.859352735441334</v>
      </c>
      <c r="FF22" s="17">
        <f>FE22*VLOOKUP('Données projet'!$B$16,Paramètres!$A$1:$I$89,3,0)*VLOOKUP('Données projet'!$B$16,Paramètres!$A$1:$I$89,5,0)</f>
        <v>12.102177080186545</v>
      </c>
      <c r="FG22" s="13">
        <f t="shared" si="47"/>
        <v>4.1722493566752403</v>
      </c>
      <c r="FH22" s="20">
        <f t="shared" si="22"/>
        <v>28.34462604420094</v>
      </c>
      <c r="FI22" s="59">
        <f t="shared" si="23"/>
        <v>308.23351493308979</v>
      </c>
      <c r="FJ22" s="59">
        <f ca="1">AVERAGE(OFFSET($FI$3,0,0,'Données projet'!$E$16+1,1))-AVERAGE(OFFSET($H$3,0,0,'Données projet'!$E$16+1,1))</f>
        <v>166.27444639635013</v>
      </c>
      <c r="FK22" s="59">
        <f t="shared" si="48"/>
        <v>213.60182977243113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428.69949531545831</v>
      </c>
      <c r="S23" s="59">
        <f ca="1">AVERAGE(OFFSET($R$3,0,0,'Données projet'!$E$9+1,1))-AVERAGE(OFFSET($H$3,0,0,'Données projet'!$E$9+1,1))</f>
        <v>458.37755197712164</v>
      </c>
      <c r="T23" s="59">
        <f t="shared" si="34"/>
        <v>278.21741231699917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74.022000000000006</v>
      </c>
      <c r="AK23" s="13">
        <f t="shared" si="35"/>
        <v>20.668991235856851</v>
      </c>
      <c r="AL23" s="20">
        <f t="shared" si="4"/>
        <v>164.92014306911736</v>
      </c>
      <c r="AM23" s="59">
        <f t="shared" si="5"/>
        <v>446.03125418022853</v>
      </c>
      <c r="AN23" s="59">
        <f ca="1">AVERAGE(OFFSET($AM$3,0,0,'Données projet'!$E$10+1,1))-AVERAGE(OFFSET($H$3,0,0,'Données projet'!$E$10+1,1))</f>
        <v>508.60701013958447</v>
      </c>
      <c r="AO23" s="59">
        <f t="shared" si="36"/>
        <v>306.61893266146654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39.967200000000005</v>
      </c>
      <c r="BF23" s="13">
        <f t="shared" si="37"/>
        <v>11.989952848060872</v>
      </c>
      <c r="BG23" s="20">
        <f t="shared" si="7"/>
        <v>90.49204121037269</v>
      </c>
      <c r="BH23" s="59">
        <f t="shared" si="8"/>
        <v>371.60315232148383</v>
      </c>
      <c r="BI23" s="59">
        <f ca="1">AVERAGE(OFFSET($BH$3,0,0,'Données projet'!$E$11+1,1))-AVERAGE(OFFSET($H$3,0,0,'Données projet'!$E$11+1,1))</f>
        <v>291.17074241052887</v>
      </c>
      <c r="BJ23" s="59">
        <f t="shared" si="38"/>
        <v>241.18285512887638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73</v>
      </c>
      <c r="BW23" s="12">
        <f>VLOOKUP(A23,'Données projet'!$A$113:$I$133,9,0)</f>
        <v>3.65</v>
      </c>
      <c r="BX23" s="12">
        <f t="array" ref="BX23">INDEX(BW:BW,MIN(IF(ISNUMBER(BW23:BW219),ROW(BW23:BW219),"")))</f>
        <v>3.65</v>
      </c>
      <c r="BY23" s="12">
        <f>IF('Données projet'!$A$114&gt;35,BY22+BX23-CG22,IF(A23&lt;'Données projet'!$A$114,$BV$205^A23,IF(A23='Données projet'!$A$114,'Données projet'!$B$114,BY22+BX23-CG22)))</f>
        <v>73</v>
      </c>
      <c r="BZ23" s="13">
        <f>BY23*VLOOKUP('Données projet'!$B$12,Paramètres!$A$1:$I$89,3,0)*VLOOKUP('Données projet'!$B$12,Paramètres!$A$1:$I$89,5,0)</f>
        <v>61.495200000000004</v>
      </c>
      <c r="CA23" s="13">
        <f t="shared" si="39"/>
        <v>17.545759224285259</v>
      </c>
      <c r="CB23" s="20">
        <f t="shared" si="10"/>
        <v>137.66300398229683</v>
      </c>
      <c r="CC23" s="59">
        <f t="shared" si="11"/>
        <v>418.774115093408</v>
      </c>
      <c r="CD23" s="59">
        <f ca="1">AVERAGE(OFFSET($CC$3,0,0,'Données projet'!$E$12+1,1))-AVERAGE(OFFSET($H$3,0,0,'Données projet'!$E$12+1,1))</f>
        <v>429.61977776013185</v>
      </c>
      <c r="CE23" s="59">
        <f t="shared" si="40"/>
        <v>261.95434270986385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80</v>
      </c>
      <c r="CR23" s="12">
        <f>VLOOKUP(A23,'Données projet'!$A$139:$I$159,9,0)</f>
        <v>8.6</v>
      </c>
      <c r="CS23" s="12">
        <f t="array" ref="CS23">INDEX(CR:CR,MIN(IF(ISNUMBER(CR23:CR219),ROW(CR23:CR219),"")))</f>
        <v>8.6</v>
      </c>
      <c r="CT23" s="12">
        <f>IF('Données projet'!$A$140&gt;35,CT22+CS23-DB22,IF(A23&lt;'Données projet'!$A$140,$CQ$205^A23,IF(A23='Données projet'!$A$140,'Données projet'!$B$140,CT22+CS23-DB22)))</f>
        <v>80</v>
      </c>
      <c r="CU23" s="17">
        <f>CT23*VLOOKUP('Données projet'!$B$13,Paramètres!$A$1:$I$89,3,0)*VLOOKUP('Données projet'!$B$13,Paramètres!$A$1:$I$89,5,0)</f>
        <v>52.416000000000004</v>
      </c>
      <c r="CV23" s="13">
        <f t="shared" si="41"/>
        <v>15.235978301273029</v>
      </c>
      <c r="CW23" s="20">
        <f t="shared" si="13"/>
        <v>117.82719554138386</v>
      </c>
      <c r="CX23" s="59">
        <f t="shared" si="14"/>
        <v>398.93830665249499</v>
      </c>
      <c r="CY23" s="59">
        <f ca="1">AVERAGE(OFFSET($CX$3,0,0,'Données projet'!$E$13+1,1))-AVERAGE(OFFSET($H$3,0,0,'Données projet'!$E$13+1,1))</f>
        <v>255.09913504736693</v>
      </c>
      <c r="CZ23" s="59">
        <f t="shared" si="42"/>
        <v>248.42617382406644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42</v>
      </c>
      <c r="DM23" s="12">
        <f>VLOOKUP(A23,'Données projet'!$A$165:$I$185,9,0)</f>
        <v>2.1</v>
      </c>
      <c r="DN23" s="12">
        <f t="array" ref="DN23">INDEX(DM:DM,MIN(IF(ISNUMBER(DM23:DM219),ROW(DM23:DM219),"")))</f>
        <v>2.1</v>
      </c>
      <c r="DO23" s="12">
        <f>IF('Données projet'!$A$166&gt;35,DO22+DN23-DW22,IF(A23&lt;'Données projet'!$A$166,$DL$205^A23,IF(A23='Données projet'!$A$166,'Données projet'!$B$166,DO22+DN23-DW22)))</f>
        <v>42</v>
      </c>
      <c r="DP23" s="17">
        <f>DO23*VLOOKUP('Données projet'!$B$14,Paramètres!$A$1:$I$89,3,0)*VLOOKUP('Données projet'!$B$14,Paramètres!$A$1:$I$89,5,0)</f>
        <v>47.829599999999999</v>
      </c>
      <c r="DQ23" s="13">
        <f t="shared" si="43"/>
        <v>14.051804929211587</v>
      </c>
      <c r="DR23" s="20">
        <f t="shared" si="16"/>
        <v>107.77678025171018</v>
      </c>
      <c r="DS23" s="59">
        <f t="shared" si="17"/>
        <v>388.88789136282134</v>
      </c>
      <c r="DT23" s="59">
        <f ca="1">AVERAGE(OFFSET($DS$3,0,0,'Données projet'!$E$14+1,1))-AVERAGE(OFFSET($H$3,0,0,'Données projet'!$E$14+1,1))</f>
        <v>459.67331926893809</v>
      </c>
      <c r="DU23" s="59">
        <f t="shared" si="44"/>
        <v>280.33242658375497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122.33</v>
      </c>
      <c r="EH23" s="12">
        <f>VLOOKUP(A23,'Données projet'!$A$191:$I$211,9,0)</f>
        <v>6.1165000000000003</v>
      </c>
      <c r="EI23" s="12">
        <f t="array" ref="EI23">INDEX(EH:EH,MIN(IF(ISNUMBER(EH23:EH219),ROW(EH23:EH219),"")))</f>
        <v>6.1165000000000003</v>
      </c>
      <c r="EJ23" s="12">
        <f>IF('Données projet'!$A$192&gt;35,EJ22+EI23-ER22,IF(A23&lt;'Données projet'!$A$192,$EG$205^A23,IF(A23='Données projet'!$A$192,'Données projet'!$B$192,EJ22+EI23-ER22)))</f>
        <v>122.33</v>
      </c>
      <c r="EK23" s="17">
        <f>EJ23*VLOOKUP('Données projet'!$B$15,Paramètres!$A$1:$I$89,3,0)*VLOOKUP('Données projet'!$B$15,Paramètres!$A$1:$I$89,5,0)</f>
        <v>73.15334</v>
      </c>
      <c r="EL23" s="13">
        <f t="shared" si="45"/>
        <v>20.454523574896282</v>
      </c>
      <c r="EM23" s="20">
        <f t="shared" si="19"/>
        <v>163.03369572627767</v>
      </c>
      <c r="EN23" s="59">
        <f t="shared" si="20"/>
        <v>444.14480683738884</v>
      </c>
      <c r="EO23" s="59">
        <f ca="1">AVERAGE(OFFSET($EN$3,0,0,'Données projet'!$E$15+1,1))-AVERAGE(OFFSET($H$3,0,0,'Données projet'!$E$15+1,1))</f>
        <v>264.08053957457469</v>
      </c>
      <c r="EP23" s="59">
        <f t="shared" si="46"/>
        <v>284.83300065761051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29.36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0.25200000000000006</v>
      </c>
      <c r="EU23" s="16">
        <f>IF(ISNA(VLOOKUP(A23,'Données projet'!$A$191:$I$211,7,0)),0%,VLOOKUP(A23,'Données projet'!$A$191:$I$211,7,0))</f>
        <v>0.44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5.8461879615959331</v>
      </c>
      <c r="EX23" s="21">
        <f>EXP(-LN(2)/2)*EX22+(1-EXP(-LN(2)/2))/(LN(2)/2)*ER23*EU23*VLOOKUP('Données projet'!$B$15,Paramètres!$A$1:$I$89,3,0)*0.475*44/12</f>
        <v>8.7467245679948054</v>
      </c>
      <c r="EY23" s="22">
        <f t="shared" si="21"/>
        <v>14.592912529590738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5.666666666666667</v>
      </c>
      <c r="FE23" s="12">
        <f>IF('Données projet'!$A$218&gt;35,FE22+FD23-FM22,IF(A23&lt;'Données projet'!$A$218,$FB$205^A23,IF(A23='Données projet'!$A$218,'Données projet'!$B$218,FE22+FD23-FM22)))</f>
        <v>30.68781360162793</v>
      </c>
      <c r="FF23" s="17">
        <f>FE23*VLOOKUP('Données projet'!$B$16,Paramètres!$A$1:$I$89,3,0)*VLOOKUP('Données projet'!$B$16,Paramètres!$A$1:$I$89,5,0)</f>
        <v>14.361896765561871</v>
      </c>
      <c r="FG23" s="13">
        <f t="shared" si="47"/>
        <v>4.8536048055679508</v>
      </c>
      <c r="FH23" s="20">
        <f t="shared" si="22"/>
        <v>33.466998569717767</v>
      </c>
      <c r="FI23" s="59">
        <f t="shared" si="23"/>
        <v>314.5781096808289</v>
      </c>
      <c r="FJ23" s="59">
        <f ca="1">AVERAGE(OFFSET($FI$3,0,0,'Données projet'!$E$16+1,1))-AVERAGE(OFFSET($H$3,0,0,'Données projet'!$E$16+1,1))</f>
        <v>166.27444639635013</v>
      </c>
      <c r="FK23" s="59">
        <f t="shared" si="48"/>
        <v>213.60182977243113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</v>
      </c>
      <c r="N24" s="13">
        <f>IF('Données projet'!$A$36&gt;35,N23+M24-V23,IF(A24&lt;'Données projet'!$A$36,$K$205^A24,IF(A24='Données projet'!$A$36,'Données projet'!$B$36,N23+M24-V23)))</f>
        <v>79</v>
      </c>
      <c r="O24" s="13">
        <f>N24*VLOOKUP('Données projet'!$B$9,Paramètres!$A$1:$I$89,3,0)*VLOOKUP('Données projet'!$B$9,Paramètres!$A$1:$I$89,5,0)</f>
        <v>71.479200000000006</v>
      </c>
      <c r="P24" s="13">
        <f t="shared" si="33"/>
        <v>20.040346808618612</v>
      </c>
      <c r="Q24" s="20">
        <f t="shared" si="2"/>
        <v>159.39654402501074</v>
      </c>
      <c r="R24" s="59">
        <f t="shared" si="0"/>
        <v>441.72987735834408</v>
      </c>
      <c r="S24" s="59">
        <f ca="1">AVERAGE(OFFSET($R$3,0,0,'Données projet'!$E$9+1,1))-AVERAGE(OFFSET($H$3,0,0,'Données projet'!$E$9+1,1))</f>
        <v>458.37755197712164</v>
      </c>
      <c r="T24" s="59">
        <f t="shared" si="34"/>
        <v>278.21741231699917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</v>
      </c>
      <c r="AI24" s="13">
        <f>IF('Données projet'!$A$62&gt;35,AI23+AH24-AQ23,IF(A24&lt;'Données projet'!$A$62,$AF$205^A24,IF(A24='Données projet'!$A$62,'Données projet'!$B$62,AI23+AH24-AQ23)))</f>
        <v>79</v>
      </c>
      <c r="AJ24" s="13">
        <f>AI24*VLOOKUP('Données projet'!$B$10,Paramètres!$A$1:$I$89,3,0)*VLOOKUP('Données projet'!$B$10,Paramètres!$A$1:$I$89,5,0)</f>
        <v>80.106000000000009</v>
      </c>
      <c r="AK24" s="13">
        <f t="shared" si="35"/>
        <v>22.163099682076496</v>
      </c>
      <c r="AL24" s="20">
        <f t="shared" si="4"/>
        <v>178.11868194628323</v>
      </c>
      <c r="AM24" s="59">
        <f t="shared" si="5"/>
        <v>460.45201527961655</v>
      </c>
      <c r="AN24" s="59">
        <f ca="1">AVERAGE(OFFSET($AM$3,0,0,'Données projet'!$E$10+1,1))-AVERAGE(OFFSET($H$3,0,0,'Données projet'!$E$10+1,1))</f>
        <v>508.60701013958447</v>
      </c>
      <c r="AO24" s="59">
        <f t="shared" si="36"/>
        <v>306.61893266146654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5.6</v>
      </c>
      <c r="BD24" s="12">
        <f>IF('Données projet'!$A$88&gt;35,BD23+BC24-BL23,IF(A24&lt;'Données projet'!$A$88,$BA$205^A24,IF(A24='Données projet'!$A$88,'Données projet'!$B$88,BD23+BC24-BL23)))</f>
        <v>47.6</v>
      </c>
      <c r="BE24" s="13">
        <f>BD24*VLOOKUP('Données projet'!$B$11,Paramètres!$A$1:$I$89,3,0)*VLOOKUP('Données projet'!$B$11,Paramètres!$A$1:$I$89,5,0)</f>
        <v>45.29616</v>
      </c>
      <c r="BF24" s="13">
        <f t="shared" si="37"/>
        <v>13.39207601043956</v>
      </c>
      <c r="BG24" s="20">
        <f t="shared" si="7"/>
        <v>102.21534438484889</v>
      </c>
      <c r="BH24" s="59">
        <f t="shared" si="8"/>
        <v>384.5486777181822</v>
      </c>
      <c r="BI24" s="59">
        <f ca="1">AVERAGE(OFFSET($BH$3,0,0,'Données projet'!$E$11+1,1))-AVERAGE(OFFSET($H$3,0,0,'Données projet'!$E$11+1,1))</f>
        <v>291.17074241052887</v>
      </c>
      <c r="BJ24" s="59">
        <f t="shared" si="38"/>
        <v>241.18285512887638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6</v>
      </c>
      <c r="BY24" s="12">
        <f>IF('Données projet'!$A$114&gt;35,BY23+BX24-CG23,IF(A24&lt;'Données projet'!$A$114,$BV$205^A24,IF(A24='Données projet'!$A$114,'Données projet'!$B$114,BY23+BX24-CG23)))</f>
        <v>79</v>
      </c>
      <c r="BZ24" s="13">
        <f>BY24*VLOOKUP('Données projet'!$B$12,Paramètres!$A$1:$I$89,3,0)*VLOOKUP('Données projet'!$B$12,Paramètres!$A$1:$I$89,5,0)</f>
        <v>66.549600000000012</v>
      </c>
      <c r="CA24" s="13">
        <f t="shared" si="39"/>
        <v>18.814097226522279</v>
      </c>
      <c r="CB24" s="20">
        <f t="shared" si="10"/>
        <v>148.67510600285965</v>
      </c>
      <c r="CC24" s="59">
        <f t="shared" si="11"/>
        <v>431.00843933619296</v>
      </c>
      <c r="CD24" s="59">
        <f ca="1">AVERAGE(OFFSET($CC$3,0,0,'Données projet'!$E$12+1,1))-AVERAGE(OFFSET($H$3,0,0,'Données projet'!$E$12+1,1))</f>
        <v>429.61977776013185</v>
      </c>
      <c r="CE24" s="59">
        <f t="shared" si="40"/>
        <v>261.95434270986385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7</v>
      </c>
      <c r="CT24" s="12">
        <f>IF('Données projet'!$A$140&gt;35,CT23+CS24-DB23,IF(A24&lt;'Données projet'!$A$140,$CQ$205^A24,IF(A24='Données projet'!$A$140,'Données projet'!$B$140,CT23+CS24-DB23)))</f>
        <v>87</v>
      </c>
      <c r="CU24" s="17">
        <f>CT24*VLOOKUP('Données projet'!$B$13,Paramètres!$A$1:$I$89,3,0)*VLOOKUP('Données projet'!$B$13,Paramètres!$A$1:$I$89,5,0)</f>
        <v>57.002400000000002</v>
      </c>
      <c r="CV24" s="13">
        <f t="shared" si="41"/>
        <v>16.4081359066458</v>
      </c>
      <c r="CW24" s="20">
        <f t="shared" si="13"/>
        <v>127.85668337074144</v>
      </c>
      <c r="CX24" s="59">
        <f t="shared" si="14"/>
        <v>410.19001670407476</v>
      </c>
      <c r="CY24" s="59">
        <f ca="1">AVERAGE(OFFSET($CX$3,0,0,'Données projet'!$E$13+1,1))-AVERAGE(OFFSET($H$3,0,0,'Données projet'!$E$13+1,1))</f>
        <v>255.09913504736693</v>
      </c>
      <c r="CZ24" s="59">
        <f t="shared" si="42"/>
        <v>248.42617382406644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5.6</v>
      </c>
      <c r="DO24" s="12">
        <f>IF('Données projet'!$A$166&gt;35,DO23+DN24-DW23,IF(A24&lt;'Données projet'!$A$166,$DL$205^A24,IF(A24='Données projet'!$A$166,'Données projet'!$B$166,DO23+DN24-DW23)))</f>
        <v>47.6</v>
      </c>
      <c r="DP24" s="17">
        <f>DO24*VLOOKUP('Données projet'!$B$14,Paramètres!$A$1:$I$89,3,0)*VLOOKUP('Données projet'!$B$14,Paramètres!$A$1:$I$89,5,0)</f>
        <v>54.206879999999998</v>
      </c>
      <c r="DQ24" s="13">
        <f t="shared" si="43"/>
        <v>15.695044182455275</v>
      </c>
      <c r="DR24" s="20">
        <f t="shared" si="16"/>
        <v>121.74585128444294</v>
      </c>
      <c r="DS24" s="59">
        <f t="shared" si="17"/>
        <v>404.07918461777626</v>
      </c>
      <c r="DT24" s="59">
        <f ca="1">AVERAGE(OFFSET($DS$3,0,0,'Données projet'!$E$14+1,1))-AVERAGE(OFFSET($H$3,0,0,'Données projet'!$E$14+1,1))</f>
        <v>459.67331926893809</v>
      </c>
      <c r="DU24" s="59">
        <f t="shared" si="44"/>
        <v>280.33242658375497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13.081999999999999</v>
      </c>
      <c r="EJ24" s="12">
        <f>IF('Données projet'!$A$192&gt;35,EJ23+EI24-ER23,IF(A24&lt;'Données projet'!$A$192,$EG$205^A24,IF(A24='Données projet'!$A$192,'Données projet'!$B$192,EJ23+EI24-ER23)))</f>
        <v>106.05200000000001</v>
      </c>
      <c r="EK24" s="17">
        <f>EJ24*VLOOKUP('Données projet'!$B$15,Paramètres!$A$1:$I$89,3,0)*VLOOKUP('Données projet'!$B$15,Paramètres!$A$1:$I$89,5,0)</f>
        <v>63.419096000000003</v>
      </c>
      <c r="EL24" s="13">
        <f t="shared" si="45"/>
        <v>18.029915798089259</v>
      </c>
      <c r="EM24" s="20">
        <f t="shared" si="19"/>
        <v>141.85702888167214</v>
      </c>
      <c r="EN24" s="59">
        <f t="shared" si="20"/>
        <v>424.19036221500545</v>
      </c>
      <c r="EO24" s="59">
        <f ca="1">AVERAGE(OFFSET($EN$3,0,0,'Données projet'!$E$15+1,1))-AVERAGE(OFFSET($H$3,0,0,'Données projet'!$E$15+1,1))</f>
        <v>264.08053957457469</v>
      </c>
      <c r="EP24" s="59">
        <f t="shared" si="46"/>
        <v>284.83300065761051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5.6863236443484295</v>
      </c>
      <c r="EX24" s="21">
        <f>EXP(-LN(2)/2)*EX23+(1-EXP(-LN(2)/2))/(LN(2)/2)*ER24*EU24*VLOOKUP('Données projet'!$B$15,Paramètres!$A$1:$I$89,3,0)*0.475*44/12</f>
        <v>6.1848682552001026</v>
      </c>
      <c r="EY24" s="22">
        <f t="shared" si="21"/>
        <v>11.871191899548531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5.666666666666667</v>
      </c>
      <c r="FE24" s="12">
        <f>IF('Données projet'!$A$218&gt;35,FE23+FD24-FM23,IF(A24&lt;'Données projet'!$A$218,$FB$205^A24,IF(A24='Données projet'!$A$218,'Données projet'!$B$218,FE23+FD24-FM23)))</f>
        <v>36.417845151923039</v>
      </c>
      <c r="FF24" s="17">
        <f>FE24*VLOOKUP('Données projet'!$B$16,Paramètres!$A$1:$I$89,3,0)*VLOOKUP('Données projet'!$B$16,Paramètres!$A$1:$I$89,5,0)</f>
        <v>17.043551531099983</v>
      </c>
      <c r="FG24" s="13">
        <f t="shared" si="47"/>
        <v>5.6462300295983905</v>
      </c>
      <c r="FH24" s="20">
        <f t="shared" si="22"/>
        <v>39.518036218216324</v>
      </c>
      <c r="FI24" s="59">
        <f t="shared" si="23"/>
        <v>321.85136955154962</v>
      </c>
      <c r="FJ24" s="59">
        <f ca="1">AVERAGE(OFFSET($FI$3,0,0,'Données projet'!$E$16+1,1))-AVERAGE(OFFSET($H$3,0,0,'Données projet'!$E$16+1,1))</f>
        <v>166.27444639635013</v>
      </c>
      <c r="FK24" s="59">
        <f t="shared" si="48"/>
        <v>213.60182977243113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</v>
      </c>
      <c r="N25" s="13">
        <f>IF('Données projet'!$A$36&gt;35,N24+M25-V24,IF(A25&lt;'Données projet'!$A$36,$K$205^A25,IF(A25='Données projet'!$A$36,'Données projet'!$B$36,N24+M25-V24)))</f>
        <v>85</v>
      </c>
      <c r="O25" s="13">
        <f>N25*VLOOKUP('Données projet'!$B$9,Paramètres!$A$1:$I$89,3,0)*VLOOKUP('Données projet'!$B$9,Paramètres!$A$1:$I$89,5,0)</f>
        <v>76.908000000000001</v>
      </c>
      <c r="P25" s="13">
        <f t="shared" si="33"/>
        <v>21.379448490435635</v>
      </c>
      <c r="Q25" s="20">
        <f t="shared" si="2"/>
        <v>171.18397278750874</v>
      </c>
      <c r="R25" s="59">
        <f t="shared" si="0"/>
        <v>454.73952834306431</v>
      </c>
      <c r="S25" s="59">
        <f ca="1">AVERAGE(OFFSET($R$3,0,0,'Données projet'!$E$9+1,1))-AVERAGE(OFFSET($H$3,0,0,'Données projet'!$E$9+1,1))</f>
        <v>458.37755197712164</v>
      </c>
      <c r="T25" s="59">
        <f t="shared" si="34"/>
        <v>278.21741231699917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</v>
      </c>
      <c r="AI25" s="13">
        <f>IF('Données projet'!$A$62&gt;35,AI24+AH25-AQ24,IF(A25&lt;'Données projet'!$A$62,$AF$205^A25,IF(A25='Données projet'!$A$62,'Données projet'!$B$62,AI24+AH25-AQ24)))</f>
        <v>85</v>
      </c>
      <c r="AJ25" s="13">
        <f>AI25*VLOOKUP('Données projet'!$B$10,Paramètres!$A$1:$I$89,3,0)*VLOOKUP('Données projet'!$B$10,Paramètres!$A$1:$I$89,5,0)</f>
        <v>86.19</v>
      </c>
      <c r="AK25" s="13">
        <f t="shared" si="35"/>
        <v>23.644044315518833</v>
      </c>
      <c r="AL25" s="20">
        <f t="shared" si="4"/>
        <v>191.29429384952866</v>
      </c>
      <c r="AM25" s="59">
        <f t="shared" si="5"/>
        <v>474.84984940508423</v>
      </c>
      <c r="AN25" s="59">
        <f ca="1">AVERAGE(OFFSET($AM$3,0,0,'Données projet'!$E$10+1,1))-AVERAGE(OFFSET($H$3,0,0,'Données projet'!$E$10+1,1))</f>
        <v>508.60701013958447</v>
      </c>
      <c r="AO25" s="59">
        <f t="shared" si="36"/>
        <v>306.61893266146654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5.6</v>
      </c>
      <c r="BD25" s="12">
        <f>IF('Données projet'!$A$88&gt;35,BD24+BC25-BL24,IF(A25&lt;'Données projet'!$A$88,$BA$205^A25,IF(A25='Données projet'!$A$88,'Données projet'!$B$88,BD24+BC25-BL24)))</f>
        <v>53.2</v>
      </c>
      <c r="BE25" s="13">
        <f>BD25*VLOOKUP('Données projet'!$B$11,Paramètres!$A$1:$I$89,3,0)*VLOOKUP('Données projet'!$B$11,Paramètres!$A$1:$I$89,5,0)</f>
        <v>50.625119999999995</v>
      </c>
      <c r="BF25" s="13">
        <f t="shared" si="37"/>
        <v>14.77508270228409</v>
      </c>
      <c r="BG25" s="20">
        <f t="shared" si="7"/>
        <v>113.90535303981146</v>
      </c>
      <c r="BH25" s="59">
        <f t="shared" si="8"/>
        <v>397.46090859536702</v>
      </c>
      <c r="BI25" s="59">
        <f ca="1">AVERAGE(OFFSET($BH$3,0,0,'Données projet'!$E$11+1,1))-AVERAGE(OFFSET($H$3,0,0,'Données projet'!$E$11+1,1))</f>
        <v>291.17074241052887</v>
      </c>
      <c r="BJ25" s="59">
        <f t="shared" si="38"/>
        <v>241.18285512887638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6</v>
      </c>
      <c r="BY25" s="12">
        <f>IF('Données projet'!$A$114&gt;35,BY24+BX25-CG24,IF(A25&lt;'Données projet'!$A$114,$BV$205^A25,IF(A25='Données projet'!$A$114,'Données projet'!$B$114,BY24+BX25-CG24)))</f>
        <v>85</v>
      </c>
      <c r="BZ25" s="13">
        <f>BY25*VLOOKUP('Données projet'!$B$12,Paramètres!$A$1:$I$89,3,0)*VLOOKUP('Données projet'!$B$12,Paramètres!$A$1:$I$89,5,0)</f>
        <v>71.604000000000013</v>
      </c>
      <c r="CA25" s="13">
        <f t="shared" si="39"/>
        <v>20.071260561992602</v>
      </c>
      <c r="CB25" s="20">
        <f t="shared" si="10"/>
        <v>159.66774547880379</v>
      </c>
      <c r="CC25" s="59">
        <f t="shared" si="11"/>
        <v>443.22330103435934</v>
      </c>
      <c r="CD25" s="59">
        <f ca="1">AVERAGE(OFFSET($CC$3,0,0,'Données projet'!$E$12+1,1))-AVERAGE(OFFSET($H$3,0,0,'Données projet'!$E$12+1,1))</f>
        <v>429.61977776013185</v>
      </c>
      <c r="CE25" s="59">
        <f t="shared" si="40"/>
        <v>261.95434270986385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7</v>
      </c>
      <c r="CT25" s="12">
        <f>IF('Données projet'!$A$140&gt;35,CT24+CS25-DB24,IF(A25&lt;'Données projet'!$A$140,$CQ$205^A25,IF(A25='Données projet'!$A$140,'Données projet'!$B$140,CT24+CS25-DB24)))</f>
        <v>94</v>
      </c>
      <c r="CU25" s="17">
        <f>CT25*VLOOKUP('Données projet'!$B$13,Paramètres!$A$1:$I$89,3,0)*VLOOKUP('Données projet'!$B$13,Paramètres!$A$1:$I$89,5,0)</f>
        <v>61.588799999999999</v>
      </c>
      <c r="CV25" s="13">
        <f t="shared" si="41"/>
        <v>17.56935444538782</v>
      </c>
      <c r="CW25" s="20">
        <f t="shared" si="13"/>
        <v>137.86711899238378</v>
      </c>
      <c r="CX25" s="59">
        <f t="shared" si="14"/>
        <v>421.42267454793932</v>
      </c>
      <c r="CY25" s="59">
        <f ca="1">AVERAGE(OFFSET($CX$3,0,0,'Données projet'!$E$13+1,1))-AVERAGE(OFFSET($H$3,0,0,'Données projet'!$E$13+1,1))</f>
        <v>255.09913504736693</v>
      </c>
      <c r="CZ25" s="59">
        <f t="shared" si="42"/>
        <v>248.42617382406644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5.6</v>
      </c>
      <c r="DO25" s="12">
        <f>IF('Données projet'!$A$166&gt;35,DO24+DN25-DW24,IF(A25&lt;'Données projet'!$A$166,$DL$205^A25,IF(A25='Données projet'!$A$166,'Données projet'!$B$166,DO24+DN25-DW24)))</f>
        <v>53.2</v>
      </c>
      <c r="DP25" s="17">
        <f>DO25*VLOOKUP('Données projet'!$B$14,Paramètres!$A$1:$I$89,3,0)*VLOOKUP('Données projet'!$B$14,Paramètres!$A$1:$I$89,5,0)</f>
        <v>60.584159999999997</v>
      </c>
      <c r="DQ25" s="13">
        <f t="shared" si="43"/>
        <v>17.315879601565083</v>
      </c>
      <c r="DR25" s="20">
        <f t="shared" si="16"/>
        <v>135.67590230605916</v>
      </c>
      <c r="DS25" s="59">
        <f t="shared" si="17"/>
        <v>419.23145786161467</v>
      </c>
      <c r="DT25" s="59">
        <f ca="1">AVERAGE(OFFSET($DS$3,0,0,'Données projet'!$E$14+1,1))-AVERAGE(OFFSET($H$3,0,0,'Données projet'!$E$14+1,1))</f>
        <v>459.67331926893809</v>
      </c>
      <c r="DU25" s="59">
        <f t="shared" si="44"/>
        <v>280.33242658375497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13.081999999999999</v>
      </c>
      <c r="EJ25" s="12">
        <f>IF('Données projet'!$A$192&gt;35,EJ24+EI25-ER24,IF(A25&lt;'Données projet'!$A$192,$EG$205^A25,IF(A25='Données projet'!$A$192,'Données projet'!$B$192,EJ24+EI25-ER24)))</f>
        <v>119.134</v>
      </c>
      <c r="EK25" s="17">
        <f>EJ25*VLOOKUP('Données projet'!$B$15,Paramètres!$A$1:$I$89,3,0)*VLOOKUP('Données projet'!$B$15,Paramètres!$A$1:$I$89,5,0)</f>
        <v>71.242131999999998</v>
      </c>
      <c r="EL25" s="13">
        <f t="shared" si="45"/>
        <v>19.981606243749901</v>
      </c>
      <c r="EM25" s="20">
        <f t="shared" si="19"/>
        <v>158.88134410786441</v>
      </c>
      <c r="EN25" s="59">
        <f t="shared" si="20"/>
        <v>442.43689966341992</v>
      </c>
      <c r="EO25" s="59">
        <f ca="1">AVERAGE(OFFSET($EN$3,0,0,'Données projet'!$E$15+1,1))-AVERAGE(OFFSET($H$3,0,0,'Données projet'!$E$15+1,1))</f>
        <v>264.08053957457469</v>
      </c>
      <c r="EP25" s="59">
        <f t="shared" si="46"/>
        <v>284.83300065761051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5.5308308252629574</v>
      </c>
      <c r="EX25" s="21">
        <f>EXP(-LN(2)/2)*EX24+(1-EXP(-LN(2)/2))/(LN(2)/2)*ER25*EU25*VLOOKUP('Données projet'!$B$15,Paramètres!$A$1:$I$89,3,0)*0.475*44/12</f>
        <v>4.3733622839974036</v>
      </c>
      <c r="EY25" s="22">
        <f t="shared" si="21"/>
        <v>9.9041931092603619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5.666666666666667</v>
      </c>
      <c r="FE25" s="12">
        <f>IF('Données projet'!$A$218&gt;35,FE24+FD25-FM24,IF(A25&lt;'Données projet'!$A$218,$FB$205^A25,IF(A25='Données projet'!$A$218,'Données projet'!$B$218,FE24+FD25-FM24)))</f>
        <v>43.217788752441109</v>
      </c>
      <c r="FF25" s="17">
        <f>FE25*VLOOKUP('Données projet'!$B$16,Paramètres!$A$1:$I$89,3,0)*VLOOKUP('Données projet'!$B$16,Paramètres!$A$1:$I$89,5,0)</f>
        <v>20.22592513614244</v>
      </c>
      <c r="FG25" s="13">
        <f t="shared" si="47"/>
        <v>6.5682961065488277</v>
      </c>
      <c r="FH25" s="20">
        <f t="shared" si="22"/>
        <v>46.666601997687287</v>
      </c>
      <c r="FI25" s="59">
        <f t="shared" si="23"/>
        <v>330.22215755324282</v>
      </c>
      <c r="FJ25" s="59">
        <f ca="1">AVERAGE(OFFSET($FI$3,0,0,'Données projet'!$E$16+1,1))-AVERAGE(OFFSET($H$3,0,0,'Données projet'!$E$16+1,1))</f>
        <v>166.27444639635013</v>
      </c>
      <c r="FK25" s="59">
        <f t="shared" si="48"/>
        <v>213.60182977243113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</v>
      </c>
      <c r="N26" s="13">
        <f>IF('Données projet'!$A$36&gt;35,N25+M26-V25,IF(A26&lt;'Données projet'!$A$36,$K$205^A26,IF(A26='Données projet'!$A$36,'Données projet'!$B$36,N25+M26-V25)))</f>
        <v>91</v>
      </c>
      <c r="O26" s="13">
        <f>N26*VLOOKUP('Données projet'!$B$9,Paramètres!$A$1:$I$89,3,0)*VLOOKUP('Données projet'!$B$9,Paramètres!$A$1:$I$89,5,0)</f>
        <v>82.336799999999997</v>
      </c>
      <c r="P26" s="13">
        <f t="shared" si="33"/>
        <v>22.707582950885364</v>
      </c>
      <c r="Q26" s="20">
        <f t="shared" si="2"/>
        <v>182.95230030612535</v>
      </c>
      <c r="R26" s="59">
        <f t="shared" si="0"/>
        <v>467.73007808390309</v>
      </c>
      <c r="S26" s="59">
        <f ca="1">AVERAGE(OFFSET($R$3,0,0,'Données projet'!$E$9+1,1))-AVERAGE(OFFSET($H$3,0,0,'Données projet'!$E$9+1,1))</f>
        <v>458.37755197712164</v>
      </c>
      <c r="T26" s="59">
        <f t="shared" si="34"/>
        <v>278.21741231699917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</v>
      </c>
      <c r="AI26" s="13">
        <f>IF('Données projet'!$A$62&gt;35,AI25+AH26-AQ25,IF(A26&lt;'Données projet'!$A$62,$AF$205^A26,IF(A26='Données projet'!$A$62,'Données projet'!$B$62,AI25+AH26-AQ25)))</f>
        <v>91</v>
      </c>
      <c r="AJ26" s="13">
        <f>AI26*VLOOKUP('Données projet'!$B$10,Paramètres!$A$1:$I$89,3,0)*VLOOKUP('Données projet'!$B$10,Paramètres!$A$1:$I$89,5,0)</f>
        <v>92.274000000000001</v>
      </c>
      <c r="AK26" s="13">
        <f t="shared" si="35"/>
        <v>25.112860036087575</v>
      </c>
      <c r="AL26" s="20">
        <f t="shared" si="4"/>
        <v>204.4487812295192</v>
      </c>
      <c r="AM26" s="59">
        <f t="shared" si="5"/>
        <v>489.22655900729694</v>
      </c>
      <c r="AN26" s="59">
        <f ca="1">AVERAGE(OFFSET($AM$3,0,0,'Données projet'!$E$10+1,1))-AVERAGE(OFFSET($H$3,0,0,'Données projet'!$E$10+1,1))</f>
        <v>508.60701013958447</v>
      </c>
      <c r="AO26" s="59">
        <f t="shared" si="36"/>
        <v>306.61893266146654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5.6</v>
      </c>
      <c r="BD26" s="12">
        <f>IF('Données projet'!$A$88&gt;35,BD25+BC26-BL25,IF(A26&lt;'Données projet'!$A$88,$BA$205^A26,IF(A26='Données projet'!$A$88,'Données projet'!$B$88,BD25+BC26-BL25)))</f>
        <v>58.800000000000004</v>
      </c>
      <c r="BE26" s="13">
        <f>BD26*VLOOKUP('Données projet'!$B$11,Paramètres!$A$1:$I$89,3,0)*VLOOKUP('Données projet'!$B$11,Paramètres!$A$1:$I$89,5,0)</f>
        <v>55.954080000000005</v>
      </c>
      <c r="BF26" s="13">
        <f t="shared" si="37"/>
        <v>16.141214449356298</v>
      </c>
      <c r="BG26" s="20">
        <f t="shared" si="7"/>
        <v>125.56597116596221</v>
      </c>
      <c r="BH26" s="59">
        <f t="shared" si="8"/>
        <v>410.34374894373997</v>
      </c>
      <c r="BI26" s="59">
        <f ca="1">AVERAGE(OFFSET($BH$3,0,0,'Données projet'!$E$11+1,1))-AVERAGE(OFFSET($H$3,0,0,'Données projet'!$E$11+1,1))</f>
        <v>291.17074241052887</v>
      </c>
      <c r="BJ26" s="59">
        <f t="shared" si="38"/>
        <v>241.18285512887638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</v>
      </c>
      <c r="BY26" s="12">
        <f>IF('Données projet'!$A$114&gt;35,BY25+BX26-CG25,IF(A26&lt;'Données projet'!$A$114,$BV$205^A26,IF(A26='Données projet'!$A$114,'Données projet'!$B$114,BY25+BX26-CG25)))</f>
        <v>91</v>
      </c>
      <c r="BZ26" s="13">
        <f>BY26*VLOOKUP('Données projet'!$B$12,Paramètres!$A$1:$I$89,3,0)*VLOOKUP('Données projet'!$B$12,Paramètres!$A$1:$I$89,5,0)</f>
        <v>76.6584</v>
      </c>
      <c r="CA26" s="13">
        <f t="shared" si="39"/>
        <v>21.318127749842347</v>
      </c>
      <c r="CB26" s="20">
        <f t="shared" si="10"/>
        <v>170.6424524976421</v>
      </c>
      <c r="CC26" s="59">
        <f t="shared" si="11"/>
        <v>455.42023027541984</v>
      </c>
      <c r="CD26" s="59">
        <f ca="1">AVERAGE(OFFSET($CC$3,0,0,'Données projet'!$E$12+1,1))-AVERAGE(OFFSET($H$3,0,0,'Données projet'!$E$12+1,1))</f>
        <v>429.61977776013185</v>
      </c>
      <c r="CE26" s="59">
        <f t="shared" si="40"/>
        <v>261.95434270986385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7</v>
      </c>
      <c r="CT26" s="12">
        <f>IF('Données projet'!$A$140&gt;35,CT25+CS26-DB25,IF(A26&lt;'Données projet'!$A$140,$CQ$205^A26,IF(A26='Données projet'!$A$140,'Données projet'!$B$140,CT25+CS26-DB25)))</f>
        <v>101</v>
      </c>
      <c r="CU26" s="17">
        <f>CT26*VLOOKUP('Données projet'!$B$13,Paramètres!$A$1:$I$89,3,0)*VLOOKUP('Données projet'!$B$13,Paramètres!$A$1:$I$89,5,0)</f>
        <v>66.175200000000004</v>
      </c>
      <c r="CV26" s="13">
        <f t="shared" si="41"/>
        <v>18.720541159483023</v>
      </c>
      <c r="CW26" s="20">
        <f t="shared" si="13"/>
        <v>147.86008251943295</v>
      </c>
      <c r="CX26" s="59">
        <f t="shared" si="14"/>
        <v>432.63786029721075</v>
      </c>
      <c r="CY26" s="59">
        <f ca="1">AVERAGE(OFFSET($CX$3,0,0,'Données projet'!$E$13+1,1))-AVERAGE(OFFSET($H$3,0,0,'Données projet'!$E$13+1,1))</f>
        <v>255.09913504736693</v>
      </c>
      <c r="CZ26" s="59">
        <f t="shared" si="42"/>
        <v>248.42617382406644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5.6</v>
      </c>
      <c r="DO26" s="12">
        <f>IF('Données projet'!$A$166&gt;35,DO25+DN26-DW25,IF(A26&lt;'Données projet'!$A$166,$DL$205^A26,IF(A26='Données projet'!$A$166,'Données projet'!$B$166,DO25+DN26-DW25)))</f>
        <v>58.800000000000004</v>
      </c>
      <c r="DP26" s="17">
        <f>DO26*VLOOKUP('Données projet'!$B$14,Paramètres!$A$1:$I$89,3,0)*VLOOKUP('Données projet'!$B$14,Paramètres!$A$1:$I$89,5,0)</f>
        <v>66.961439999999996</v>
      </c>
      <c r="DQ26" s="13">
        <f t="shared" si="43"/>
        <v>18.9169381762505</v>
      </c>
      <c r="DR26" s="20">
        <f t="shared" si="16"/>
        <v>149.5715086569696</v>
      </c>
      <c r="DS26" s="59">
        <f t="shared" si="17"/>
        <v>434.34928643474734</v>
      </c>
      <c r="DT26" s="59">
        <f ca="1">AVERAGE(OFFSET($DS$3,0,0,'Données projet'!$E$14+1,1))-AVERAGE(OFFSET($H$3,0,0,'Données projet'!$E$14+1,1))</f>
        <v>459.67331926893809</v>
      </c>
      <c r="DU26" s="59">
        <f t="shared" si="44"/>
        <v>280.33242658375497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13.081999999999999</v>
      </c>
      <c r="EJ26" s="12">
        <f>IF('Données projet'!$A$192&gt;35,EJ25+EI26-ER25,IF(A26&lt;'Données projet'!$A$192,$EG$205^A26,IF(A26='Données projet'!$A$192,'Données projet'!$B$192,EJ25+EI26-ER25)))</f>
        <v>132.21600000000001</v>
      </c>
      <c r="EK26" s="17">
        <f>EJ26*VLOOKUP('Données projet'!$B$15,Paramètres!$A$1:$I$89,3,0)*VLOOKUP('Données projet'!$B$15,Paramètres!$A$1:$I$89,5,0)</f>
        <v>79.065168</v>
      </c>
      <c r="EL26" s="13">
        <f t="shared" si="45"/>
        <v>21.908456715456062</v>
      </c>
      <c r="EM26" s="20">
        <f t="shared" si="19"/>
        <v>175.86239637941927</v>
      </c>
      <c r="EN26" s="59">
        <f t="shared" si="20"/>
        <v>460.64017415719707</v>
      </c>
      <c r="EO26" s="59">
        <f ca="1">AVERAGE(OFFSET($EN$3,0,0,'Données projet'!$E$15+1,1))-AVERAGE(OFFSET($H$3,0,0,'Données projet'!$E$15+1,1))</f>
        <v>264.08053957457469</v>
      </c>
      <c r="EP26" s="59">
        <f t="shared" si="46"/>
        <v>284.83300065761051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5.3795899654923893</v>
      </c>
      <c r="EX26" s="21">
        <f>EXP(-LN(2)/2)*EX25+(1-EXP(-LN(2)/2))/(LN(2)/2)*ER26*EU26*VLOOKUP('Données projet'!$B$15,Paramètres!$A$1:$I$89,3,0)*0.475*44/12</f>
        <v>3.0924341276000518</v>
      </c>
      <c r="EY26" s="22">
        <f t="shared" si="21"/>
        <v>8.4720240930924415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5.666666666666667</v>
      </c>
      <c r="FE26" s="12">
        <f>IF('Données projet'!$A$218&gt;35,FE25+FD26-FM25,IF(A26&lt;'Données projet'!$A$218,$FB$205^A26,IF(A26='Données projet'!$A$218,'Données projet'!$B$218,FE25+FD26-FM25)))</f>
        <v>51.287418485604626</v>
      </c>
      <c r="FF26" s="17">
        <f>FE26*VLOOKUP('Données projet'!$B$16,Paramètres!$A$1:$I$89,3,0)*VLOOKUP('Données projet'!$B$16,Paramètres!$A$1:$I$89,5,0)</f>
        <v>24.002511851262966</v>
      </c>
      <c r="FG26" s="13">
        <f t="shared" si="47"/>
        <v>7.6409415693559897</v>
      </c>
      <c r="FH26" s="20">
        <f t="shared" si="22"/>
        <v>55.112348040911343</v>
      </c>
      <c r="FI26" s="59">
        <f t="shared" si="23"/>
        <v>339.89012581868911</v>
      </c>
      <c r="FJ26" s="59">
        <f ca="1">AVERAGE(OFFSET($FI$3,0,0,'Données projet'!$E$16+1,1))-AVERAGE(OFFSET($H$3,0,0,'Données projet'!$E$16+1,1))</f>
        <v>166.27444639635013</v>
      </c>
      <c r="FK26" s="59">
        <f t="shared" si="48"/>
        <v>213.60182977243113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</v>
      </c>
      <c r="N27" s="13">
        <f>IF('Données projet'!$A$36&gt;35,N26+M27-V26,IF(A27&lt;'Données projet'!$A$36,$K$205^A27,IF(A27='Données projet'!$A$36,'Données projet'!$B$36,N26+M27-V26)))</f>
        <v>97</v>
      </c>
      <c r="O27" s="13">
        <f>N27*VLOOKUP('Données projet'!$B$9,Paramètres!$A$1:$I$89,3,0)*VLOOKUP('Données projet'!$B$9,Paramètres!$A$1:$I$89,5,0)</f>
        <v>87.765600000000006</v>
      </c>
      <c r="P27" s="13">
        <f t="shared" si="33"/>
        <v>24.025555589247954</v>
      </c>
      <c r="Q27" s="20">
        <f t="shared" si="2"/>
        <v>194.7029293179402</v>
      </c>
      <c r="R27" s="59">
        <f t="shared" si="0"/>
        <v>480.70292931794017</v>
      </c>
      <c r="S27" s="59">
        <f ca="1">AVERAGE(OFFSET($R$3,0,0,'Données projet'!$E$9+1,1))-AVERAGE(OFFSET($H$3,0,0,'Données projet'!$E$9+1,1))</f>
        <v>458.37755197712164</v>
      </c>
      <c r="T27" s="59">
        <f t="shared" si="34"/>
        <v>278.21741231699917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</v>
      </c>
      <c r="AI27" s="13">
        <f>IF('Données projet'!$A$62&gt;35,AI26+AH27-AQ26,IF(A27&lt;'Données projet'!$A$62,$AF$205^A27,IF(A27='Données projet'!$A$62,'Données projet'!$B$62,AI26+AH27-AQ26)))</f>
        <v>97</v>
      </c>
      <c r="AJ27" s="13">
        <f>AI27*VLOOKUP('Données projet'!$B$10,Paramètres!$A$1:$I$89,3,0)*VLOOKUP('Données projet'!$B$10,Paramètres!$A$1:$I$89,5,0)</f>
        <v>98.358000000000004</v>
      </c>
      <c r="AK27" s="13">
        <f t="shared" si="35"/>
        <v>26.570437554143126</v>
      </c>
      <c r="AL27" s="20">
        <f t="shared" si="4"/>
        <v>217.58369540679928</v>
      </c>
      <c r="AM27" s="59">
        <f t="shared" si="5"/>
        <v>503.58369540679928</v>
      </c>
      <c r="AN27" s="59">
        <f ca="1">AVERAGE(OFFSET($AM$3,0,0,'Données projet'!$E$10+1,1))-AVERAGE(OFFSET($H$3,0,0,'Données projet'!$E$10+1,1))</f>
        <v>508.60701013958447</v>
      </c>
      <c r="AO27" s="59">
        <f t="shared" si="36"/>
        <v>306.61893266146654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5.6</v>
      </c>
      <c r="BD27" s="12">
        <f>IF('Données projet'!$A$88&gt;35,BD26+BC27-BL26,IF(A27&lt;'Données projet'!$A$88,$BA$205^A27,IF(A27='Données projet'!$A$88,'Données projet'!$B$88,BD26+BC27-BL26)))</f>
        <v>64.400000000000006</v>
      </c>
      <c r="BE27" s="13">
        <f>BD27*VLOOKUP('Données projet'!$B$11,Paramètres!$A$1:$I$89,3,0)*VLOOKUP('Données projet'!$B$11,Paramètres!$A$1:$I$89,5,0)</f>
        <v>61.283040000000014</v>
      </c>
      <c r="BF27" s="13">
        <f t="shared" si="37"/>
        <v>17.492261234067353</v>
      </c>
      <c r="BG27" s="20">
        <f t="shared" si="7"/>
        <v>137.20031631600065</v>
      </c>
      <c r="BH27" s="59">
        <f t="shared" si="8"/>
        <v>423.20031631600068</v>
      </c>
      <c r="BI27" s="59">
        <f ca="1">AVERAGE(OFFSET($BH$3,0,0,'Données projet'!$E$11+1,1))-AVERAGE(OFFSET($H$3,0,0,'Données projet'!$E$11+1,1))</f>
        <v>291.17074241052887</v>
      </c>
      <c r="BJ27" s="59">
        <f t="shared" si="38"/>
        <v>241.18285512887638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6</v>
      </c>
      <c r="BY27" s="12">
        <f>IF('Données projet'!$A$114&gt;35,BY26+BX27-CG26,IF(A27&lt;'Données projet'!$A$114,$BV$205^A27,IF(A27='Données projet'!$A$114,'Données projet'!$B$114,BY26+BX27-CG26)))</f>
        <v>97</v>
      </c>
      <c r="BZ27" s="13">
        <f>BY27*VLOOKUP('Données projet'!$B$12,Paramètres!$A$1:$I$89,3,0)*VLOOKUP('Données projet'!$B$12,Paramètres!$A$1:$I$89,5,0)</f>
        <v>81.712800000000001</v>
      </c>
      <c r="CA27" s="13">
        <f t="shared" si="39"/>
        <v>22.55545490774292</v>
      </c>
      <c r="CB27" s="20">
        <f t="shared" si="10"/>
        <v>181.60054396431892</v>
      </c>
      <c r="CC27" s="59">
        <f t="shared" si="11"/>
        <v>467.60054396431894</v>
      </c>
      <c r="CD27" s="59">
        <f ca="1">AVERAGE(OFFSET($CC$3,0,0,'Données projet'!$E$12+1,1))-AVERAGE(OFFSET($H$3,0,0,'Données projet'!$E$12+1,1))</f>
        <v>429.61977776013185</v>
      </c>
      <c r="CE27" s="59">
        <f t="shared" si="40"/>
        <v>261.95434270986385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7</v>
      </c>
      <c r="CT27" s="12">
        <f>IF('Données projet'!$A$140&gt;35,CT26+CS27-DB26,IF(A27&lt;'Données projet'!$A$140,$CQ$205^A27,IF(A27='Données projet'!$A$140,'Données projet'!$B$140,CT26+CS27-DB26)))</f>
        <v>108</v>
      </c>
      <c r="CU27" s="17">
        <f>CT27*VLOOKUP('Données projet'!$B$13,Paramètres!$A$1:$I$89,3,0)*VLOOKUP('Données projet'!$B$13,Paramètres!$A$1:$I$89,5,0)</f>
        <v>70.761600000000001</v>
      </c>
      <c r="CV27" s="13">
        <f t="shared" si="41"/>
        <v>19.862470414169767</v>
      </c>
      <c r="CW27" s="20">
        <f t="shared" si="13"/>
        <v>157.83692263801234</v>
      </c>
      <c r="CX27" s="59">
        <f t="shared" si="14"/>
        <v>443.83692263801231</v>
      </c>
      <c r="CY27" s="59">
        <f ca="1">AVERAGE(OFFSET($CX$3,0,0,'Données projet'!$E$13+1,1))-AVERAGE(OFFSET($H$3,0,0,'Données projet'!$E$13+1,1))</f>
        <v>255.09913504736693</v>
      </c>
      <c r="CZ27" s="59">
        <f t="shared" si="42"/>
        <v>248.42617382406644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5.6</v>
      </c>
      <c r="DO27" s="12">
        <f>IF('Données projet'!$A$166&gt;35,DO26+DN27-DW26,IF(A27&lt;'Données projet'!$A$166,$DL$205^A27,IF(A27='Données projet'!$A$166,'Données projet'!$B$166,DO26+DN27-DW26)))</f>
        <v>64.400000000000006</v>
      </c>
      <c r="DP27" s="17">
        <f>DO27*VLOOKUP('Données projet'!$B$14,Paramètres!$A$1:$I$89,3,0)*VLOOKUP('Données projet'!$B$14,Paramètres!$A$1:$I$89,5,0)</f>
        <v>73.338720000000009</v>
      </c>
      <c r="DQ27" s="13">
        <f t="shared" si="43"/>
        <v>20.500317703224091</v>
      </c>
      <c r="DR27" s="20">
        <f t="shared" si="16"/>
        <v>163.43632399978199</v>
      </c>
      <c r="DS27" s="59">
        <f t="shared" si="17"/>
        <v>449.43632399978196</v>
      </c>
      <c r="DT27" s="59">
        <f ca="1">AVERAGE(OFFSET($DS$3,0,0,'Données projet'!$E$14+1,1))-AVERAGE(OFFSET($H$3,0,0,'Données projet'!$E$14+1,1))</f>
        <v>459.67331926893809</v>
      </c>
      <c r="DU27" s="59">
        <f t="shared" si="44"/>
        <v>280.33242658375497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13.081999999999999</v>
      </c>
      <c r="EJ27" s="12">
        <f>IF('Données projet'!$A$192&gt;35,EJ26+EI27-ER26,IF(A27&lt;'Données projet'!$A$192,$EG$205^A27,IF(A27='Données projet'!$A$192,'Données projet'!$B$192,EJ26+EI27-ER26)))</f>
        <v>145.298</v>
      </c>
      <c r="EK27" s="17">
        <f>EJ27*VLOOKUP('Données projet'!$B$15,Paramètres!$A$1:$I$89,3,0)*VLOOKUP('Données projet'!$B$15,Paramètres!$A$1:$I$89,5,0)</f>
        <v>86.888204000000002</v>
      </c>
      <c r="EL27" s="13">
        <f t="shared" si="45"/>
        <v>23.813204728271575</v>
      </c>
      <c r="EM27" s="20">
        <f t="shared" si="19"/>
        <v>192.804953535073</v>
      </c>
      <c r="EN27" s="59">
        <f t="shared" si="20"/>
        <v>478.80495353507297</v>
      </c>
      <c r="EO27" s="59">
        <f ca="1">AVERAGE(OFFSET($EN$3,0,0,'Données projet'!$E$15+1,1))-AVERAGE(OFFSET($H$3,0,0,'Données projet'!$E$15+1,1))</f>
        <v>264.08053957457469</v>
      </c>
      <c r="EP27" s="59">
        <f t="shared" si="46"/>
        <v>284.83300065761051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5.232484794985659</v>
      </c>
      <c r="EX27" s="21">
        <f>EXP(-LN(2)/2)*EX26+(1-EXP(-LN(2)/2))/(LN(2)/2)*ER27*EU27*VLOOKUP('Données projet'!$B$15,Paramètres!$A$1:$I$89,3,0)*0.475*44/12</f>
        <v>2.1866811419987018</v>
      </c>
      <c r="EY27" s="22">
        <f t="shared" si="21"/>
        <v>7.4191659369843608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5.666666666666667</v>
      </c>
      <c r="FE27" s="12">
        <f>IF('Données projet'!$A$218&gt;35,FE26+FD27-FM26,IF(A27&lt;'Données projet'!$A$218,$FB$205^A27,IF(A27='Données projet'!$A$218,'Données projet'!$B$218,FE26+FD27-FM26)))</f>
        <v>60.863810270000563</v>
      </c>
      <c r="FF27" s="17">
        <f>FE27*VLOOKUP('Données projet'!$B$16,Paramètres!$A$1:$I$89,3,0)*VLOOKUP('Données projet'!$B$16,Paramètres!$A$1:$I$89,5,0)</f>
        <v>28.484263206360264</v>
      </c>
      <c r="FG27" s="13">
        <f t="shared" si="47"/>
        <v>8.8887570108329133</v>
      </c>
      <c r="FH27" s="20">
        <f t="shared" si="22"/>
        <v>65.091343544944792</v>
      </c>
      <c r="FI27" s="59">
        <f t="shared" si="23"/>
        <v>351.09134354494478</v>
      </c>
      <c r="FJ27" s="59">
        <f ca="1">AVERAGE(OFFSET($FI$3,0,0,'Données projet'!$E$16+1,1))-AVERAGE(OFFSET($H$3,0,0,'Données projet'!$E$16+1,1))</f>
        <v>166.27444639635013</v>
      </c>
      <c r="FK27" s="59">
        <f t="shared" si="48"/>
        <v>213.60182977243113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103</v>
      </c>
      <c r="L28" s="12">
        <f>VLOOKUP(A28,'Données projet'!$A$35:$I$55,9,0)</f>
        <v>6</v>
      </c>
      <c r="M28" s="12">
        <f t="array" ref="M28">INDEX(L:L,MIN(IF(ISNUMBER(L28:L224),ROW(L28:L224),"")))</f>
        <v>6</v>
      </c>
      <c r="N28" s="13">
        <f>IF('Données projet'!$A$36&gt;35,N27+M28-V27,IF(A28&lt;'Données projet'!$A$36,$K$205^A28,IF(A28='Données projet'!$A$36,'Données projet'!$B$36,N27+M28-V27)))</f>
        <v>103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9">
        <f t="shared" si="0"/>
        <v>493.65930144068301</v>
      </c>
      <c r="S28" s="59">
        <f ca="1">AVERAGE(OFFSET($R$3,0,0,'Données projet'!$E$9+1,1))-AVERAGE(OFFSET($H$3,0,0,'Données projet'!$E$9+1,1))</f>
        <v>458.37755197712164</v>
      </c>
      <c r="T28" s="59">
        <f t="shared" si="34"/>
        <v>278.21741231699917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103</v>
      </c>
      <c r="AG28" s="12">
        <f>VLOOKUP(A28,'Données projet'!$A$61:$I$81,9,0)</f>
        <v>6</v>
      </c>
      <c r="AH28" s="12">
        <f t="array" ref="AH28">INDEX(AG:AG,MIN(IF(ISNUMBER(AG28:AG224),ROW(AG28:AG224),"")))</f>
        <v>6</v>
      </c>
      <c r="AI28" s="13">
        <f>IF('Données projet'!$A$62&gt;35,AI27+AH28-AQ27,IF(A28&lt;'Données projet'!$A$62,$AF$205^A28,IF(A28='Données projet'!$A$62,'Données projet'!$B$62,AI27+AH28-AQ27)))</f>
        <v>103</v>
      </c>
      <c r="AJ28" s="13">
        <f>AI28*VLOOKUP('Données projet'!$B$10,Paramètres!$A$1:$I$89,3,0)*VLOOKUP('Données projet'!$B$10,Paramètres!$A$1:$I$89,5,0)</f>
        <v>104.44200000000001</v>
      </c>
      <c r="AK28" s="13">
        <f t="shared" si="35"/>
        <v>28.017551161766285</v>
      </c>
      <c r="AL28" s="20">
        <f t="shared" si="4"/>
        <v>230.70038494007625</v>
      </c>
      <c r="AM28" s="59">
        <f t="shared" si="5"/>
        <v>517.9226071622985</v>
      </c>
      <c r="AN28" s="59">
        <f ca="1">AVERAGE(OFFSET($AM$3,0,0,'Données projet'!$E$10+1,1))-AVERAGE(OFFSET($H$3,0,0,'Données projet'!$E$10+1,1))</f>
        <v>508.60701013958447</v>
      </c>
      <c r="AO28" s="59">
        <f t="shared" si="36"/>
        <v>306.61893266146654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70</v>
      </c>
      <c r="BB28" s="12">
        <f>VLOOKUP(A28,'Données projet'!$A$87:$I$107,9,0)</f>
        <v>5.6</v>
      </c>
      <c r="BC28" s="12">
        <f t="array" ref="BC28">INDEX(BB:BB,MIN(IF(ISNUMBER(BB28:BB224),ROW(BB28:BB224),"")))</f>
        <v>5.6</v>
      </c>
      <c r="BD28" s="12">
        <f>IF('Données projet'!$A$88&gt;35,BD27+BC28-BL27,IF(A28&lt;'Données projet'!$A$88,$BA$205^A28,IF(A28='Données projet'!$A$88,'Données projet'!$B$88,BD27+BC28-BL27)))</f>
        <v>70</v>
      </c>
      <c r="BE28" s="13">
        <f>BD28*VLOOKUP('Données projet'!$B$11,Paramètres!$A$1:$I$89,3,0)*VLOOKUP('Données projet'!$B$11,Paramètres!$A$1:$I$89,5,0)</f>
        <v>66.611999999999995</v>
      </c>
      <c r="BF28" s="13">
        <f t="shared" si="37"/>
        <v>18.829683939536395</v>
      </c>
      <c r="BG28" s="20">
        <f t="shared" si="7"/>
        <v>148.81093286135922</v>
      </c>
      <c r="BH28" s="59">
        <f t="shared" si="8"/>
        <v>436.03315508358145</v>
      </c>
      <c r="BI28" s="59">
        <f ca="1">AVERAGE(OFFSET($BH$3,0,0,'Données projet'!$E$11+1,1))-AVERAGE(OFFSET($H$3,0,0,'Données projet'!$E$11+1,1))</f>
        <v>291.17074241052887</v>
      </c>
      <c r="BJ28" s="59">
        <f t="shared" si="38"/>
        <v>241.18285512887638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103</v>
      </c>
      <c r="BW28" s="12">
        <f>VLOOKUP(A28,'Données projet'!$A$113:$I$133,9,0)</f>
        <v>6</v>
      </c>
      <c r="BX28" s="12">
        <f t="array" ref="BX28">INDEX(BW:BW,MIN(IF(ISNUMBER(BW28:BW224),ROW(BW28:BW224),"")))</f>
        <v>6</v>
      </c>
      <c r="BY28" s="12">
        <f>IF('Données projet'!$A$114&gt;35,BY27+BX28-CG27,IF(A28&lt;'Données projet'!$A$114,$BV$205^A28,IF(A28='Données projet'!$A$114,'Données projet'!$B$114,BY27+BX28-CG27)))</f>
        <v>103</v>
      </c>
      <c r="BZ28" s="13">
        <f>BY28*VLOOKUP('Données projet'!$B$12,Paramètres!$A$1:$I$89,3,0)*VLOOKUP('Données projet'!$B$12,Paramètres!$A$1:$I$89,5,0)</f>
        <v>86.767200000000017</v>
      </c>
      <c r="CA28" s="13">
        <f t="shared" si="39"/>
        <v>23.783899326718451</v>
      </c>
      <c r="CB28" s="20">
        <f t="shared" si="10"/>
        <v>192.54316466070134</v>
      </c>
      <c r="CC28" s="59">
        <f t="shared" si="11"/>
        <v>479.76538688292356</v>
      </c>
      <c r="CD28" s="59">
        <f ca="1">AVERAGE(OFFSET($CC$3,0,0,'Données projet'!$E$12+1,1))-AVERAGE(OFFSET($H$3,0,0,'Données projet'!$E$12+1,1))</f>
        <v>429.61977776013185</v>
      </c>
      <c r="CE28" s="59">
        <f t="shared" si="40"/>
        <v>261.95434270986385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115</v>
      </c>
      <c r="CR28" s="12">
        <f>VLOOKUP(A28,'Données projet'!$A$139:$I$159,9,0)</f>
        <v>7</v>
      </c>
      <c r="CS28" s="12">
        <f t="array" ref="CS28">INDEX(CR:CR,MIN(IF(ISNUMBER(CR28:CR224),ROW(CR28:CR224),"")))</f>
        <v>7</v>
      </c>
      <c r="CT28" s="12">
        <f>IF('Données projet'!$A$140&gt;35,CT27+CS28-DB27,IF(A28&lt;'Données projet'!$A$140,$CQ$205^A28,IF(A28='Données projet'!$A$140,'Données projet'!$B$140,CT27+CS28-DB27)))</f>
        <v>115</v>
      </c>
      <c r="CU28" s="17">
        <f>CT28*VLOOKUP('Données projet'!$B$13,Paramètres!$A$1:$I$89,3,0)*VLOOKUP('Données projet'!$B$13,Paramètres!$A$1:$I$89,5,0)</f>
        <v>75.347999999999999</v>
      </c>
      <c r="CV28" s="13">
        <f t="shared" si="41"/>
        <v>20.99581051771704</v>
      </c>
      <c r="CW28" s="20">
        <f t="shared" si="13"/>
        <v>167.79880331835713</v>
      </c>
      <c r="CX28" s="59">
        <f t="shared" si="14"/>
        <v>455.02102554057933</v>
      </c>
      <c r="CY28" s="59">
        <f ca="1">AVERAGE(OFFSET($CX$3,0,0,'Données projet'!$E$13+1,1))-AVERAGE(OFFSET($H$3,0,0,'Données projet'!$E$13+1,1))</f>
        <v>255.09913504736693</v>
      </c>
      <c r="CZ28" s="59">
        <f t="shared" si="42"/>
        <v>248.42617382406644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70</v>
      </c>
      <c r="DM28" s="12">
        <f>VLOOKUP(A28,'Données projet'!$A$165:$I$185,9,0)</f>
        <v>5.6</v>
      </c>
      <c r="DN28" s="12">
        <f t="array" ref="DN28">INDEX(DM:DM,MIN(IF(ISNUMBER(DM28:DM224),ROW(DM28:DM224),"")))</f>
        <v>5.6</v>
      </c>
      <c r="DO28" s="12">
        <f>IF('Données projet'!$A$166&gt;35,DO27+DN28-DW27,IF(A28&lt;'Données projet'!$A$166,$DL$205^A28,IF(A28='Données projet'!$A$166,'Données projet'!$B$166,DO27+DN28-DW27)))</f>
        <v>70</v>
      </c>
      <c r="DP28" s="17">
        <f>DO28*VLOOKUP('Données projet'!$B$14,Paramètres!$A$1:$I$89,3,0)*VLOOKUP('Données projet'!$B$14,Paramètres!$A$1:$I$89,5,0)</f>
        <v>79.716000000000008</v>
      </c>
      <c r="DQ28" s="13">
        <f t="shared" si="43"/>
        <v>22.067730286351054</v>
      </c>
      <c r="DR28" s="20">
        <f t="shared" si="16"/>
        <v>177.27333024872806</v>
      </c>
      <c r="DS28" s="59">
        <f t="shared" si="17"/>
        <v>464.49555247095032</v>
      </c>
      <c r="DT28" s="59">
        <f ca="1">AVERAGE(OFFSET($DS$3,0,0,'Données projet'!$E$14+1,1))-AVERAGE(OFFSET($H$3,0,0,'Données projet'!$E$14+1,1))</f>
        <v>459.67331926893809</v>
      </c>
      <c r="DU28" s="59">
        <f t="shared" si="44"/>
        <v>280.33242658375497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158.38</v>
      </c>
      <c r="EH28" s="12">
        <f>VLOOKUP(A28,'Données projet'!$A$191:$I$211,9,0)</f>
        <v>13.081999999999999</v>
      </c>
      <c r="EI28" s="12">
        <f t="array" ref="EI28">INDEX(EH:EH,MIN(IF(ISNUMBER(EH28:EH224),ROW(EH28:EH224),"")))</f>
        <v>13.081999999999999</v>
      </c>
      <c r="EJ28" s="12">
        <f>IF('Données projet'!$A$192&gt;35,EJ27+EI28-ER27,IF(A28&lt;'Données projet'!$A$192,$EG$205^A28,IF(A28='Données projet'!$A$192,'Données projet'!$B$192,EJ27+EI28-ER27)))</f>
        <v>158.38</v>
      </c>
      <c r="EK28" s="17">
        <f>EJ28*VLOOKUP('Données projet'!$B$15,Paramètres!$A$1:$I$89,3,0)*VLOOKUP('Données projet'!$B$15,Paramètres!$A$1:$I$89,5,0)</f>
        <v>94.711240000000004</v>
      </c>
      <c r="EL28" s="13">
        <f t="shared" si="45"/>
        <v>25.698066596476011</v>
      </c>
      <c r="EM28" s="20">
        <f t="shared" si="19"/>
        <v>209.71287565552905</v>
      </c>
      <c r="EN28" s="59">
        <f t="shared" si="20"/>
        <v>496.93509787775128</v>
      </c>
      <c r="EO28" s="59">
        <f ca="1">AVERAGE(OFFSET($EN$3,0,0,'Données projet'!$E$15+1,1))-AVERAGE(OFFSET($H$3,0,0,'Données projet'!$E$15+1,1))</f>
        <v>264.08053957457469</v>
      </c>
      <c r="EP28" s="59">
        <f t="shared" si="46"/>
        <v>284.83300065761051</v>
      </c>
      <c r="EQ28" s="15">
        <f>IF(ISNA(VLOOKUP(A28,'Données projet'!$A$191:$I$211,3,0)),0,VLOOKUP(A28,'Données projet'!$A$191:$I$211,3,0))</f>
        <v>2</v>
      </c>
      <c r="ER28" s="15">
        <f>IF(ISNA(VLOOKUP(A28,'Données projet'!$A$191:$I$211,4,0)),0,VLOOKUP(A28,'Données projet'!$A$191:$I$211,4,0))</f>
        <v>25.64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0.25200000000000006</v>
      </c>
      <c r="EU28" s="16">
        <f>IF(ISNA(VLOOKUP(A28,'Données projet'!$A$191:$I$211,7,0)),0%,VLOOKUP(A28,'Données projet'!$A$191:$I$211,7,0))</f>
        <v>0.44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10.194860647329872</v>
      </c>
      <c r="EX28" s="21">
        <f>EXP(-LN(2)/2)*EX27+(1-EXP(-LN(2)/2))/(LN(2)/2)*ER28*EU28*VLOOKUP('Données projet'!$B$15,Paramètres!$A$1:$I$89,3,0)*0.475*44/12</f>
        <v>9.1847054126892225</v>
      </c>
      <c r="EY28" s="22">
        <f t="shared" si="21"/>
        <v>19.379566060019094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5.666666666666667</v>
      </c>
      <c r="FE28" s="12">
        <f>IF('Données projet'!$A$218&gt;35,FE27+FD28-FM27,IF(A28&lt;'Données projet'!$A$218,$FB$205^A28,IF(A28='Données projet'!$A$218,'Données projet'!$B$218,FE27+FD28-FM27)))</f>
        <v>72.228306862868891</v>
      </c>
      <c r="FF28" s="17">
        <f>FE28*VLOOKUP('Données projet'!$B$16,Paramètres!$A$1:$I$89,3,0)*VLOOKUP('Données projet'!$B$16,Paramètres!$A$1:$I$89,5,0)</f>
        <v>33.802847611822642</v>
      </c>
      <c r="FG28" s="13">
        <f t="shared" si="47"/>
        <v>10.340348827492802</v>
      </c>
      <c r="FH28" s="20">
        <f t="shared" si="22"/>
        <v>76.882733798474405</v>
      </c>
      <c r="FI28" s="59">
        <f t="shared" si="23"/>
        <v>364.10495602069665</v>
      </c>
      <c r="FJ28" s="59">
        <f ca="1">AVERAGE(OFFSET($FI$3,0,0,'Données projet'!$E$16+1,1))-AVERAGE(OFFSET($H$3,0,0,'Données projet'!$E$16+1,1))</f>
        <v>166.27444639635013</v>
      </c>
      <c r="FK28" s="59">
        <f t="shared" si="48"/>
        <v>213.60182977243113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3.6</v>
      </c>
      <c r="N29" s="13">
        <f>IF('Données projet'!$A$36&gt;35,N28+M29-V28,IF(A29&lt;'Données projet'!$A$36,$K$205^A29,IF(A29='Données projet'!$A$36,'Données projet'!$B$36,N28+M29-V28)))</f>
        <v>106.6</v>
      </c>
      <c r="O29" s="13">
        <f>N29*VLOOKUP('Données projet'!$B$9,Paramètres!$A$1:$I$89,3,0)*VLOOKUP('Données projet'!$B$9,Paramètres!$A$1:$I$89,5,0)</f>
        <v>96.451679999999996</v>
      </c>
      <c r="P29" s="13">
        <f t="shared" si="33"/>
        <v>26.114890017542621</v>
      </c>
      <c r="Q29" s="20">
        <f t="shared" si="2"/>
        <v>213.47010944722004</v>
      </c>
      <c r="R29" s="59">
        <f t="shared" si="0"/>
        <v>501.91455389166447</v>
      </c>
      <c r="S29" s="59">
        <f ca="1">AVERAGE(OFFSET($R$3,0,0,'Données projet'!$E$9+1,1))-AVERAGE(OFFSET($H$3,0,0,'Données projet'!$E$9+1,1))</f>
        <v>458.37755197712164</v>
      </c>
      <c r="T29" s="59">
        <f t="shared" si="34"/>
        <v>278.21741231699917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</v>
      </c>
      <c r="AI29" s="13">
        <f>IF('Données projet'!$A$62&gt;35,AI28+AH29-AQ28,IF(A29&lt;'Données projet'!$A$62,$AF$205^A29,IF(A29='Données projet'!$A$62,'Données projet'!$B$62,AI28+AH29-AQ28)))</f>
        <v>106.6</v>
      </c>
      <c r="AJ29" s="13">
        <f>AI29*VLOOKUP('Données projet'!$B$10,Paramètres!$A$1:$I$89,3,0)*VLOOKUP('Données projet'!$B$10,Paramètres!$A$1:$I$89,5,0)</f>
        <v>108.0924</v>
      </c>
      <c r="AK29" s="13">
        <f t="shared" si="35"/>
        <v>28.881082556732348</v>
      </c>
      <c r="AL29" s="20">
        <f t="shared" si="4"/>
        <v>238.56214878630877</v>
      </c>
      <c r="AM29" s="59">
        <f t="shared" si="5"/>
        <v>527.0065932307532</v>
      </c>
      <c r="AN29" s="59">
        <f ca="1">AVERAGE(OFFSET($AM$3,0,0,'Données projet'!$E$10+1,1))-AVERAGE(OFFSET($H$3,0,0,'Données projet'!$E$10+1,1))</f>
        <v>508.60701013958447</v>
      </c>
      <c r="AO29" s="59">
        <f t="shared" si="36"/>
        <v>306.61893266146654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5.4</v>
      </c>
      <c r="BD29" s="12">
        <f>IF('Données projet'!$A$88&gt;35,BD28+BC29-BL28,IF(A29&lt;'Données projet'!$A$88,$BA$205^A29,IF(A29='Données projet'!$A$88,'Données projet'!$B$88,BD28+BC29-BL28)))</f>
        <v>75.400000000000006</v>
      </c>
      <c r="BE29" s="13">
        <f>BD29*VLOOKUP('Données projet'!$B$11,Paramètres!$A$1:$I$89,3,0)*VLOOKUP('Données projet'!$B$11,Paramètres!$A$1:$I$89,5,0)</f>
        <v>71.750640000000004</v>
      </c>
      <c r="BF29" s="13">
        <f t="shared" si="37"/>
        <v>20.107576209927593</v>
      </c>
      <c r="BG29" s="20">
        <f t="shared" si="7"/>
        <v>159.98639323229057</v>
      </c>
      <c r="BH29" s="59">
        <f t="shared" si="8"/>
        <v>448.430837676735</v>
      </c>
      <c r="BI29" s="59">
        <f ca="1">AVERAGE(OFFSET($BH$3,0,0,'Données projet'!$E$11+1,1))-AVERAGE(OFFSET($H$3,0,0,'Données projet'!$E$11+1,1))</f>
        <v>291.17074241052887</v>
      </c>
      <c r="BJ29" s="59">
        <f t="shared" si="38"/>
        <v>241.18285512887638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3.6</v>
      </c>
      <c r="BY29" s="12">
        <f>IF('Données projet'!$A$114&gt;35,BY28+BX29-CG28,IF(A29&lt;'Données projet'!$A$114,$BV$205^A29,IF(A29='Données projet'!$A$114,'Données projet'!$B$114,BY28+BX29-CG28)))</f>
        <v>106.6</v>
      </c>
      <c r="BZ29" s="13">
        <f>BY29*VLOOKUP('Données projet'!$B$12,Paramètres!$A$1:$I$89,3,0)*VLOOKUP('Données projet'!$B$12,Paramètres!$A$1:$I$89,5,0)</f>
        <v>89.799840000000003</v>
      </c>
      <c r="CA29" s="13">
        <f t="shared" si="39"/>
        <v>24.516944968171948</v>
      </c>
      <c r="CB29" s="20">
        <f t="shared" si="10"/>
        <v>199.10173381956614</v>
      </c>
      <c r="CC29" s="59">
        <f t="shared" si="11"/>
        <v>487.54617826401056</v>
      </c>
      <c r="CD29" s="59">
        <f ca="1">AVERAGE(OFFSET($CC$3,0,0,'Données projet'!$E$12+1,1))-AVERAGE(OFFSET($H$3,0,0,'Données projet'!$E$12+1,1))</f>
        <v>429.61977776013185</v>
      </c>
      <c r="CE29" s="59">
        <f t="shared" si="40"/>
        <v>261.95434270986385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6.2</v>
      </c>
      <c r="CT29" s="12">
        <f>IF('Données projet'!$A$140&gt;35,CT28+CS29-DB28,IF(A29&lt;'Données projet'!$A$140,$CQ$205^A29,IF(A29='Données projet'!$A$140,'Données projet'!$B$140,CT28+CS29-DB28)))</f>
        <v>121.2</v>
      </c>
      <c r="CU29" s="17">
        <f>CT29*VLOOKUP('Données projet'!$B$13,Paramètres!$A$1:$I$89,3,0)*VLOOKUP('Données projet'!$B$13,Paramètres!$A$1:$I$89,5,0)</f>
        <v>79.410240000000002</v>
      </c>
      <c r="CV29" s="13">
        <f t="shared" si="41"/>
        <v>21.992922703477248</v>
      </c>
      <c r="CW29" s="20">
        <f t="shared" si="13"/>
        <v>176.61050837522285</v>
      </c>
      <c r="CX29" s="59">
        <f t="shared" si="14"/>
        <v>465.05495281966728</v>
      </c>
      <c r="CY29" s="59">
        <f ca="1">AVERAGE(OFFSET($CX$3,0,0,'Données projet'!$E$13+1,1))-AVERAGE(OFFSET($H$3,0,0,'Données projet'!$E$13+1,1))</f>
        <v>255.09913504736693</v>
      </c>
      <c r="CZ29" s="59">
        <f t="shared" si="42"/>
        <v>248.42617382406644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5.4</v>
      </c>
      <c r="DO29" s="12">
        <f>IF('Données projet'!$A$166&gt;35,DO28+DN29-DW28,IF(A29&lt;'Données projet'!$A$166,$DL$205^A29,IF(A29='Données projet'!$A$166,'Données projet'!$B$166,DO28+DN29-DW28)))</f>
        <v>75.400000000000006</v>
      </c>
      <c r="DP29" s="17">
        <f>DO29*VLOOKUP('Données projet'!$B$14,Paramètres!$A$1:$I$89,3,0)*VLOOKUP('Données projet'!$B$14,Paramètres!$A$1:$I$89,5,0)</f>
        <v>85.865520000000004</v>
      </c>
      <c r="DQ29" s="13">
        <f t="shared" si="43"/>
        <v>23.565375283928201</v>
      </c>
      <c r="DR29" s="20">
        <f t="shared" si="16"/>
        <v>190.59214261950831</v>
      </c>
      <c r="DS29" s="59">
        <f t="shared" si="17"/>
        <v>479.03658706395277</v>
      </c>
      <c r="DT29" s="59">
        <f ca="1">AVERAGE(OFFSET($DS$3,0,0,'Données projet'!$E$14+1,1))-AVERAGE(OFFSET($H$3,0,0,'Données projet'!$E$14+1,1))</f>
        <v>459.67331926893809</v>
      </c>
      <c r="DU29" s="59">
        <f t="shared" si="44"/>
        <v>280.33242658375497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11.095999999999998</v>
      </c>
      <c r="EJ29" s="12">
        <f>IF('Données projet'!$A$192&gt;35,EJ28+EI29-ER28,IF(A29&lt;'Données projet'!$A$192,$EG$205^A29,IF(A29='Données projet'!$A$192,'Données projet'!$B$192,EJ28+EI29-ER28)))</f>
        <v>143.83600000000001</v>
      </c>
      <c r="EK29" s="17">
        <f>EJ29*VLOOKUP('Données projet'!$B$15,Paramètres!$A$1:$I$89,3,0)*VLOOKUP('Données projet'!$B$15,Paramètres!$A$1:$I$89,5,0)</f>
        <v>86.013928000000021</v>
      </c>
      <c r="EL29" s="13">
        <f t="shared" si="45"/>
        <v>23.601360566324171</v>
      </c>
      <c r="EM29" s="20">
        <f t="shared" si="19"/>
        <v>190.91329425301464</v>
      </c>
      <c r="EN29" s="59">
        <f t="shared" si="20"/>
        <v>479.35773869745913</v>
      </c>
      <c r="EO29" s="59">
        <f ca="1">AVERAGE(OFFSET($EN$3,0,0,'Données projet'!$E$15+1,1))-AVERAGE(OFFSET($H$3,0,0,'Données projet'!$E$15+1,1))</f>
        <v>264.08053957457469</v>
      </c>
      <c r="EP29" s="59">
        <f t="shared" si="46"/>
        <v>284.83300065761051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9.9160816468042157</v>
      </c>
      <c r="EX29" s="21">
        <f>EXP(-LN(2)/2)*EX28+(1-EXP(-LN(2)/2))/(LN(2)/2)*ER29*EU29*VLOOKUP('Données projet'!$B$15,Paramètres!$A$1:$I$89,3,0)*0.475*44/12</f>
        <v>6.4945674805133375</v>
      </c>
      <c r="EY29" s="22">
        <f t="shared" si="21"/>
        <v>16.410649127317555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5.666666666666667</v>
      </c>
      <c r="FE29" s="12">
        <f>IF('Données projet'!$A$218&gt;35,FE28+FD29-FM28,IF(A29&lt;'Données projet'!$A$218,$FB$205^A29,IF(A29='Données projet'!$A$218,'Données projet'!$B$218,FE28+FD29-FM28)))</f>
        <v>85.714783368535649</v>
      </c>
      <c r="FF29" s="17">
        <f>FE29*VLOOKUP('Données projet'!$B$16,Paramètres!$A$1:$I$89,3,0)*VLOOKUP('Données projet'!$B$16,Paramètres!$A$1:$I$89,5,0)</f>
        <v>40.114518616474683</v>
      </c>
      <c r="FG29" s="13">
        <f t="shared" si="47"/>
        <v>12.028995026405015</v>
      </c>
      <c r="FH29" s="20">
        <f t="shared" si="22"/>
        <v>90.816619594682138</v>
      </c>
      <c r="FI29" s="59">
        <f t="shared" si="23"/>
        <v>379.26106403912661</v>
      </c>
      <c r="FJ29" s="59">
        <f ca="1">AVERAGE(OFFSET($FI$3,0,0,'Données projet'!$E$16+1,1))-AVERAGE(OFFSET($H$3,0,0,'Données projet'!$E$16+1,1))</f>
        <v>166.27444639635013</v>
      </c>
      <c r="FK29" s="59">
        <f t="shared" si="48"/>
        <v>213.60182977243113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3.6</v>
      </c>
      <c r="N30" s="13">
        <f>IF('Données projet'!$A$36&gt;35,N29+M30-V29,IF(A30&lt;'Données projet'!$A$36,$K$205^A30,IF(A30='Données projet'!$A$36,'Données projet'!$B$36,N29+M30-V29)))</f>
        <v>110.19999999999999</v>
      </c>
      <c r="O30" s="13">
        <f>N30*VLOOKUP('Données projet'!$B$9,Paramètres!$A$1:$I$89,3,0)*VLOOKUP('Données projet'!$B$9,Paramètres!$A$1:$I$89,5,0)</f>
        <v>99.70895999999999</v>
      </c>
      <c r="P30" s="13">
        <f t="shared" si="33"/>
        <v>26.892649524411862</v>
      </c>
      <c r="Q30" s="20">
        <f t="shared" si="2"/>
        <v>220.49780325501729</v>
      </c>
      <c r="R30" s="59">
        <f t="shared" si="0"/>
        <v>510.16446992168397</v>
      </c>
      <c r="S30" s="59">
        <f ca="1">AVERAGE(OFFSET($R$3,0,0,'Données projet'!$E$9+1,1))-AVERAGE(OFFSET($H$3,0,0,'Données projet'!$E$9+1,1))</f>
        <v>458.37755197712164</v>
      </c>
      <c r="T30" s="59">
        <f t="shared" si="34"/>
        <v>278.21741231699917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</v>
      </c>
      <c r="AI30" s="13">
        <f>IF('Données projet'!$A$62&gt;35,AI29+AH30-AQ29,IF(A30&lt;'Données projet'!$A$62,$AF$205^A30,IF(A30='Données projet'!$A$62,'Données projet'!$B$62,AI29+AH30-AQ29)))</f>
        <v>110.19999999999999</v>
      </c>
      <c r="AJ30" s="13">
        <f>AI30*VLOOKUP('Données projet'!$B$10,Paramètres!$A$1:$I$89,3,0)*VLOOKUP('Données projet'!$B$10,Paramètres!$A$1:$I$89,5,0)</f>
        <v>111.7428</v>
      </c>
      <c r="AK30" s="13">
        <f t="shared" si="35"/>
        <v>29.741225429709573</v>
      </c>
      <c r="AL30" s="20">
        <f t="shared" si="4"/>
        <v>246.4180109567441</v>
      </c>
      <c r="AM30" s="59">
        <f t="shared" si="5"/>
        <v>536.08467762341081</v>
      </c>
      <c r="AN30" s="59">
        <f ca="1">AVERAGE(OFFSET($AM$3,0,0,'Données projet'!$E$10+1,1))-AVERAGE(OFFSET($H$3,0,0,'Données projet'!$E$10+1,1))</f>
        <v>508.60701013958447</v>
      </c>
      <c r="AO30" s="59">
        <f t="shared" si="36"/>
        <v>306.61893266146654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5.4</v>
      </c>
      <c r="BD30" s="12">
        <f>IF('Données projet'!$A$88&gt;35,BD29+BC30-BL29,IF(A30&lt;'Données projet'!$A$88,$BA$205^A30,IF(A30='Données projet'!$A$88,'Données projet'!$B$88,BD29+BC30-BL29)))</f>
        <v>80.800000000000011</v>
      </c>
      <c r="BE30" s="13">
        <f>BD30*VLOOKUP('Données projet'!$B$11,Paramètres!$A$1:$I$89,3,0)*VLOOKUP('Données projet'!$B$11,Paramètres!$A$1:$I$89,5,0)</f>
        <v>76.889280000000014</v>
      </c>
      <c r="BF30" s="13">
        <f t="shared" si="37"/>
        <v>21.3748502393221</v>
      </c>
      <c r="BG30" s="20">
        <f t="shared" si="7"/>
        <v>171.14336016681935</v>
      </c>
      <c r="BH30" s="59">
        <f t="shared" si="8"/>
        <v>460.81002683348606</v>
      </c>
      <c r="BI30" s="59">
        <f ca="1">AVERAGE(OFFSET($BH$3,0,0,'Données projet'!$E$11+1,1))-AVERAGE(OFFSET($H$3,0,0,'Données projet'!$E$11+1,1))</f>
        <v>291.17074241052887</v>
      </c>
      <c r="BJ30" s="59">
        <f t="shared" si="38"/>
        <v>241.18285512887638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3.6</v>
      </c>
      <c r="BY30" s="12">
        <f>IF('Données projet'!$A$114&gt;35,BY29+BX30-CG29,IF(A30&lt;'Données projet'!$A$114,$BV$205^A30,IF(A30='Données projet'!$A$114,'Données projet'!$B$114,BY29+BX30-CG29)))</f>
        <v>110.19999999999999</v>
      </c>
      <c r="BZ30" s="13">
        <f>BY30*VLOOKUP('Données projet'!$B$12,Paramètres!$A$1:$I$89,3,0)*VLOOKUP('Données projet'!$B$12,Paramètres!$A$1:$I$89,5,0)</f>
        <v>92.83247999999999</v>
      </c>
      <c r="CA30" s="13">
        <f t="shared" si="39"/>
        <v>25.247114117480113</v>
      </c>
      <c r="CB30" s="20">
        <f t="shared" si="10"/>
        <v>205.6552930879445</v>
      </c>
      <c r="CC30" s="59">
        <f t="shared" si="11"/>
        <v>495.32195975461116</v>
      </c>
      <c r="CD30" s="59">
        <f ca="1">AVERAGE(OFFSET($CC$3,0,0,'Données projet'!$E$12+1,1))-AVERAGE(OFFSET($H$3,0,0,'Données projet'!$E$12+1,1))</f>
        <v>429.61977776013185</v>
      </c>
      <c r="CE30" s="59">
        <f t="shared" si="40"/>
        <v>261.95434270986385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6.2</v>
      </c>
      <c r="CT30" s="12">
        <f>IF('Données projet'!$A$140&gt;35,CT29+CS30-DB29,IF(A30&lt;'Données projet'!$A$140,$CQ$205^A30,IF(A30='Données projet'!$A$140,'Données projet'!$B$140,CT29+CS30-DB29)))</f>
        <v>127.4</v>
      </c>
      <c r="CU30" s="17">
        <f>CT30*VLOOKUP('Données projet'!$B$13,Paramètres!$A$1:$I$89,3,0)*VLOOKUP('Données projet'!$B$13,Paramètres!$A$1:$I$89,5,0)</f>
        <v>83.472480000000004</v>
      </c>
      <c r="CV30" s="13">
        <f t="shared" si="41"/>
        <v>22.984112543787965</v>
      </c>
      <c r="CW30" s="20">
        <f t="shared" si="13"/>
        <v>185.41189868043068</v>
      </c>
      <c r="CX30" s="59">
        <f t="shared" si="14"/>
        <v>475.07856534709737</v>
      </c>
      <c r="CY30" s="59">
        <f ca="1">AVERAGE(OFFSET($CX$3,0,0,'Données projet'!$E$13+1,1))-AVERAGE(OFFSET($H$3,0,0,'Données projet'!$E$13+1,1))</f>
        <v>255.09913504736693</v>
      </c>
      <c r="CZ30" s="59">
        <f t="shared" si="42"/>
        <v>248.42617382406644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5.4</v>
      </c>
      <c r="DO30" s="12">
        <f>IF('Données projet'!$A$166&gt;35,DO29+DN30-DW29,IF(A30&lt;'Données projet'!$A$166,$DL$205^A30,IF(A30='Données projet'!$A$166,'Données projet'!$B$166,DO29+DN30-DW29)))</f>
        <v>80.800000000000011</v>
      </c>
      <c r="DP30" s="17">
        <f>DO30*VLOOKUP('Données projet'!$B$14,Paramètres!$A$1:$I$89,3,0)*VLOOKUP('Données projet'!$B$14,Paramètres!$A$1:$I$89,5,0)</f>
        <v>92.015040000000013</v>
      </c>
      <c r="DQ30" s="13">
        <f t="shared" si="43"/>
        <v>25.050576074837696</v>
      </c>
      <c r="DR30" s="20">
        <f t="shared" si="16"/>
        <v>203.88928133034233</v>
      </c>
      <c r="DS30" s="59">
        <f t="shared" si="17"/>
        <v>493.55594799700901</v>
      </c>
      <c r="DT30" s="59">
        <f ca="1">AVERAGE(OFFSET($DS$3,0,0,'Données projet'!$E$14+1,1))-AVERAGE(OFFSET($H$3,0,0,'Données projet'!$E$14+1,1))</f>
        <v>459.67331926893809</v>
      </c>
      <c r="DU30" s="59">
        <f t="shared" si="44"/>
        <v>280.33242658375497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11.095999999999998</v>
      </c>
      <c r="EJ30" s="12">
        <f>IF('Données projet'!$A$192&gt;35,EJ29+EI30-ER29,IF(A30&lt;'Données projet'!$A$192,$EG$205^A30,IF(A30='Données projet'!$A$192,'Données projet'!$B$192,EJ29+EI30-ER29)))</f>
        <v>154.93200000000002</v>
      </c>
      <c r="EK30" s="17">
        <f>EJ30*VLOOKUP('Données projet'!$B$15,Paramètres!$A$1:$I$89,3,0)*VLOOKUP('Données projet'!$B$15,Paramètres!$A$1:$I$89,5,0)</f>
        <v>92.649336000000019</v>
      </c>
      <c r="EL30" s="13">
        <f t="shared" si="45"/>
        <v>25.203098166223604</v>
      </c>
      <c r="EM30" s="20">
        <f t="shared" si="19"/>
        <v>205.25965617283944</v>
      </c>
      <c r="EN30" s="59">
        <f t="shared" si="20"/>
        <v>494.92632283950616</v>
      </c>
      <c r="EO30" s="59">
        <f ca="1">AVERAGE(OFFSET($EN$3,0,0,'Données projet'!$E$15+1,1))-AVERAGE(OFFSET($H$3,0,0,'Données projet'!$E$15+1,1))</f>
        <v>264.08053957457469</v>
      </c>
      <c r="EP30" s="59">
        <f t="shared" si="46"/>
        <v>284.83300065761051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9.6449258727082849</v>
      </c>
      <c r="EX30" s="21">
        <f>EXP(-LN(2)/2)*EX29+(1-EXP(-LN(2)/2))/(LN(2)/2)*ER30*EU30*VLOOKUP('Données projet'!$B$15,Paramètres!$A$1:$I$89,3,0)*0.475*44/12</f>
        <v>4.5923527063446121</v>
      </c>
      <c r="EY30" s="22">
        <f t="shared" si="21"/>
        <v>14.237278579052898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5.666666666666667</v>
      </c>
      <c r="FE30" s="12">
        <f>IF('Données projet'!$A$218&gt;35,FE29+FD30-FM29,IF(A30&lt;'Données projet'!$A$218,$FB$205^A30,IF(A30='Données projet'!$A$218,'Données projet'!$B$218,FE29+FD30-FM29)))</f>
        <v>101.71945608338704</v>
      </c>
      <c r="FF30" s="17">
        <f>FE30*VLOOKUP('Données projet'!$B$16,Paramètres!$A$1:$I$89,3,0)*VLOOKUP('Données projet'!$B$16,Paramètres!$A$1:$I$89,5,0)</f>
        <v>47.604705447025133</v>
      </c>
      <c r="FG30" s="13">
        <f t="shared" si="47"/>
        <v>13.993408129574757</v>
      </c>
      <c r="FH30" s="20">
        <f t="shared" si="22"/>
        <v>107.28338114591146</v>
      </c>
      <c r="FI30" s="59">
        <f t="shared" si="23"/>
        <v>396.95004781257813</v>
      </c>
      <c r="FJ30" s="59">
        <f ca="1">AVERAGE(OFFSET($FI$3,0,0,'Données projet'!$E$16+1,1))-AVERAGE(OFFSET($H$3,0,0,'Données projet'!$E$16+1,1))</f>
        <v>166.27444639635013</v>
      </c>
      <c r="FK30" s="59">
        <f t="shared" si="48"/>
        <v>213.60182977243113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3.6</v>
      </c>
      <c r="N31" s="13">
        <f>IF('Données projet'!$A$36&gt;35,N30+M31-V30,IF(A31&lt;'Données projet'!$A$36,$K$205^A31,IF(A31='Données projet'!$A$36,'Données projet'!$B$36,N30+M31-V30)))</f>
        <v>113.79999999999998</v>
      </c>
      <c r="O31" s="13">
        <f>N31*VLOOKUP('Données projet'!$B$9,Paramètres!$A$1:$I$89,3,0)*VLOOKUP('Données projet'!$B$9,Paramètres!$A$1:$I$89,5,0)</f>
        <v>102.96623999999998</v>
      </c>
      <c r="P31" s="13">
        <f t="shared" si="33"/>
        <v>27.6674566300326</v>
      </c>
      <c r="Q31" s="20">
        <f t="shared" si="2"/>
        <v>227.5203549639734</v>
      </c>
      <c r="R31" s="59">
        <f t="shared" si="0"/>
        <v>518.40924385286223</v>
      </c>
      <c r="S31" s="59">
        <f ca="1">AVERAGE(OFFSET($R$3,0,0,'Données projet'!$E$9+1,1))-AVERAGE(OFFSET($H$3,0,0,'Données projet'!$E$9+1,1))</f>
        <v>458.37755197712164</v>
      </c>
      <c r="T31" s="59">
        <f t="shared" si="34"/>
        <v>278.21741231699917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</v>
      </c>
      <c r="AI31" s="13">
        <f>IF('Données projet'!$A$62&gt;35,AI30+AH31-AQ30,IF(A31&lt;'Données projet'!$A$62,$AF$205^A31,IF(A31='Données projet'!$A$62,'Données projet'!$B$62,AI30+AH31-AQ30)))</f>
        <v>113.79999999999998</v>
      </c>
      <c r="AJ31" s="13">
        <f>AI31*VLOOKUP('Données projet'!$B$10,Paramètres!$A$1:$I$89,3,0)*VLOOKUP('Données projet'!$B$10,Paramètres!$A$1:$I$89,5,0)</f>
        <v>115.39319999999998</v>
      </c>
      <c r="AK31" s="13">
        <f t="shared" si="35"/>
        <v>30.598103171409555</v>
      </c>
      <c r="AL31" s="20">
        <f t="shared" si="4"/>
        <v>254.26818635687155</v>
      </c>
      <c r="AM31" s="59">
        <f t="shared" si="5"/>
        <v>545.15707524576044</v>
      </c>
      <c r="AN31" s="59">
        <f ca="1">AVERAGE(OFFSET($AM$3,0,0,'Données projet'!$E$10+1,1))-AVERAGE(OFFSET($H$3,0,0,'Données projet'!$E$10+1,1))</f>
        <v>508.60701013958447</v>
      </c>
      <c r="AO31" s="59">
        <f t="shared" si="36"/>
        <v>306.61893266146654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5.4</v>
      </c>
      <c r="BD31" s="12">
        <f>IF('Données projet'!$A$88&gt;35,BD30+BC31-BL30,IF(A31&lt;'Données projet'!$A$88,$BA$205^A31,IF(A31='Données projet'!$A$88,'Données projet'!$B$88,BD30+BC31-BL30)))</f>
        <v>86.200000000000017</v>
      </c>
      <c r="BE31" s="13">
        <f>BD31*VLOOKUP('Données projet'!$B$11,Paramètres!$A$1:$I$89,3,0)*VLOOKUP('Données projet'!$B$11,Paramètres!$A$1:$I$89,5,0)</f>
        <v>82.027920000000009</v>
      </c>
      <c r="BF31" s="13">
        <f t="shared" si="37"/>
        <v>22.632296406471401</v>
      </c>
      <c r="BG31" s="20">
        <f t="shared" si="7"/>
        <v>182.28321024127104</v>
      </c>
      <c r="BH31" s="59">
        <f t="shared" si="8"/>
        <v>473.17209913015989</v>
      </c>
      <c r="BI31" s="59">
        <f ca="1">AVERAGE(OFFSET($BH$3,0,0,'Données projet'!$E$11+1,1))-AVERAGE(OFFSET($H$3,0,0,'Données projet'!$E$11+1,1))</f>
        <v>291.17074241052887</v>
      </c>
      <c r="BJ31" s="59">
        <f t="shared" si="38"/>
        <v>241.18285512887638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3.6</v>
      </c>
      <c r="BY31" s="12">
        <f>IF('Données projet'!$A$114&gt;35,BY30+BX31-CG30,IF(A31&lt;'Données projet'!$A$114,$BV$205^A31,IF(A31='Données projet'!$A$114,'Données projet'!$B$114,BY30+BX31-CG30)))</f>
        <v>113.79999999999998</v>
      </c>
      <c r="BZ31" s="13">
        <f>BY31*VLOOKUP('Données projet'!$B$12,Paramètres!$A$1:$I$89,3,0)*VLOOKUP('Données projet'!$B$12,Paramètres!$A$1:$I$89,5,0)</f>
        <v>95.865120000000005</v>
      </c>
      <c r="CA31" s="13">
        <f t="shared" si="39"/>
        <v>25.974511520137845</v>
      </c>
      <c r="CB31" s="20">
        <f t="shared" si="10"/>
        <v>212.20402489757342</v>
      </c>
      <c r="CC31" s="59">
        <f t="shared" si="11"/>
        <v>503.0929137864623</v>
      </c>
      <c r="CD31" s="59">
        <f ca="1">AVERAGE(OFFSET($CC$3,0,0,'Données projet'!$E$12+1,1))-AVERAGE(OFFSET($H$3,0,0,'Données projet'!$E$12+1,1))</f>
        <v>429.61977776013185</v>
      </c>
      <c r="CE31" s="59">
        <f t="shared" si="40"/>
        <v>261.95434270986385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6.2</v>
      </c>
      <c r="CT31" s="12">
        <f>IF('Données projet'!$A$140&gt;35,CT30+CS31-DB30,IF(A31&lt;'Données projet'!$A$140,$CQ$205^A31,IF(A31='Données projet'!$A$140,'Données projet'!$B$140,CT30+CS31-DB30)))</f>
        <v>133.6</v>
      </c>
      <c r="CU31" s="17">
        <f>CT31*VLOOKUP('Données projet'!$B$13,Paramètres!$A$1:$I$89,3,0)*VLOOKUP('Données projet'!$B$13,Paramètres!$A$1:$I$89,5,0)</f>
        <v>87.534719999999993</v>
      </c>
      <c r="CV31" s="13">
        <f t="shared" si="41"/>
        <v>23.969701151253055</v>
      </c>
      <c r="CW31" s="20">
        <f t="shared" si="13"/>
        <v>194.20353350509905</v>
      </c>
      <c r="CX31" s="59">
        <f t="shared" si="14"/>
        <v>485.09242239398793</v>
      </c>
      <c r="CY31" s="59">
        <f ca="1">AVERAGE(OFFSET($CX$3,0,0,'Données projet'!$E$13+1,1))-AVERAGE(OFFSET($H$3,0,0,'Données projet'!$E$13+1,1))</f>
        <v>255.09913504736693</v>
      </c>
      <c r="CZ31" s="59">
        <f t="shared" si="42"/>
        <v>248.42617382406644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5.4</v>
      </c>
      <c r="DO31" s="12">
        <f>IF('Données projet'!$A$166&gt;35,DO30+DN31-DW30,IF(A31&lt;'Données projet'!$A$166,$DL$205^A31,IF(A31='Données projet'!$A$166,'Données projet'!$B$166,DO30+DN31-DW30)))</f>
        <v>86.200000000000017</v>
      </c>
      <c r="DP31" s="17">
        <f>DO31*VLOOKUP('Données projet'!$B$14,Paramètres!$A$1:$I$89,3,0)*VLOOKUP('Données projet'!$B$14,Paramètres!$A$1:$I$89,5,0)</f>
        <v>98.164560000000023</v>
      </c>
      <c r="DQ31" s="13">
        <f t="shared" si="43"/>
        <v>26.524258955302447</v>
      </c>
      <c r="DR31" s="20">
        <f t="shared" si="16"/>
        <v>217.16635968048513</v>
      </c>
      <c r="DS31" s="59">
        <f t="shared" si="17"/>
        <v>508.05524856937399</v>
      </c>
      <c r="DT31" s="59">
        <f ca="1">AVERAGE(OFFSET($DS$3,0,0,'Données projet'!$E$14+1,1))-AVERAGE(OFFSET($H$3,0,0,'Données projet'!$E$14+1,1))</f>
        <v>459.67331926893809</v>
      </c>
      <c r="DU31" s="59">
        <f t="shared" si="44"/>
        <v>280.33242658375497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11.095999999999998</v>
      </c>
      <c r="EJ31" s="12">
        <f>IF('Données projet'!$A$192&gt;35,EJ30+EI31-ER30,IF(A31&lt;'Données projet'!$A$192,$EG$205^A31,IF(A31='Données projet'!$A$192,'Données projet'!$B$192,EJ30+EI31-ER30)))</f>
        <v>166.02800000000002</v>
      </c>
      <c r="EK31" s="17">
        <f>EJ31*VLOOKUP('Données projet'!$B$15,Paramètres!$A$1:$I$89,3,0)*VLOOKUP('Données projet'!$B$15,Paramètres!$A$1:$I$89,5,0)</f>
        <v>99.284744000000018</v>
      </c>
      <c r="EL31" s="13">
        <f t="shared" si="45"/>
        <v>26.791526546077343</v>
      </c>
      <c r="EM31" s="20">
        <f t="shared" si="19"/>
        <v>219.58283786775141</v>
      </c>
      <c r="EN31" s="59">
        <f t="shared" si="20"/>
        <v>510.47172675664024</v>
      </c>
      <c r="EO31" s="59">
        <f ca="1">AVERAGE(OFFSET($EN$3,0,0,'Données projet'!$E$15+1,1))-AVERAGE(OFFSET($H$3,0,0,'Données projet'!$E$15+1,1))</f>
        <v>264.08053957457469</v>
      </c>
      <c r="EP31" s="59">
        <f t="shared" si="46"/>
        <v>284.83300065761051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9.3811848675144685</v>
      </c>
      <c r="EX31" s="21">
        <f>EXP(-LN(2)/2)*EX30+(1-EXP(-LN(2)/2))/(LN(2)/2)*ER31*EU31*VLOOKUP('Données projet'!$B$15,Paramètres!$A$1:$I$89,3,0)*0.475*44/12</f>
        <v>3.2472837402566692</v>
      </c>
      <c r="EY31" s="22">
        <f t="shared" si="21"/>
        <v>12.628468607771138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5.666666666666667</v>
      </c>
      <c r="FE31" s="12">
        <f>IF('Données projet'!$A$218&gt;35,FE30+FD31-FM30,IF(A31&lt;'Données projet'!$A$218,$FB$205^A31,IF(A31='Données projet'!$A$218,'Données projet'!$B$218,FE30+FD31-FM30)))</f>
        <v>120.71252284933438</v>
      </c>
      <c r="FF31" s="17">
        <f>FE31*VLOOKUP('Données projet'!$B$16,Paramètres!$A$1:$I$89,3,0)*VLOOKUP('Données projet'!$B$16,Paramètres!$A$1:$I$89,5,0)</f>
        <v>56.493460693488487</v>
      </c>
      <c r="FG31" s="13">
        <f t="shared" si="47"/>
        <v>16.278622665568623</v>
      </c>
      <c r="FH31" s="20">
        <f t="shared" si="22"/>
        <v>126.74471185035777</v>
      </c>
      <c r="FI31" s="59">
        <f t="shared" si="23"/>
        <v>417.63360073924662</v>
      </c>
      <c r="FJ31" s="59">
        <f ca="1">AVERAGE(OFFSET($FI$3,0,0,'Données projet'!$E$16+1,1))-AVERAGE(OFFSET($H$3,0,0,'Données projet'!$E$16+1,1))</f>
        <v>166.27444639635013</v>
      </c>
      <c r="FK31" s="59">
        <f t="shared" si="48"/>
        <v>213.60182977243113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3.6</v>
      </c>
      <c r="N32" s="13">
        <f>IF('Données projet'!$A$36&gt;35,N31+M32-V31,IF(A32&lt;'Données projet'!$A$36,$K$205^A32,IF(A32='Données projet'!$A$36,'Données projet'!$B$36,N31+M32-V31)))</f>
        <v>117.39999999999998</v>
      </c>
      <c r="O32" s="13">
        <f>N32*VLOOKUP('Données projet'!$B$9,Paramètres!$A$1:$I$89,3,0)*VLOOKUP('Données projet'!$B$9,Paramètres!$A$1:$I$89,5,0)</f>
        <v>106.22351999999998</v>
      </c>
      <c r="P32" s="13">
        <f t="shared" si="33"/>
        <v>28.439415446966855</v>
      </c>
      <c r="Q32" s="20">
        <f t="shared" si="2"/>
        <v>234.5379459034672</v>
      </c>
      <c r="R32" s="59">
        <f t="shared" si="0"/>
        <v>526.64905701457837</v>
      </c>
      <c r="S32" s="59">
        <f ca="1">AVERAGE(OFFSET($R$3,0,0,'Données projet'!$E$9+1,1))-AVERAGE(OFFSET($H$3,0,0,'Données projet'!$E$9+1,1))</f>
        <v>458.37755197712164</v>
      </c>
      <c r="T32" s="59">
        <f t="shared" si="34"/>
        <v>278.21741231699917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</v>
      </c>
      <c r="AI32" s="13">
        <f>IF('Données projet'!$A$62&gt;35,AI31+AH32-AQ31,IF(A32&lt;'Données projet'!$A$62,$AF$205^A32,IF(A32='Données projet'!$A$62,'Données projet'!$B$62,AI31+AH32-AQ31)))</f>
        <v>117.39999999999998</v>
      </c>
      <c r="AJ32" s="13">
        <f>AI32*VLOOKUP('Données projet'!$B$10,Paramètres!$A$1:$I$89,3,0)*VLOOKUP('Données projet'!$B$10,Paramètres!$A$1:$I$89,5,0)</f>
        <v>119.04359999999998</v>
      </c>
      <c r="AK32" s="13">
        <f t="shared" si="35"/>
        <v>31.451830922409044</v>
      </c>
      <c r="AL32" s="20">
        <f t="shared" si="4"/>
        <v>262.11287552319567</v>
      </c>
      <c r="AM32" s="59">
        <f t="shared" si="5"/>
        <v>554.22398663430681</v>
      </c>
      <c r="AN32" s="59">
        <f ca="1">AVERAGE(OFFSET($AM$3,0,0,'Données projet'!$E$10+1,1))-AVERAGE(OFFSET($H$3,0,0,'Données projet'!$E$10+1,1))</f>
        <v>508.60701013958447</v>
      </c>
      <c r="AO32" s="59">
        <f t="shared" si="36"/>
        <v>306.61893266146654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5.4</v>
      </c>
      <c r="BD32" s="12">
        <f>IF('Données projet'!$A$88&gt;35,BD31+BC32-BL31,IF(A32&lt;'Données projet'!$A$88,$BA$205^A32,IF(A32='Données projet'!$A$88,'Données projet'!$B$88,BD31+BC32-BL31)))</f>
        <v>91.600000000000023</v>
      </c>
      <c r="BE32" s="13">
        <f>BD32*VLOOKUP('Données projet'!$B$11,Paramètres!$A$1:$I$89,3,0)*VLOOKUP('Données projet'!$B$11,Paramètres!$A$1:$I$89,5,0)</f>
        <v>87.166560000000018</v>
      </c>
      <c r="BF32" s="13">
        <f t="shared" si="37"/>
        <v>23.880600466404793</v>
      </c>
      <c r="BG32" s="20">
        <f t="shared" si="7"/>
        <v>193.40713781232171</v>
      </c>
      <c r="BH32" s="59">
        <f t="shared" si="8"/>
        <v>485.51824892343285</v>
      </c>
      <c r="BI32" s="59">
        <f ca="1">AVERAGE(OFFSET($BH$3,0,0,'Données projet'!$E$11+1,1))-AVERAGE(OFFSET($H$3,0,0,'Données projet'!$E$11+1,1))</f>
        <v>291.17074241052887</v>
      </c>
      <c r="BJ32" s="59">
        <f t="shared" si="38"/>
        <v>241.18285512887638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3.6</v>
      </c>
      <c r="BY32" s="12">
        <f>IF('Données projet'!$A$114&gt;35,BY31+BX32-CG31,IF(A32&lt;'Données projet'!$A$114,$BV$205^A32,IF(A32='Données projet'!$A$114,'Données projet'!$B$114,BY31+BX32-CG31)))</f>
        <v>117.39999999999998</v>
      </c>
      <c r="BZ32" s="13">
        <f>BY32*VLOOKUP('Données projet'!$B$12,Paramètres!$A$1:$I$89,3,0)*VLOOKUP('Données projet'!$B$12,Paramètres!$A$1:$I$89,5,0)</f>
        <v>98.897759999999991</v>
      </c>
      <c r="CA32" s="13">
        <f t="shared" si="39"/>
        <v>26.699234918159362</v>
      </c>
      <c r="CB32" s="20">
        <f t="shared" si="10"/>
        <v>218.7480994824609</v>
      </c>
      <c r="CC32" s="59">
        <f t="shared" si="11"/>
        <v>510.85921059357202</v>
      </c>
      <c r="CD32" s="59">
        <f ca="1">AVERAGE(OFFSET($CC$3,0,0,'Données projet'!$E$12+1,1))-AVERAGE(OFFSET($H$3,0,0,'Données projet'!$E$12+1,1))</f>
        <v>429.61977776013185</v>
      </c>
      <c r="CE32" s="59">
        <f t="shared" si="40"/>
        <v>261.95434270986385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6.2</v>
      </c>
      <c r="CT32" s="12">
        <f>IF('Données projet'!$A$140&gt;35,CT31+CS32-DB31,IF(A32&lt;'Données projet'!$A$140,$CQ$205^A32,IF(A32='Données projet'!$A$140,'Données projet'!$B$140,CT31+CS32-DB31)))</f>
        <v>139.79999999999998</v>
      </c>
      <c r="CU32" s="17">
        <f>CT32*VLOOKUP('Données projet'!$B$13,Paramètres!$A$1:$I$89,3,0)*VLOOKUP('Données projet'!$B$13,Paramètres!$A$1:$I$89,5,0)</f>
        <v>91.596959999999996</v>
      </c>
      <c r="CV32" s="13">
        <f t="shared" si="41"/>
        <v>24.94997815020217</v>
      </c>
      <c r="CW32" s="20">
        <f t="shared" si="13"/>
        <v>202.98591727826874</v>
      </c>
      <c r="CX32" s="59">
        <f t="shared" si="14"/>
        <v>495.09702838937989</v>
      </c>
      <c r="CY32" s="59">
        <f ca="1">AVERAGE(OFFSET($CX$3,0,0,'Données projet'!$E$13+1,1))-AVERAGE(OFFSET($H$3,0,0,'Données projet'!$E$13+1,1))</f>
        <v>255.09913504736693</v>
      </c>
      <c r="CZ32" s="59">
        <f t="shared" si="42"/>
        <v>248.42617382406644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5.4</v>
      </c>
      <c r="DO32" s="12">
        <f>IF('Données projet'!$A$166&gt;35,DO31+DN32-DW31,IF(A32&lt;'Données projet'!$A$166,$DL$205^A32,IF(A32='Données projet'!$A$166,'Données projet'!$B$166,DO31+DN32-DW31)))</f>
        <v>91.600000000000023</v>
      </c>
      <c r="DP32" s="17">
        <f>DO32*VLOOKUP('Données projet'!$B$14,Paramètres!$A$1:$I$89,3,0)*VLOOKUP('Données projet'!$B$14,Paramètres!$A$1:$I$89,5,0)</f>
        <v>104.31408000000002</v>
      </c>
      <c r="DQ32" s="13">
        <f t="shared" si="43"/>
        <v>27.987227606206147</v>
      </c>
      <c r="DR32" s="20">
        <f t="shared" si="16"/>
        <v>230.42477741414237</v>
      </c>
      <c r="DS32" s="59">
        <f t="shared" si="17"/>
        <v>522.53588852525354</v>
      </c>
      <c r="DT32" s="59">
        <f ca="1">AVERAGE(OFFSET($DS$3,0,0,'Données projet'!$E$14+1,1))-AVERAGE(OFFSET($H$3,0,0,'Données projet'!$E$14+1,1))</f>
        <v>459.67331926893809</v>
      </c>
      <c r="DU32" s="59">
        <f t="shared" si="44"/>
        <v>280.33242658375497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11.095999999999998</v>
      </c>
      <c r="EJ32" s="12">
        <f>IF('Données projet'!$A$192&gt;35,EJ31+EI32-ER31,IF(A32&lt;'Données projet'!$A$192,$EG$205^A32,IF(A32='Données projet'!$A$192,'Données projet'!$B$192,EJ31+EI32-ER31)))</f>
        <v>177.12400000000002</v>
      </c>
      <c r="EK32" s="17">
        <f>EJ32*VLOOKUP('Données projet'!$B$15,Paramètres!$A$1:$I$89,3,0)*VLOOKUP('Données projet'!$B$15,Paramètres!$A$1:$I$89,5,0)</f>
        <v>105.92015200000003</v>
      </c>
      <c r="EL32" s="13">
        <f t="shared" si="45"/>
        <v>28.367636396375733</v>
      </c>
      <c r="EM32" s="20">
        <f t="shared" si="19"/>
        <v>233.8845647903544</v>
      </c>
      <c r="EN32" s="59">
        <f t="shared" si="20"/>
        <v>525.99567590146557</v>
      </c>
      <c r="EO32" s="59">
        <f ca="1">AVERAGE(OFFSET($EN$3,0,0,'Données projet'!$E$15+1,1))-AVERAGE(OFFSET($H$3,0,0,'Données projet'!$E$15+1,1))</f>
        <v>264.08053957457469</v>
      </c>
      <c r="EP32" s="59">
        <f t="shared" si="46"/>
        <v>284.83300065761051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9.1246558739772148</v>
      </c>
      <c r="EX32" s="21">
        <f>EXP(-LN(2)/2)*EX31+(1-EXP(-LN(2)/2))/(LN(2)/2)*ER32*EU32*VLOOKUP('Données projet'!$B$15,Paramètres!$A$1:$I$89,3,0)*0.475*44/12</f>
        <v>2.2961763531723065</v>
      </c>
      <c r="EY32" s="22">
        <f t="shared" si="21"/>
        <v>11.420832227149521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5.666666666666667</v>
      </c>
      <c r="FE32" s="12">
        <f>IF('Données projet'!$A$218&gt;35,FE31+FD32-FM31,IF(A32&lt;'Données projet'!$A$218,$FB$205^A32,IF(A32='Données projet'!$A$218,'Données projet'!$B$218,FE31+FD32-FM31)))</f>
        <v>143.25197689521377</v>
      </c>
      <c r="FF32" s="17">
        <f>FE32*VLOOKUP('Données projet'!$B$16,Paramètres!$A$1:$I$89,3,0)*VLOOKUP('Données projet'!$B$16,Paramètres!$A$1:$I$89,5,0)</f>
        <v>67.041925186960043</v>
      </c>
      <c r="FG32" s="13">
        <f t="shared" si="47"/>
        <v>18.93702759429323</v>
      </c>
      <c r="FH32" s="20">
        <f t="shared" si="22"/>
        <v>149.74667609401612</v>
      </c>
      <c r="FI32" s="59">
        <f t="shared" si="23"/>
        <v>441.85778720512724</v>
      </c>
      <c r="FJ32" s="59">
        <f ca="1">AVERAGE(OFFSET($FI$3,0,0,'Données projet'!$E$16+1,1))-AVERAGE(OFFSET($H$3,0,0,'Données projet'!$E$16+1,1))</f>
        <v>166.27444639635013</v>
      </c>
      <c r="FK32" s="59">
        <f t="shared" si="48"/>
        <v>213.60182977243113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3.6</v>
      </c>
      <c r="M33" s="12">
        <f t="array" ref="M33">INDEX(L:L,MIN(IF(ISNUMBER(L33:L229),ROW(L33:L229),"")))</f>
        <v>3.6</v>
      </c>
      <c r="N33" s="13">
        <f>IF('Données projet'!$A$36&gt;35,N32+M33-V32,IF(A33&lt;'Données projet'!$A$36,$K$205^A33,IF(A33='Données projet'!$A$36,'Données projet'!$B$36,N32+M33-V32)))</f>
        <v>120.99999999999997</v>
      </c>
      <c r="O33" s="13">
        <f>N33*VLOOKUP('Données projet'!$B$9,Paramètres!$A$1:$I$89,3,0)*VLOOKUP('Données projet'!$B$9,Paramètres!$A$1:$I$89,5,0)</f>
        <v>109.48079999999997</v>
      </c>
      <c r="P33" s="13">
        <f t="shared" si="33"/>
        <v>29.208623339903898</v>
      </c>
      <c r="Q33" s="20">
        <f t="shared" si="2"/>
        <v>241.55074565033257</v>
      </c>
      <c r="R33" s="59">
        <f t="shared" si="0"/>
        <v>534.88407898366586</v>
      </c>
      <c r="S33" s="59">
        <f ca="1">AVERAGE(OFFSET($R$3,0,0,'Données projet'!$E$9+1,1))-AVERAGE(OFFSET($H$3,0,0,'Données projet'!$E$9+1,1))</f>
        <v>458.37755197712164</v>
      </c>
      <c r="T33" s="59">
        <f t="shared" si="34"/>
        <v>278.21741231699917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3.6</v>
      </c>
      <c r="AH33" s="12">
        <f t="array" ref="AH33">INDEX(AG:AG,MIN(IF(ISNUMBER(AG33:AG229),ROW(AG33:AG229),"")))</f>
        <v>3.6</v>
      </c>
      <c r="AI33" s="13">
        <f>IF('Données projet'!$A$62&gt;35,AI32+AH33-AQ32,IF(A33&lt;'Données projet'!$A$62,$AF$205^A33,IF(A33='Données projet'!$A$62,'Données projet'!$B$62,AI32+AH33-AQ32)))</f>
        <v>120.99999999999997</v>
      </c>
      <c r="AJ33" s="13">
        <f>AI33*VLOOKUP('Données projet'!$B$10,Paramètres!$A$1:$I$89,3,0)*VLOOKUP('Données projet'!$B$10,Paramètres!$A$1:$I$89,5,0)</f>
        <v>122.69399999999997</v>
      </c>
      <c r="AK33" s="13">
        <f t="shared" si="35"/>
        <v>32.302516360650685</v>
      </c>
      <c r="AL33" s="20">
        <f t="shared" si="4"/>
        <v>269.95226599479992</v>
      </c>
      <c r="AM33" s="59">
        <f t="shared" si="5"/>
        <v>563.28559932813323</v>
      </c>
      <c r="AN33" s="59">
        <f ca="1">AVERAGE(OFFSET($AM$3,0,0,'Données projet'!$E$10+1,1))-AVERAGE(OFFSET($H$3,0,0,'Données projet'!$E$10+1,1))</f>
        <v>508.60701013958447</v>
      </c>
      <c r="AO33" s="59">
        <f t="shared" si="36"/>
        <v>306.61893266146654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97</v>
      </c>
      <c r="BB33" s="12">
        <f>VLOOKUP(A33,'Données projet'!$A$87:$I$107,9,0)</f>
        <v>5.4</v>
      </c>
      <c r="BC33" s="12">
        <f t="array" ref="BC33">INDEX(BB:BB,MIN(IF(ISNUMBER(BB33:BB229),ROW(BB33:BB229),"")))</f>
        <v>5.4</v>
      </c>
      <c r="BD33" s="12">
        <f>IF('Données projet'!$A$88&gt;35,BD32+BC33-BL32,IF(A33&lt;'Données projet'!$A$88,$BA$205^A33,IF(A33='Données projet'!$A$88,'Données projet'!$B$88,BD32+BC33-BL32)))</f>
        <v>97.000000000000028</v>
      </c>
      <c r="BE33" s="13">
        <f>BD33*VLOOKUP('Données projet'!$B$11,Paramètres!$A$1:$I$89,3,0)*VLOOKUP('Données projet'!$B$11,Paramètres!$A$1:$I$89,5,0)</f>
        <v>92.305200000000028</v>
      </c>
      <c r="BF33" s="13">
        <f t="shared" si="37"/>
        <v>25.12036275342183</v>
      </c>
      <c r="BG33" s="20">
        <f t="shared" si="7"/>
        <v>204.51618846220973</v>
      </c>
      <c r="BH33" s="59">
        <f t="shared" si="8"/>
        <v>497.84952179554307</v>
      </c>
      <c r="BI33" s="59">
        <f ca="1">AVERAGE(OFFSET($BH$3,0,0,'Données projet'!$E$11+1,1))-AVERAGE(OFFSET($H$3,0,0,'Données projet'!$E$11+1,1))</f>
        <v>291.17074241052887</v>
      </c>
      <c r="BJ33" s="59">
        <f t="shared" si="38"/>
        <v>241.18285512887638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121</v>
      </c>
      <c r="BW33" s="12">
        <f>VLOOKUP(A33,'Données projet'!$A$113:$I$133,9,0)</f>
        <v>3.6</v>
      </c>
      <c r="BX33" s="12">
        <f t="array" ref="BX33">INDEX(BW:BW,MIN(IF(ISNUMBER(BW33:BW229),ROW(BW33:BW229),"")))</f>
        <v>3.6</v>
      </c>
      <c r="BY33" s="12">
        <f>IF('Données projet'!$A$114&gt;35,BY32+BX33-CG32,IF(A33&lt;'Données projet'!$A$114,$BV$205^A33,IF(A33='Données projet'!$A$114,'Données projet'!$B$114,BY32+BX33-CG32)))</f>
        <v>120.99999999999997</v>
      </c>
      <c r="BZ33" s="13">
        <f>BY33*VLOOKUP('Données projet'!$B$12,Paramètres!$A$1:$I$89,3,0)*VLOOKUP('Données projet'!$B$12,Paramètres!$A$1:$I$89,5,0)</f>
        <v>101.93039999999999</v>
      </c>
      <c r="CA33" s="13">
        <f t="shared" si="39"/>
        <v>27.421375718582158</v>
      </c>
      <c r="CB33" s="20">
        <f t="shared" si="10"/>
        <v>225.28767604319728</v>
      </c>
      <c r="CC33" s="59">
        <f t="shared" si="11"/>
        <v>518.62100937653054</v>
      </c>
      <c r="CD33" s="59">
        <f ca="1">AVERAGE(OFFSET($CC$3,0,0,'Données projet'!$E$12+1,1))-AVERAGE(OFFSET($H$3,0,0,'Données projet'!$E$12+1,1))</f>
        <v>429.61977776013185</v>
      </c>
      <c r="CE33" s="59">
        <f t="shared" si="40"/>
        <v>261.95434270986385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146</v>
      </c>
      <c r="CR33" s="12">
        <f>VLOOKUP(A33,'Données projet'!$A$139:$I$159,9,0)</f>
        <v>6.2</v>
      </c>
      <c r="CS33" s="12">
        <f t="array" ref="CS33">INDEX(CR:CR,MIN(IF(ISNUMBER(CR33:CR229),ROW(CR33:CR229),"")))</f>
        <v>6.2</v>
      </c>
      <c r="CT33" s="12">
        <f>IF('Données projet'!$A$140&gt;35,CT32+CS33-DB32,IF(A33&lt;'Données projet'!$A$140,$CQ$205^A33,IF(A33='Données projet'!$A$140,'Données projet'!$B$140,CT32+CS33-DB32)))</f>
        <v>145.99999999999997</v>
      </c>
      <c r="CU33" s="17">
        <f>CT33*VLOOKUP('Données projet'!$B$13,Paramètres!$A$1:$I$89,3,0)*VLOOKUP('Données projet'!$B$13,Paramètres!$A$1:$I$89,5,0)</f>
        <v>95.659199999999984</v>
      </c>
      <c r="CV33" s="13">
        <f t="shared" si="41"/>
        <v>25.92520602338745</v>
      </c>
      <c r="CW33" s="20">
        <f t="shared" si="13"/>
        <v>211.75950715739978</v>
      </c>
      <c r="CX33" s="59">
        <f t="shared" si="14"/>
        <v>505.09284049073312</v>
      </c>
      <c r="CY33" s="59">
        <f ca="1">AVERAGE(OFFSET($CX$3,0,0,'Données projet'!$E$13+1,1))-AVERAGE(OFFSET($H$3,0,0,'Données projet'!$E$13+1,1))</f>
        <v>255.09913504736693</v>
      </c>
      <c r="CZ33" s="59">
        <f t="shared" si="42"/>
        <v>248.42617382406644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97</v>
      </c>
      <c r="DM33" s="12">
        <f>VLOOKUP(A33,'Données projet'!$A$165:$I$185,9,0)</f>
        <v>5.4</v>
      </c>
      <c r="DN33" s="12">
        <f t="array" ref="DN33">INDEX(DM:DM,MIN(IF(ISNUMBER(DM33:DM229),ROW(DM33:DM229),"")))</f>
        <v>5.4</v>
      </c>
      <c r="DO33" s="12">
        <f>IF('Données projet'!$A$166&gt;35,DO32+DN33-DW32,IF(A33&lt;'Données projet'!$A$166,$DL$205^A33,IF(A33='Données projet'!$A$166,'Données projet'!$B$166,DO32+DN33-DW32)))</f>
        <v>97.000000000000028</v>
      </c>
      <c r="DP33" s="17">
        <f>DO33*VLOOKUP('Données projet'!$B$14,Paramètres!$A$1:$I$89,3,0)*VLOOKUP('Données projet'!$B$14,Paramètres!$A$1:$I$89,5,0)</f>
        <v>110.46360000000003</v>
      </c>
      <c r="DQ33" s="13">
        <f t="shared" si="43"/>
        <v>29.440185598328203</v>
      </c>
      <c r="DR33" s="20">
        <f t="shared" si="16"/>
        <v>243.66575991708831</v>
      </c>
      <c r="DS33" s="59">
        <f t="shared" si="17"/>
        <v>536.99909325042165</v>
      </c>
      <c r="DT33" s="59">
        <f ca="1">AVERAGE(OFFSET($DS$3,0,0,'Données projet'!$E$14+1,1))-AVERAGE(OFFSET($H$3,0,0,'Données projet'!$E$14+1,1))</f>
        <v>459.67331926893809</v>
      </c>
      <c r="DU33" s="59">
        <f t="shared" si="44"/>
        <v>280.33242658375497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188.22</v>
      </c>
      <c r="EH33" s="12">
        <f>VLOOKUP(A33,'Données projet'!$A$191:$I$211,9,0)</f>
        <v>11.095999999999998</v>
      </c>
      <c r="EI33" s="12">
        <f t="array" ref="EI33">INDEX(EH:EH,MIN(IF(ISNUMBER(EH33:EH229),ROW(EH33:EH229),"")))</f>
        <v>11.095999999999998</v>
      </c>
      <c r="EJ33" s="12">
        <f>IF('Données projet'!$A$192&gt;35,EJ32+EI33-ER32,IF(A33&lt;'Données projet'!$A$192,$EG$205^A33,IF(A33='Données projet'!$A$192,'Données projet'!$B$192,EJ32+EI33-ER32)))</f>
        <v>188.22000000000003</v>
      </c>
      <c r="EK33" s="17">
        <f>EJ33*VLOOKUP('Données projet'!$B$15,Paramètres!$A$1:$I$89,3,0)*VLOOKUP('Données projet'!$B$15,Paramètres!$A$1:$I$89,5,0)</f>
        <v>112.55556000000001</v>
      </c>
      <c r="EL33" s="13">
        <f t="shared" si="45"/>
        <v>29.932287267527578</v>
      </c>
      <c r="EM33" s="20">
        <f t="shared" si="19"/>
        <v>248.16633399094391</v>
      </c>
      <c r="EN33" s="59">
        <f t="shared" si="20"/>
        <v>541.4996673242772</v>
      </c>
      <c r="EO33" s="59">
        <f ca="1">AVERAGE(OFFSET($EN$3,0,0,'Données projet'!$E$15+1,1))-AVERAGE(OFFSET($H$3,0,0,'Données projet'!$E$15+1,1))</f>
        <v>264.08053957457469</v>
      </c>
      <c r="EP33" s="59">
        <f t="shared" si="46"/>
        <v>284.83300065761051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31.46</v>
      </c>
      <c r="ES33" s="16">
        <f>IF(ISNA(VLOOKUP(A33,'Données projet'!$A$191:$I$211,5,0)),0%,VLOOKUP(A33,'Données projet'!$A$191:$I$211,5,0)*VLOOKUP('Données projet'!$B$15,Paramètres!$A$1:$I$89,7,0))</f>
        <v>9.0000000000000011E-2</v>
      </c>
      <c r="ET33" s="16">
        <f>IF(ISNA(VLOOKUP(A33,'Données projet'!$A$191:$I$211,6,0)),0%,VLOOKUP(A33,'Données projet'!$A$191:$I$211,6,0)*VLOOKUP('Données projet'!$B$15,Paramètres!$A$1:$I$89,7,0))</f>
        <v>0.20250000000000001</v>
      </c>
      <c r="EU33" s="16">
        <f>IF(ISNA(VLOOKUP(A33,'Données projet'!$A$191:$I$211,7,0)),0%,VLOOKUP(A33,'Données projet'!$A$191:$I$211,7,0))</f>
        <v>0.35</v>
      </c>
      <c r="EV33" s="21">
        <f>EXP(-LN(2)/35)*EV32+(1-EXP(-LN(2)/35))/(LN(2)/35)*ER33*ES33*VLOOKUP('Données projet'!$B$15,Paramètres!$A$1:$I$89,3,0)*0.475*44/12</f>
        <v>2.246108690280646</v>
      </c>
      <c r="EW33" s="21">
        <f>EXP(-LN(2)/25)*EW32+(1-EXP(-LN(2)/25))/(LN(2)/25)*Calculateur!ER33*Calculateur!ET33*VLOOKUP('Données projet'!$B$15,Paramètres!$A$1:$I$89,3,0)*0.475*44/12</f>
        <v>13.908987714456643</v>
      </c>
      <c r="EX33" s="21">
        <f>EXP(-LN(2)/2)*EX32+(1-EXP(-LN(2)/2))/(LN(2)/2)*ER33*EU33*VLOOKUP('Données projet'!$B$15,Paramètres!$A$1:$I$89,3,0)*0.475*44/12</f>
        <v>9.0789137473105548</v>
      </c>
      <c r="EY33" s="22">
        <f t="shared" si="21"/>
        <v>25.234010152047844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170</v>
      </c>
      <c r="FC33" s="12">
        <f>VLOOKUP(A33,'Données projet'!$A$217:$I$237,9,0)</f>
        <v>5.666666666666667</v>
      </c>
      <c r="FD33" s="12">
        <f t="array" ref="FD33">INDEX(FC:FC,MIN(IF(ISNUMBER(FC33:FC229),ROW(FC33:FC229),"")))</f>
        <v>5.666666666666667</v>
      </c>
      <c r="FE33" s="12">
        <f>IF('Données projet'!$A$218&gt;35,FE32+FD33-FM32,IF(A33&lt;'Données projet'!$A$218,$FB$205^A33,IF(A33='Données projet'!$A$218,'Données projet'!$B$218,FE32+FD33-FM32)))</f>
        <v>170</v>
      </c>
      <c r="FF33" s="17">
        <f>FE33*VLOOKUP('Données projet'!$B$16,Paramètres!$A$1:$I$89,3,0)*VLOOKUP('Données projet'!$B$16,Paramètres!$A$1:$I$89,5,0)</f>
        <v>79.56</v>
      </c>
      <c r="FG33" s="13">
        <f t="shared" si="47"/>
        <v>22.029567333453311</v>
      </c>
      <c r="FH33" s="20">
        <f t="shared" si="22"/>
        <v>176.93516310576453</v>
      </c>
      <c r="FI33" s="59">
        <f t="shared" si="23"/>
        <v>470.26849643909782</v>
      </c>
      <c r="FJ33" s="59">
        <f ca="1">AVERAGE(OFFSET($FI$3,0,0,'Données projet'!$E$16+1,1))-AVERAGE(OFFSET($H$3,0,0,'Données projet'!$E$16+1,1))</f>
        <v>166.27444639635013</v>
      </c>
      <c r="FK33" s="59">
        <f t="shared" si="48"/>
        <v>213.60182977243113</v>
      </c>
      <c r="FL33" s="15">
        <f>IF(ISNA(VLOOKUP(A33,'Données projet'!$A$217:$I$237,3,0)),0,VLOOKUP(A33,'Données projet'!$A$217:$I$237,3,0))</f>
        <v>1</v>
      </c>
      <c r="FM33" s="15">
        <f>IF(ISNA(VLOOKUP(A33,'Données projet'!$A$217:$I$237,4,0)),0,VLOOKUP(A33,'Données projet'!$A$217:$I$237,4,0))</f>
        <v>70</v>
      </c>
      <c r="FN33" s="16">
        <f>IF(ISNA(VLOOKUP(A33,'Données projet'!$A$217:$I$237,5,0)),0%,VLOOKUP(A33,'Données projet'!$A$217:$I$237,5,0)*VLOOKUP('Données projet'!$B$16,Paramètres!$A$1:$I$89,7,0))</f>
        <v>0.11000000000000001</v>
      </c>
      <c r="FO33" s="16">
        <f>IF(ISNA(VLOOKUP(A33,'Données projet'!$A$217:$I$237,6,0)),0%,VLOOKUP(A33,'Données projet'!$A$217:$I$237,6,0)*VLOOKUP('Données projet'!$B$16,Paramètres!$A$1:$I$89,7,0))</f>
        <v>0.24750000000000003</v>
      </c>
      <c r="FP33" s="16">
        <f>IF(ISNA(VLOOKUP(A33,'Données projet'!$A$217:$I$237,7,0)),0%,VLOOKUP(A33,'Données projet'!$A$217:$I$237,7,0))</f>
        <v>0.35</v>
      </c>
      <c r="FQ33" s="21">
        <f>EXP(-LN(2)/35)*FQ32+(1-EXP(-LN(2)/35))/(LN(2)/35)*FM33*FN33*VLOOKUP('Données projet'!$B$16,Paramètres!$A$1:$I$89,3,0)*0.475*44/12</f>
        <v>4.7804076716219273</v>
      </c>
      <c r="FR33" s="21">
        <f>EXP(-LN(2)/25)*FR32+(1-EXP(-LN(2)/25))/(LN(2)/25)*Calculateur!FM33*Calculateur!FO33*VLOOKUP('Données projet'!$B$16,Paramètres!$A$1:$I$89,3,0)*0.475*44/12</f>
        <v>10.713567116566411</v>
      </c>
      <c r="FS33" s="21">
        <f>EXP(-LN(2)/2)*FS32+(1-EXP(-LN(2)/2))/(LN(2)/2)*FM33*FP33*VLOOKUP('Données projet'!$B$16,Paramètres!$A$1:$I$89,3,0)*0.475*44/12</f>
        <v>12.982175523438457</v>
      </c>
      <c r="FT33" s="22">
        <f t="shared" si="24"/>
        <v>28.476150311626796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5.2</v>
      </c>
      <c r="N34" s="13">
        <f>IF('Données projet'!$A$36&gt;35,N33+M34-V33,IF(A34&lt;'Données projet'!$A$36,$K$205^A34,IF(A34='Données projet'!$A$36,'Données projet'!$B$36,N33+M34-V33)))</f>
        <v>126.19999999999997</v>
      </c>
      <c r="O34" s="13">
        <f>N34*VLOOKUP('Données projet'!$B$9,Paramètres!$A$1:$I$89,3,0)*VLOOKUP('Données projet'!$B$9,Paramètres!$A$1:$I$89,5,0)</f>
        <v>114.18575999999997</v>
      </c>
      <c r="P34" s="13">
        <f t="shared" si="33"/>
        <v>30.315028515433259</v>
      </c>
      <c r="Q34" s="20">
        <f t="shared" si="2"/>
        <v>251.67220666437959</v>
      </c>
      <c r="R34" s="59">
        <f t="shared" si="0"/>
        <v>545.00553999771296</v>
      </c>
      <c r="S34" s="59">
        <f ca="1">AVERAGE(OFFSET($R$3,0,0,'Données projet'!$E$9+1,1))-AVERAGE(OFFSET($H$3,0,0,'Données projet'!$E$9+1,1))</f>
        <v>458.37755197712164</v>
      </c>
      <c r="T34" s="59">
        <f t="shared" si="34"/>
        <v>278.21741231699917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5.2</v>
      </c>
      <c r="AI34" s="13">
        <f>IF('Données projet'!$A$62&gt;35,AI33+AH34-AQ33,IF(A34&lt;'Données projet'!$A$62,$AF$205^A34,IF(A34='Données projet'!$A$62,'Données projet'!$B$62,AI33+AH34-AQ33)))</f>
        <v>126.19999999999997</v>
      </c>
      <c r="AJ34" s="13">
        <f>AI34*VLOOKUP('Données projet'!$B$10,Paramètres!$A$1:$I$89,3,0)*VLOOKUP('Données projet'!$B$10,Paramètres!$A$1:$I$89,5,0)</f>
        <v>127.96679999999998</v>
      </c>
      <c r="AK34" s="13">
        <f t="shared" si="35"/>
        <v>33.526116352616704</v>
      </c>
      <c r="AL34" s="20">
        <f t="shared" si="4"/>
        <v>281.26682931414069</v>
      </c>
      <c r="AM34" s="59">
        <f t="shared" si="5"/>
        <v>574.60016264747401</v>
      </c>
      <c r="AN34" s="59">
        <f ca="1">AVERAGE(OFFSET($AM$3,0,0,'Données projet'!$E$10+1,1))-AVERAGE(OFFSET($H$3,0,0,'Données projet'!$E$10+1,1))</f>
        <v>508.60701013958447</v>
      </c>
      <c r="AO34" s="59">
        <f t="shared" si="36"/>
        <v>306.61893266146654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</v>
      </c>
      <c r="BD34" s="12">
        <f>IF('Données projet'!$A$88&gt;35,BD33+BC34-BL33,IF(A34&lt;'Données projet'!$A$88,$BA$205^A34,IF(A34='Données projet'!$A$88,'Données projet'!$B$88,BD33+BC34-BL33)))</f>
        <v>100.80000000000003</v>
      </c>
      <c r="BE34" s="13">
        <f>BD34*VLOOKUP('Données projet'!$B$11,Paramètres!$A$1:$I$89,3,0)*VLOOKUP('Données projet'!$B$11,Paramètres!$A$1:$I$89,5,0)</f>
        <v>95.921280000000024</v>
      </c>
      <c r="BF34" s="13">
        <f t="shared" si="37"/>
        <v>25.98795633328076</v>
      </c>
      <c r="BG34" s="20">
        <f t="shared" si="7"/>
        <v>212.32525328046404</v>
      </c>
      <c r="BH34" s="59">
        <f t="shared" si="8"/>
        <v>505.65858661379735</v>
      </c>
      <c r="BI34" s="59">
        <f ca="1">AVERAGE(OFFSET($BH$3,0,0,'Données projet'!$E$11+1,1))-AVERAGE(OFFSET($H$3,0,0,'Données projet'!$E$11+1,1))</f>
        <v>291.17074241052887</v>
      </c>
      <c r="BJ34" s="59">
        <f t="shared" si="38"/>
        <v>241.18285512887638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5.2</v>
      </c>
      <c r="BY34" s="12">
        <f>IF('Données projet'!$A$114&gt;35,BY33+BX34-CG33,IF(A34&lt;'Données projet'!$A$114,$BV$205^A34,IF(A34='Données projet'!$A$114,'Données projet'!$B$114,BY33+BX34-CG33)))</f>
        <v>126.19999999999997</v>
      </c>
      <c r="BZ34" s="13">
        <f>BY34*VLOOKUP('Données projet'!$B$12,Paramètres!$A$1:$I$89,3,0)*VLOOKUP('Données projet'!$B$12,Paramètres!$A$1:$I$89,5,0)</f>
        <v>106.31088</v>
      </c>
      <c r="CA34" s="13">
        <f t="shared" si="39"/>
        <v>28.460081023591361</v>
      </c>
      <c r="CB34" s="20">
        <f t="shared" si="10"/>
        <v>234.72609044942158</v>
      </c>
      <c r="CC34" s="59">
        <f t="shared" si="11"/>
        <v>528.05942378275495</v>
      </c>
      <c r="CD34" s="59">
        <f ca="1">AVERAGE(OFFSET($CC$3,0,0,'Données projet'!$E$12+1,1))-AVERAGE(OFFSET($H$3,0,0,'Données projet'!$E$12+1,1))</f>
        <v>429.61977776013185</v>
      </c>
      <c r="CE34" s="59">
        <f t="shared" si="40"/>
        <v>261.95434270986385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10.8</v>
      </c>
      <c r="CT34" s="12">
        <f>IF('Données projet'!$A$140&gt;35,CT33+CS34-DB33,IF(A34&lt;'Données projet'!$A$140,$CQ$205^A34,IF(A34='Données projet'!$A$140,'Données projet'!$B$140,CT33+CS34-DB33)))</f>
        <v>128.79999999999998</v>
      </c>
      <c r="CU34" s="17">
        <f>CT34*VLOOKUP('Données projet'!$B$13,Paramètres!$A$1:$I$89,3,0)*VLOOKUP('Données projet'!$B$13,Paramètres!$A$1:$I$89,5,0)</f>
        <v>84.389759999999981</v>
      </c>
      <c r="CV34" s="13">
        <f t="shared" si="41"/>
        <v>23.207143598424498</v>
      </c>
      <c r="CW34" s="20">
        <f t="shared" si="13"/>
        <v>187.3979404339226</v>
      </c>
      <c r="CX34" s="59">
        <f t="shared" si="14"/>
        <v>480.73127376725591</v>
      </c>
      <c r="CY34" s="59">
        <f ca="1">AVERAGE(OFFSET($CX$3,0,0,'Données projet'!$E$13+1,1))-AVERAGE(OFFSET($H$3,0,0,'Données projet'!$E$13+1,1))</f>
        <v>255.09913504736693</v>
      </c>
      <c r="CZ34" s="59">
        <f t="shared" si="42"/>
        <v>248.42617382406644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3.8</v>
      </c>
      <c r="DO34" s="12">
        <f>IF('Données projet'!$A$166&gt;35,DO33+DN34-DW33,IF(A34&lt;'Données projet'!$A$166,$DL$205^A34,IF(A34='Données projet'!$A$166,'Données projet'!$B$166,DO33+DN34-DW33)))</f>
        <v>100.80000000000003</v>
      </c>
      <c r="DP34" s="17">
        <f>DO34*VLOOKUP('Données projet'!$B$14,Paramètres!$A$1:$I$89,3,0)*VLOOKUP('Données projet'!$B$14,Paramètres!$A$1:$I$89,5,0)</f>
        <v>114.79104000000004</v>
      </c>
      <c r="DQ34" s="13">
        <f t="shared" si="43"/>
        <v>30.456974896543485</v>
      </c>
      <c r="DR34" s="20">
        <f t="shared" si="16"/>
        <v>252.97362594481328</v>
      </c>
      <c r="DS34" s="59">
        <f t="shared" si="17"/>
        <v>546.30695927814656</v>
      </c>
      <c r="DT34" s="59">
        <f ca="1">AVERAGE(OFFSET($DS$3,0,0,'Données projet'!$E$14+1,1))-AVERAGE(OFFSET($H$3,0,0,'Données projet'!$E$14+1,1))</f>
        <v>459.67331926893809</v>
      </c>
      <c r="DU34" s="59">
        <f t="shared" si="44"/>
        <v>280.33242658375497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12.228000000000003</v>
      </c>
      <c r="EJ34" s="12">
        <f>IF('Données projet'!$A$192&gt;35,EJ33+EI34-ER33,IF(A34&lt;'Données projet'!$A$192,$EG$205^A34,IF(A34='Données projet'!$A$192,'Données projet'!$B$192,EJ33+EI34-ER33)))</f>
        <v>168.98800000000003</v>
      </c>
      <c r="EK34" s="17">
        <f>EJ34*VLOOKUP('Données projet'!$B$15,Paramètres!$A$1:$I$89,3,0)*VLOOKUP('Données projet'!$B$15,Paramètres!$A$1:$I$89,5,0)</f>
        <v>101.05482400000002</v>
      </c>
      <c r="EL34" s="13">
        <f t="shared" si="45"/>
        <v>27.213141149605693</v>
      </c>
      <c r="EM34" s="20">
        <f t="shared" si="19"/>
        <v>223.40003930222994</v>
      </c>
      <c r="EN34" s="59">
        <f t="shared" si="20"/>
        <v>516.73337263556323</v>
      </c>
      <c r="EO34" s="59">
        <f ca="1">AVERAGE(OFFSET($EN$3,0,0,'Données projet'!$E$15+1,1))-AVERAGE(OFFSET($H$3,0,0,'Données projet'!$E$15+1,1))</f>
        <v>264.08053957457469</v>
      </c>
      <c r="EP34" s="59">
        <f t="shared" si="46"/>
        <v>284.83300065761051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2.2020638688552681</v>
      </c>
      <c r="EW34" s="21">
        <f>EXP(-LN(2)/25)*EW33+(1-EXP(-LN(2)/25))/(LN(2)/25)*Calculateur!ER34*Calculateur!ET34*VLOOKUP('Données projet'!$B$15,Paramètres!$A$1:$I$89,3,0)*0.475*44/12</f>
        <v>13.528645713962952</v>
      </c>
      <c r="EX34" s="21">
        <f>EXP(-LN(2)/2)*EX33+(1-EXP(-LN(2)/2))/(LN(2)/2)*ER34*EU34*VLOOKUP('Données projet'!$B$15,Paramètres!$A$1:$I$89,3,0)*0.475*44/12</f>
        <v>6.4197614765310629</v>
      </c>
      <c r="EY34" s="22">
        <f t="shared" si="21"/>
        <v>22.150471059349282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</v>
      </c>
      <c r="FE34" s="12">
        <f>IF('Données projet'!$A$218&gt;35,FE33+FD34-FM33,IF(A34&lt;'Données projet'!$A$218,$FB$205^A34,IF(A34='Données projet'!$A$218,'Données projet'!$B$218,FE33+FD34-FM33)))</f>
        <v>110</v>
      </c>
      <c r="FF34" s="17">
        <f>FE34*VLOOKUP('Données projet'!$B$16,Paramètres!$A$1:$I$89,3,0)*VLOOKUP('Données projet'!$B$16,Paramètres!$A$1:$I$89,5,0)</f>
        <v>51.480000000000004</v>
      </c>
      <c r="FG34" s="13">
        <f t="shared" si="47"/>
        <v>14.995324806875232</v>
      </c>
      <c r="FH34" s="20">
        <f t="shared" si="22"/>
        <v>115.77785737197435</v>
      </c>
      <c r="FI34" s="59">
        <f t="shared" si="23"/>
        <v>409.11119070530765</v>
      </c>
      <c r="FJ34" s="59">
        <f ca="1">AVERAGE(OFFSET($FI$3,0,0,'Données projet'!$E$16+1,1))-AVERAGE(OFFSET($H$3,0,0,'Données projet'!$E$16+1,1))</f>
        <v>166.27444639635013</v>
      </c>
      <c r="FK34" s="59">
        <f t="shared" si="48"/>
        <v>213.60182977243113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4.6866667929421935</v>
      </c>
      <c r="FR34" s="21">
        <f>EXP(-LN(2)/25)*FR33+(1-EXP(-LN(2)/25))/(LN(2)/25)*Calculateur!FM34*Calculateur!FO34*VLOOKUP('Données projet'!$B$16,Paramètres!$A$1:$I$89,3,0)*0.475*44/12</f>
        <v>10.420604060361894</v>
      </c>
      <c r="FS34" s="21">
        <f>EXP(-LN(2)/2)*FS33+(1-EXP(-LN(2)/2))/(LN(2)/2)*FM34*FP34*VLOOKUP('Données projet'!$B$16,Paramètres!$A$1:$I$89,3,0)*0.475*44/12</f>
        <v>9.1797843471773497</v>
      </c>
      <c r="FT34" s="22">
        <f t="shared" si="24"/>
        <v>24.287055200481436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5.2</v>
      </c>
      <c r="N35" s="13">
        <f>IF('Données projet'!$A$36&gt;35,N34+M35-V34,IF(A35&lt;'Données projet'!$A$36,$K$205^A35,IF(A35='Données projet'!$A$36,'Données projet'!$B$36,N34+M35-V34)))</f>
        <v>131.39999999999998</v>
      </c>
      <c r="O35" s="13">
        <f>N35*VLOOKUP('Données projet'!$B$9,Paramètres!$A$1:$I$89,3,0)*VLOOKUP('Données projet'!$B$9,Paramètres!$A$1:$I$89,5,0)</f>
        <v>118.89071999999996</v>
      </c>
      <c r="P35" s="13">
        <f t="shared" si="33"/>
        <v>31.416138277101783</v>
      </c>
      <c r="Q35" s="20">
        <f t="shared" ref="Q35:Q66" si="53">(O35+P35)*0.475*44/12</f>
        <v>261.78444483261882</v>
      </c>
      <c r="R35" s="59">
        <f t="shared" si="0"/>
        <v>555.11777816595213</v>
      </c>
      <c r="S35" s="59">
        <f ca="1">AVERAGE(OFFSET($R$3,0,0,'Données projet'!$E$9+1,1))-AVERAGE(OFFSET($H$3,0,0,'Données projet'!$E$9+1,1))</f>
        <v>458.37755197712164</v>
      </c>
      <c r="T35" s="59">
        <f t="shared" si="34"/>
        <v>278.21741231699917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5.2</v>
      </c>
      <c r="AI35" s="13">
        <f>IF('Données projet'!$A$62&gt;35,AI34+AH35-AQ34,IF(A35&lt;'Données projet'!$A$62,$AF$205^A35,IF(A35='Données projet'!$A$62,'Données projet'!$B$62,AI34+AH35-AQ34)))</f>
        <v>131.39999999999998</v>
      </c>
      <c r="AJ35" s="13">
        <f>AI35*VLOOKUP('Données projet'!$B$10,Paramètres!$A$1:$I$89,3,0)*VLOOKUP('Données projet'!$B$10,Paramètres!$A$1:$I$89,5,0)</f>
        <v>133.23959999999997</v>
      </c>
      <c r="AK35" s="13">
        <f t="shared" si="35"/>
        <v>34.743860019521328</v>
      </c>
      <c r="AL35" s="20">
        <f t="shared" si="4"/>
        <v>292.57119286733285</v>
      </c>
      <c r="AM35" s="59">
        <f t="shared" si="5"/>
        <v>585.90452620066617</v>
      </c>
      <c r="AN35" s="59">
        <f ca="1">AVERAGE(OFFSET($AM$3,0,0,'Données projet'!$E$10+1,1))-AVERAGE(OFFSET($H$3,0,0,'Données projet'!$E$10+1,1))</f>
        <v>508.60701013958447</v>
      </c>
      <c r="AO35" s="59">
        <f t="shared" si="36"/>
        <v>306.61893266146654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</v>
      </c>
      <c r="BD35" s="12">
        <f>IF('Données projet'!$A$88&gt;35,BD34+BC35-BL34,IF(A35&lt;'Données projet'!$A$88,$BA$205^A35,IF(A35='Données projet'!$A$88,'Données projet'!$B$88,BD34+BC35-BL34)))</f>
        <v>104.60000000000002</v>
      </c>
      <c r="BE35" s="13">
        <f>BD35*VLOOKUP('Données projet'!$B$11,Paramètres!$A$1:$I$89,3,0)*VLOOKUP('Données projet'!$B$11,Paramètres!$A$1:$I$89,5,0)</f>
        <v>99.537360000000021</v>
      </c>
      <c r="BF35" s="13">
        <f t="shared" si="37"/>
        <v>26.851750219979348</v>
      </c>
      <c r="BG35" s="20">
        <f t="shared" si="7"/>
        <v>220.1277002997974</v>
      </c>
      <c r="BH35" s="59">
        <f t="shared" si="8"/>
        <v>513.46103363313068</v>
      </c>
      <c r="BI35" s="59">
        <f ca="1">AVERAGE(OFFSET($BH$3,0,0,'Données projet'!$E$11+1,1))-AVERAGE(OFFSET($H$3,0,0,'Données projet'!$E$11+1,1))</f>
        <v>291.17074241052887</v>
      </c>
      <c r="BJ35" s="59">
        <f t="shared" si="38"/>
        <v>241.18285512887638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5.2</v>
      </c>
      <c r="BY35" s="12">
        <f>IF('Données projet'!$A$114&gt;35,BY34+BX35-CG34,IF(A35&lt;'Données projet'!$A$114,$BV$205^A35,IF(A35='Données projet'!$A$114,'Données projet'!$B$114,BY34+BX35-CG34)))</f>
        <v>131.39999999999998</v>
      </c>
      <c r="BZ35" s="13">
        <f>BY35*VLOOKUP('Données projet'!$B$12,Paramètres!$A$1:$I$89,3,0)*VLOOKUP('Données projet'!$B$12,Paramètres!$A$1:$I$89,5,0)</f>
        <v>110.69135999999999</v>
      </c>
      <c r="CA35" s="13">
        <f t="shared" si="39"/>
        <v>29.493814936030219</v>
      </c>
      <c r="CB35" s="20">
        <f t="shared" si="10"/>
        <v>244.15584634691925</v>
      </c>
      <c r="CC35" s="59">
        <f t="shared" si="11"/>
        <v>537.48917968025262</v>
      </c>
      <c r="CD35" s="59">
        <f ca="1">AVERAGE(OFFSET($CC$3,0,0,'Données projet'!$E$12+1,1))-AVERAGE(OFFSET($H$3,0,0,'Données projet'!$E$12+1,1))</f>
        <v>429.61977776013185</v>
      </c>
      <c r="CE35" s="59">
        <f t="shared" si="40"/>
        <v>261.95434270986385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10.8</v>
      </c>
      <c r="CT35" s="12">
        <f>IF('Données projet'!$A$140&gt;35,CT34+CS35-DB34,IF(A35&lt;'Données projet'!$A$140,$CQ$205^A35,IF(A35='Données projet'!$A$140,'Données projet'!$B$140,CT34+CS35-DB34)))</f>
        <v>139.6</v>
      </c>
      <c r="CU35" s="17">
        <f>CT35*VLOOKUP('Données projet'!$B$13,Paramètres!$A$1:$I$89,3,0)*VLOOKUP('Données projet'!$B$13,Paramètres!$A$1:$I$89,5,0)</f>
        <v>91.465919999999997</v>
      </c>
      <c r="CV35" s="13">
        <f t="shared" si="41"/>
        <v>24.918436466018196</v>
      </c>
      <c r="CW35" s="20">
        <f t="shared" si="13"/>
        <v>202.70275417831499</v>
      </c>
      <c r="CX35" s="59">
        <f t="shared" si="14"/>
        <v>496.0360875116483</v>
      </c>
      <c r="CY35" s="59">
        <f ca="1">AVERAGE(OFFSET($CX$3,0,0,'Données projet'!$E$13+1,1))-AVERAGE(OFFSET($H$3,0,0,'Données projet'!$E$13+1,1))</f>
        <v>255.09913504736693</v>
      </c>
      <c r="CZ35" s="59">
        <f t="shared" si="42"/>
        <v>248.42617382406644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3.8</v>
      </c>
      <c r="DO35" s="12">
        <f>IF('Données projet'!$A$166&gt;35,DO34+DN35-DW34,IF(A35&lt;'Données projet'!$A$166,$DL$205^A35,IF(A35='Données projet'!$A$166,'Données projet'!$B$166,DO34+DN35-DW34)))</f>
        <v>104.60000000000002</v>
      </c>
      <c r="DP35" s="17">
        <f>DO35*VLOOKUP('Données projet'!$B$14,Paramètres!$A$1:$I$89,3,0)*VLOOKUP('Données projet'!$B$14,Paramètres!$A$1:$I$89,5,0)</f>
        <v>119.11848000000003</v>
      </c>
      <c r="DQ35" s="13">
        <f t="shared" si="43"/>
        <v>31.469311087414923</v>
      </c>
      <c r="DR35" s="20">
        <f t="shared" si="16"/>
        <v>262.27373614391433</v>
      </c>
      <c r="DS35" s="59">
        <f t="shared" si="17"/>
        <v>555.60706947724771</v>
      </c>
      <c r="DT35" s="59">
        <f ca="1">AVERAGE(OFFSET($DS$3,0,0,'Données projet'!$E$14+1,1))-AVERAGE(OFFSET($H$3,0,0,'Données projet'!$E$14+1,1))</f>
        <v>459.67331926893809</v>
      </c>
      <c r="DU35" s="59">
        <f t="shared" si="44"/>
        <v>280.33242658375497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12.228000000000003</v>
      </c>
      <c r="EJ35" s="12">
        <f>IF('Données projet'!$A$192&gt;35,EJ34+EI35-ER34,IF(A35&lt;'Données projet'!$A$192,$EG$205^A35,IF(A35='Données projet'!$A$192,'Données projet'!$B$192,EJ34+EI35-ER34)))</f>
        <v>181.21600000000004</v>
      </c>
      <c r="EK35" s="17">
        <f>EJ35*VLOOKUP('Données projet'!$B$15,Paramètres!$A$1:$I$89,3,0)*VLOOKUP('Données projet'!$B$15,Paramètres!$A$1:$I$89,5,0)</f>
        <v>108.36716800000004</v>
      </c>
      <c r="EL35" s="13">
        <f t="shared" si="45"/>
        <v>28.945942411704578</v>
      </c>
      <c r="EM35" s="20">
        <f t="shared" si="19"/>
        <v>239.15366730038548</v>
      </c>
      <c r="EN35" s="59">
        <f t="shared" si="20"/>
        <v>532.48700063371882</v>
      </c>
      <c r="EO35" s="59">
        <f ca="1">AVERAGE(OFFSET($EN$3,0,0,'Données projet'!$E$15+1,1))-AVERAGE(OFFSET($H$3,0,0,'Données projet'!$E$15+1,1))</f>
        <v>264.08053957457469</v>
      </c>
      <c r="EP35" s="59">
        <f t="shared" si="46"/>
        <v>284.83300065761051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2.1588827395133534</v>
      </c>
      <c r="EW35" s="21">
        <f>EXP(-LN(2)/25)*EW34+(1-EXP(-LN(2)/25))/(LN(2)/25)*Calculateur!ER35*Calculateur!ET35*VLOOKUP('Données projet'!$B$15,Paramètres!$A$1:$I$89,3,0)*0.475*44/12</f>
        <v>13.158704185474077</v>
      </c>
      <c r="EX35" s="21">
        <f>EXP(-LN(2)/2)*EX34+(1-EXP(-LN(2)/2))/(LN(2)/2)*ER35*EU35*VLOOKUP('Données projet'!$B$15,Paramètres!$A$1:$I$89,3,0)*0.475*44/12</f>
        <v>4.5394568736552783</v>
      </c>
      <c r="EY35" s="22">
        <f t="shared" si="21"/>
        <v>19.85704379864271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</v>
      </c>
      <c r="FE35" s="12">
        <f>IF('Données projet'!$A$218&gt;35,FE34+FD35-FM34,IF(A35&lt;'Données projet'!$A$218,$FB$205^A35,IF(A35='Données projet'!$A$218,'Données projet'!$B$218,FE34+FD35-FM34)))</f>
        <v>120</v>
      </c>
      <c r="FF35" s="17">
        <f>FE35*VLOOKUP('Données projet'!$B$16,Paramètres!$A$1:$I$89,3,0)*VLOOKUP('Données projet'!$B$16,Paramètres!$A$1:$I$89,5,0)</f>
        <v>56.16</v>
      </c>
      <c r="FG35" s="13">
        <f t="shared" si="47"/>
        <v>16.193691060657031</v>
      </c>
      <c r="FH35" s="20">
        <f t="shared" si="22"/>
        <v>126.01601193064431</v>
      </c>
      <c r="FI35" s="59">
        <f t="shared" si="23"/>
        <v>419.34934526397763</v>
      </c>
      <c r="FJ35" s="59">
        <f ca="1">AVERAGE(OFFSET($FI$3,0,0,'Données projet'!$E$16+1,1))-AVERAGE(OFFSET($H$3,0,0,'Données projet'!$E$16+1,1))</f>
        <v>166.27444639635013</v>
      </c>
      <c r="FK35" s="59">
        <f t="shared" si="48"/>
        <v>213.60182977243113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4.5947641157170791</v>
      </c>
      <c r="FR35" s="21">
        <f>EXP(-LN(2)/25)*FR34+(1-EXP(-LN(2)/25))/(LN(2)/25)*Calculateur!FM35*Calculateur!FO35*VLOOKUP('Données projet'!$B$16,Paramètres!$A$1:$I$89,3,0)*0.475*44/12</f>
        <v>10.135652094335548</v>
      </c>
      <c r="FS35" s="21">
        <f>EXP(-LN(2)/2)*FS34+(1-EXP(-LN(2)/2))/(LN(2)/2)*FM35*FP35*VLOOKUP('Données projet'!$B$16,Paramètres!$A$1:$I$89,3,0)*0.475*44/12</f>
        <v>6.4910877617192284</v>
      </c>
      <c r="FT35" s="22">
        <f t="shared" si="24"/>
        <v>21.221503971771856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5.2</v>
      </c>
      <c r="N36" s="13">
        <f>IF('Données projet'!$A$36&gt;35,N35+M36-V35,IF(A36&lt;'Données projet'!$A$36,$K$205^A36,IF(A36='Données projet'!$A$36,'Données projet'!$B$36,N35+M36-V35)))</f>
        <v>136.59999999999997</v>
      </c>
      <c r="O36" s="13">
        <f>N36*VLOOKUP('Données projet'!$B$9,Paramètres!$A$1:$I$89,3,0)*VLOOKUP('Données projet'!$B$9,Paramètres!$A$1:$I$89,5,0)</f>
        <v>123.59567999999997</v>
      </c>
      <c r="P36" s="13">
        <f t="shared" si="33"/>
        <v>32.512186163604952</v>
      </c>
      <c r="Q36" s="20">
        <f t="shared" si="53"/>
        <v>271.88786690161186</v>
      </c>
      <c r="R36" s="59">
        <f t="shared" si="0"/>
        <v>565.22120023494517</v>
      </c>
      <c r="S36" s="59">
        <f ca="1">AVERAGE(OFFSET($R$3,0,0,'Données projet'!$E$9+1,1))-AVERAGE(OFFSET($H$3,0,0,'Données projet'!$E$9+1,1))</f>
        <v>458.37755197712164</v>
      </c>
      <c r="T36" s="59">
        <f t="shared" si="34"/>
        <v>278.21741231699917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5.2</v>
      </c>
      <c r="AI36" s="13">
        <f>IF('Données projet'!$A$62&gt;35,AI35+AH36-AQ35,IF(A36&lt;'Données projet'!$A$62,$AF$205^A36,IF(A36='Données projet'!$A$62,'Données projet'!$B$62,AI35+AH36-AQ35)))</f>
        <v>136.59999999999997</v>
      </c>
      <c r="AJ36" s="13">
        <f>AI36*VLOOKUP('Données projet'!$B$10,Paramètres!$A$1:$I$89,3,0)*VLOOKUP('Données projet'!$B$10,Paramètres!$A$1:$I$89,5,0)</f>
        <v>138.51239999999996</v>
      </c>
      <c r="AK36" s="13">
        <f t="shared" si="35"/>
        <v>35.956005637403152</v>
      </c>
      <c r="AL36" s="20">
        <f t="shared" si="4"/>
        <v>303.86580648514376</v>
      </c>
      <c r="AM36" s="59">
        <f t="shared" si="5"/>
        <v>597.19913981847708</v>
      </c>
      <c r="AN36" s="59">
        <f ca="1">AVERAGE(OFFSET($AM$3,0,0,'Données projet'!$E$10+1,1))-AVERAGE(OFFSET($H$3,0,0,'Données projet'!$E$10+1,1))</f>
        <v>508.60701013958447</v>
      </c>
      <c r="AO36" s="59">
        <f t="shared" si="36"/>
        <v>306.61893266146654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</v>
      </c>
      <c r="BD36" s="12">
        <f>IF('Données projet'!$A$88&gt;35,BD35+BC36-BL35,IF(A36&lt;'Données projet'!$A$88,$BA$205^A36,IF(A36='Données projet'!$A$88,'Données projet'!$B$88,BD35+BC36-BL35)))</f>
        <v>108.40000000000002</v>
      </c>
      <c r="BE36" s="13">
        <f>BD36*VLOOKUP('Données projet'!$B$11,Paramètres!$A$1:$I$89,3,0)*VLOOKUP('Données projet'!$B$11,Paramètres!$A$1:$I$89,5,0)</f>
        <v>103.15344000000002</v>
      </c>
      <c r="BF36" s="13">
        <f t="shared" si="37"/>
        <v>27.711898263236939</v>
      </c>
      <c r="BG36" s="20">
        <f t="shared" si="7"/>
        <v>227.92379747513769</v>
      </c>
      <c r="BH36" s="59">
        <f t="shared" si="8"/>
        <v>521.25713080847095</v>
      </c>
      <c r="BI36" s="59">
        <f ca="1">AVERAGE(OFFSET($BH$3,0,0,'Données projet'!$E$11+1,1))-AVERAGE(OFFSET($H$3,0,0,'Données projet'!$E$11+1,1))</f>
        <v>291.17074241052887</v>
      </c>
      <c r="BJ36" s="59">
        <f t="shared" si="38"/>
        <v>241.18285512887638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5.2</v>
      </c>
      <c r="BY36" s="12">
        <f>IF('Données projet'!$A$114&gt;35,BY35+BX36-CG35,IF(A36&lt;'Données projet'!$A$114,$BV$205^A36,IF(A36='Données projet'!$A$114,'Données projet'!$B$114,BY35+BX36-CG35)))</f>
        <v>136.59999999999997</v>
      </c>
      <c r="BZ36" s="13">
        <f>BY36*VLOOKUP('Données projet'!$B$12,Paramètres!$A$1:$I$89,3,0)*VLOOKUP('Données projet'!$B$12,Paramètres!$A$1:$I$89,5,0)</f>
        <v>115.07183999999998</v>
      </c>
      <c r="CA36" s="13">
        <f t="shared" si="39"/>
        <v>30.522796704585563</v>
      </c>
      <c r="CB36" s="20">
        <f t="shared" si="10"/>
        <v>253.57732559381984</v>
      </c>
      <c r="CC36" s="59">
        <f t="shared" si="11"/>
        <v>546.91065892715312</v>
      </c>
      <c r="CD36" s="59">
        <f ca="1">AVERAGE(OFFSET($CC$3,0,0,'Données projet'!$E$12+1,1))-AVERAGE(OFFSET($H$3,0,0,'Données projet'!$E$12+1,1))</f>
        <v>429.61977776013185</v>
      </c>
      <c r="CE36" s="59">
        <f t="shared" si="40"/>
        <v>261.95434270986385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10.8</v>
      </c>
      <c r="CT36" s="12">
        <f>IF('Données projet'!$A$140&gt;35,CT35+CS36-DB35,IF(A36&lt;'Données projet'!$A$140,$CQ$205^A36,IF(A36='Données projet'!$A$140,'Données projet'!$B$140,CT35+CS36-DB35)))</f>
        <v>150.4</v>
      </c>
      <c r="CU36" s="17">
        <f>CT36*VLOOKUP('Données projet'!$B$13,Paramètres!$A$1:$I$89,3,0)*VLOOKUP('Données projet'!$B$13,Paramètres!$A$1:$I$89,5,0)</f>
        <v>98.542079999999999</v>
      </c>
      <c r="CV36" s="13">
        <f t="shared" si="41"/>
        <v>26.614371888975242</v>
      </c>
      <c r="CW36" s="20">
        <f t="shared" si="13"/>
        <v>217.98082037329854</v>
      </c>
      <c r="CX36" s="59">
        <f t="shared" si="14"/>
        <v>511.31415370663183</v>
      </c>
      <c r="CY36" s="59">
        <f ca="1">AVERAGE(OFFSET($CX$3,0,0,'Données projet'!$E$13+1,1))-AVERAGE(OFFSET($H$3,0,0,'Données projet'!$E$13+1,1))</f>
        <v>255.09913504736693</v>
      </c>
      <c r="CZ36" s="59">
        <f t="shared" si="42"/>
        <v>248.42617382406644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3.8</v>
      </c>
      <c r="DO36" s="12">
        <f>IF('Données projet'!$A$166&gt;35,DO35+DN36-DW35,IF(A36&lt;'Données projet'!$A$166,$DL$205^A36,IF(A36='Données projet'!$A$166,'Données projet'!$B$166,DO35+DN36-DW35)))</f>
        <v>108.40000000000002</v>
      </c>
      <c r="DP36" s="17">
        <f>DO36*VLOOKUP('Données projet'!$B$14,Paramètres!$A$1:$I$89,3,0)*VLOOKUP('Données projet'!$B$14,Paramètres!$A$1:$I$89,5,0)</f>
        <v>123.44592000000003</v>
      </c>
      <c r="DQ36" s="13">
        <f t="shared" si="43"/>
        <v>32.477374477426793</v>
      </c>
      <c r="DR36" s="20">
        <f t="shared" si="16"/>
        <v>271.56640454818501</v>
      </c>
      <c r="DS36" s="59">
        <f t="shared" si="17"/>
        <v>564.89973788151838</v>
      </c>
      <c r="DT36" s="59">
        <f ca="1">AVERAGE(OFFSET($DS$3,0,0,'Données projet'!$E$14+1,1))-AVERAGE(OFFSET($H$3,0,0,'Données projet'!$E$14+1,1))</f>
        <v>459.67331926893809</v>
      </c>
      <c r="DU36" s="59">
        <f t="shared" si="44"/>
        <v>280.33242658375497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12.228000000000003</v>
      </c>
      <c r="EJ36" s="12">
        <f>IF('Données projet'!$A$192&gt;35,EJ35+EI36-ER35,IF(A36&lt;'Données projet'!$A$192,$EG$205^A36,IF(A36='Données projet'!$A$192,'Données projet'!$B$192,EJ35+EI36-ER35)))</f>
        <v>193.44400000000005</v>
      </c>
      <c r="EK36" s="17">
        <f>EJ36*VLOOKUP('Données projet'!$B$15,Paramètres!$A$1:$I$89,3,0)*VLOOKUP('Données projet'!$B$15,Paramètres!$A$1:$I$89,5,0)</f>
        <v>115.67951200000005</v>
      </c>
      <c r="EL36" s="13">
        <f t="shared" si="45"/>
        <v>30.665176040577272</v>
      </c>
      <c r="EM36" s="20">
        <f t="shared" si="19"/>
        <v>254.88366500400548</v>
      </c>
      <c r="EN36" s="59">
        <f t="shared" si="20"/>
        <v>548.21699833733874</v>
      </c>
      <c r="EO36" s="59">
        <f ca="1">AVERAGE(OFFSET($EN$3,0,0,'Données projet'!$E$15+1,1))-AVERAGE(OFFSET($H$3,0,0,'Données projet'!$E$15+1,1))</f>
        <v>264.08053957457469</v>
      </c>
      <c r="EP36" s="59">
        <f t="shared" si="46"/>
        <v>284.83300065761051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2.1165483657799458</v>
      </c>
      <c r="EW36" s="21">
        <f>EXP(-LN(2)/25)*EW35+(1-EXP(-LN(2)/25))/(LN(2)/25)*Calculateur!ER36*Calculateur!ET36*VLOOKUP('Données projet'!$B$15,Paramètres!$A$1:$I$89,3,0)*0.475*44/12</f>
        <v>12.79887872753611</v>
      </c>
      <c r="EX36" s="21">
        <f>EXP(-LN(2)/2)*EX35+(1-EXP(-LN(2)/2))/(LN(2)/2)*ER36*EU36*VLOOKUP('Données projet'!$B$15,Paramètres!$A$1:$I$89,3,0)*0.475*44/12</f>
        <v>3.2098807382655323</v>
      </c>
      <c r="EY36" s="22">
        <f t="shared" si="21"/>
        <v>18.125307831581587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</v>
      </c>
      <c r="FE36" s="12">
        <f>IF('Données projet'!$A$218&gt;35,FE35+FD36-FM35,IF(A36&lt;'Données projet'!$A$218,$FB$205^A36,IF(A36='Données projet'!$A$218,'Données projet'!$B$218,FE35+FD36-FM35)))</f>
        <v>130</v>
      </c>
      <c r="FF36" s="17">
        <f>FE36*VLOOKUP('Données projet'!$B$16,Paramètres!$A$1:$I$89,3,0)*VLOOKUP('Données projet'!$B$16,Paramètres!$A$1:$I$89,5,0)</f>
        <v>60.839999999999996</v>
      </c>
      <c r="FG36" s="13">
        <f t="shared" si="47"/>
        <v>17.380475216531455</v>
      </c>
      <c r="FH36" s="20">
        <f t="shared" si="22"/>
        <v>136.23399433545893</v>
      </c>
      <c r="FI36" s="59">
        <f t="shared" si="23"/>
        <v>429.56732766879225</v>
      </c>
      <c r="FJ36" s="59">
        <f ca="1">AVERAGE(OFFSET($FI$3,0,0,'Données projet'!$E$16+1,1))-AVERAGE(OFFSET($H$3,0,0,'Données projet'!$E$16+1,1))</f>
        <v>166.27444639635013</v>
      </c>
      <c r="FK36" s="59">
        <f t="shared" si="48"/>
        <v>213.60182977243113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4.5046635939372512</v>
      </c>
      <c r="FR36" s="21">
        <f>EXP(-LN(2)/25)*FR35+(1-EXP(-LN(2)/25))/(LN(2)/25)*Calculateur!FM36*Calculateur!FO36*VLOOKUP('Données projet'!$B$16,Paramètres!$A$1:$I$89,3,0)*0.475*44/12</f>
        <v>9.8584921548051643</v>
      </c>
      <c r="FS36" s="21">
        <f>EXP(-LN(2)/2)*FS35+(1-EXP(-LN(2)/2))/(LN(2)/2)*FM36*FP36*VLOOKUP('Données projet'!$B$16,Paramètres!$A$1:$I$89,3,0)*0.475*44/12</f>
        <v>4.5898921735886749</v>
      </c>
      <c r="FT36" s="22">
        <f t="shared" si="24"/>
        <v>18.953047922331088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5.2</v>
      </c>
      <c r="N37" s="13">
        <f>IF('Données projet'!$A$36&gt;35,N36+M37-V36,IF(A37&lt;'Données projet'!$A$36,$K$205^A37,IF(A37='Données projet'!$A$36,'Données projet'!$B$36,N36+M37-V36)))</f>
        <v>141.79999999999995</v>
      </c>
      <c r="O37" s="13">
        <f>N37*VLOOKUP('Données projet'!$B$9,Paramètres!$A$1:$I$89,3,0)*VLOOKUP('Données projet'!$B$9,Paramètres!$A$1:$I$89,5,0)</f>
        <v>128.30063999999996</v>
      </c>
      <c r="P37" s="13">
        <f t="shared" si="33"/>
        <v>33.603386926177379</v>
      </c>
      <c r="Q37" s="20">
        <f t="shared" si="53"/>
        <v>281.98284689642549</v>
      </c>
      <c r="R37" s="59">
        <f t="shared" si="0"/>
        <v>575.31618022975886</v>
      </c>
      <c r="S37" s="59">
        <f ca="1">AVERAGE(OFFSET($R$3,0,0,'Données projet'!$E$9+1,1))-AVERAGE(OFFSET($H$3,0,0,'Données projet'!$E$9+1,1))</f>
        <v>458.37755197712164</v>
      </c>
      <c r="T37" s="59">
        <f t="shared" si="34"/>
        <v>278.21741231699917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5.2</v>
      </c>
      <c r="AI37" s="13">
        <f>IF('Données projet'!$A$62&gt;35,AI36+AH37-AQ36,IF(A37&lt;'Données projet'!$A$62,$AF$205^A37,IF(A37='Données projet'!$A$62,'Données projet'!$B$62,AI36+AH37-AQ36)))</f>
        <v>141.79999999999995</v>
      </c>
      <c r="AJ37" s="13">
        <f>AI37*VLOOKUP('Données projet'!$B$10,Paramètres!$A$1:$I$89,3,0)*VLOOKUP('Données projet'!$B$10,Paramètres!$A$1:$I$89,5,0)</f>
        <v>143.78519999999997</v>
      </c>
      <c r="AK37" s="13">
        <f t="shared" si="35"/>
        <v>37.162790704797786</v>
      </c>
      <c r="AL37" s="20">
        <f t="shared" si="4"/>
        <v>315.15108381085605</v>
      </c>
      <c r="AM37" s="59">
        <f t="shared" si="5"/>
        <v>608.48441714418936</v>
      </c>
      <c r="AN37" s="59">
        <f ca="1">AVERAGE(OFFSET($AM$3,0,0,'Données projet'!$E$10+1,1))-AVERAGE(OFFSET($H$3,0,0,'Données projet'!$E$10+1,1))</f>
        <v>508.60701013958447</v>
      </c>
      <c r="AO37" s="59">
        <f t="shared" si="36"/>
        <v>306.61893266146654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</v>
      </c>
      <c r="BD37" s="12">
        <f>IF('Données projet'!$A$88&gt;35,BD36+BC37-BL36,IF(A37&lt;'Données projet'!$A$88,$BA$205^A37,IF(A37='Données projet'!$A$88,'Données projet'!$B$88,BD36+BC37-BL36)))</f>
        <v>112.20000000000002</v>
      </c>
      <c r="BE37" s="13">
        <f>BD37*VLOOKUP('Données projet'!$B$11,Paramètres!$A$1:$I$89,3,0)*VLOOKUP('Données projet'!$B$11,Paramètres!$A$1:$I$89,5,0)</f>
        <v>106.76952000000001</v>
      </c>
      <c r="BF37" s="13">
        <f t="shared" si="37"/>
        <v>28.568542914630711</v>
      </c>
      <c r="BG37" s="20">
        <f t="shared" si="7"/>
        <v>235.7137929096485</v>
      </c>
      <c r="BH37" s="59">
        <f t="shared" si="8"/>
        <v>529.04712624298179</v>
      </c>
      <c r="BI37" s="59">
        <f ca="1">AVERAGE(OFFSET($BH$3,0,0,'Données projet'!$E$11+1,1))-AVERAGE(OFFSET($H$3,0,0,'Données projet'!$E$11+1,1))</f>
        <v>291.17074241052887</v>
      </c>
      <c r="BJ37" s="59">
        <f t="shared" si="38"/>
        <v>241.18285512887638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5.2</v>
      </c>
      <c r="BY37" s="12">
        <f>IF('Données projet'!$A$114&gt;35,BY36+BX37-CG36,IF(A37&lt;'Données projet'!$A$114,$BV$205^A37,IF(A37='Données projet'!$A$114,'Données projet'!$B$114,BY36+BX37-CG36)))</f>
        <v>141.79999999999995</v>
      </c>
      <c r="BZ37" s="13">
        <f>BY37*VLOOKUP('Données projet'!$B$12,Paramètres!$A$1:$I$89,3,0)*VLOOKUP('Données projet'!$B$12,Paramètres!$A$1:$I$89,5,0)</f>
        <v>119.45231999999996</v>
      </c>
      <c r="CA37" s="13">
        <f t="shared" si="39"/>
        <v>31.547227940070158</v>
      </c>
      <c r="CB37" s="20">
        <f t="shared" si="10"/>
        <v>262.99087932895537</v>
      </c>
      <c r="CC37" s="59">
        <f t="shared" si="11"/>
        <v>556.32421266228869</v>
      </c>
      <c r="CD37" s="59">
        <f ca="1">AVERAGE(OFFSET($CC$3,0,0,'Données projet'!$E$12+1,1))-AVERAGE(OFFSET($H$3,0,0,'Données projet'!$E$12+1,1))</f>
        <v>429.61977776013185</v>
      </c>
      <c r="CE37" s="59">
        <f t="shared" si="40"/>
        <v>261.95434270986385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10.8</v>
      </c>
      <c r="CT37" s="12">
        <f>IF('Données projet'!$A$140&gt;35,CT36+CS37-DB36,IF(A37&lt;'Données projet'!$A$140,$CQ$205^A37,IF(A37='Données projet'!$A$140,'Données projet'!$B$140,CT36+CS37-DB36)))</f>
        <v>161.20000000000002</v>
      </c>
      <c r="CU37" s="17">
        <f>CT37*VLOOKUP('Données projet'!$B$13,Paramètres!$A$1:$I$89,3,0)*VLOOKUP('Données projet'!$B$13,Paramètres!$A$1:$I$89,5,0)</f>
        <v>105.61824000000001</v>
      </c>
      <c r="CV37" s="13">
        <f t="shared" si="41"/>
        <v>28.296178084029062</v>
      </c>
      <c r="CW37" s="20">
        <f t="shared" si="13"/>
        <v>233.23427816301728</v>
      </c>
      <c r="CX37" s="59">
        <f t="shared" si="14"/>
        <v>526.56761149635054</v>
      </c>
      <c r="CY37" s="59">
        <f ca="1">AVERAGE(OFFSET($CX$3,0,0,'Données projet'!$E$13+1,1))-AVERAGE(OFFSET($H$3,0,0,'Données projet'!$E$13+1,1))</f>
        <v>255.09913504736693</v>
      </c>
      <c r="CZ37" s="59">
        <f t="shared" si="42"/>
        <v>248.42617382406644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3.8</v>
      </c>
      <c r="DO37" s="12">
        <f>IF('Données projet'!$A$166&gt;35,DO36+DN37-DW36,IF(A37&lt;'Données projet'!$A$166,$DL$205^A37,IF(A37='Données projet'!$A$166,'Données projet'!$B$166,DO36+DN37-DW36)))</f>
        <v>112.20000000000002</v>
      </c>
      <c r="DP37" s="17">
        <f>DO37*VLOOKUP('Données projet'!$B$14,Paramètres!$A$1:$I$89,3,0)*VLOOKUP('Données projet'!$B$14,Paramètres!$A$1:$I$89,5,0)</f>
        <v>127.77336000000001</v>
      </c>
      <c r="DQ37" s="13">
        <f t="shared" si="43"/>
        <v>33.481332014839836</v>
      </c>
      <c r="DR37" s="20">
        <f t="shared" si="16"/>
        <v>280.85192192584606</v>
      </c>
      <c r="DS37" s="59">
        <f t="shared" si="17"/>
        <v>574.18525525917937</v>
      </c>
      <c r="DT37" s="59">
        <f ca="1">AVERAGE(OFFSET($DS$3,0,0,'Données projet'!$E$14+1,1))-AVERAGE(OFFSET($H$3,0,0,'Données projet'!$E$14+1,1))</f>
        <v>459.67331926893809</v>
      </c>
      <c r="DU37" s="59">
        <f t="shared" si="44"/>
        <v>280.33242658375497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12.228000000000003</v>
      </c>
      <c r="EJ37" s="12">
        <f>IF('Données projet'!$A$192&gt;35,EJ36+EI37-ER36,IF(A37&lt;'Données projet'!$A$192,$EG$205^A37,IF(A37='Données projet'!$A$192,'Données projet'!$B$192,EJ36+EI37-ER36)))</f>
        <v>205.67200000000005</v>
      </c>
      <c r="EK37" s="17">
        <f>EJ37*VLOOKUP('Données projet'!$B$15,Paramètres!$A$1:$I$89,3,0)*VLOOKUP('Données projet'!$B$15,Paramètres!$A$1:$I$89,5,0)</f>
        <v>122.99185600000004</v>
      </c>
      <c r="EL37" s="13">
        <f t="shared" si="45"/>
        <v>32.371797302044357</v>
      </c>
      <c r="EM37" s="20">
        <f t="shared" si="19"/>
        <v>270.59169616772732</v>
      </c>
      <c r="EN37" s="59">
        <f t="shared" si="20"/>
        <v>563.92502950106064</v>
      </c>
      <c r="EO37" s="59">
        <f ca="1">AVERAGE(OFFSET($EN$3,0,0,'Données projet'!$E$15+1,1))-AVERAGE(OFFSET($H$3,0,0,'Données projet'!$E$15+1,1))</f>
        <v>264.08053957457469</v>
      </c>
      <c r="EP37" s="59">
        <f t="shared" si="46"/>
        <v>284.83300065761051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2.0750441432940319</v>
      </c>
      <c r="EW37" s="21">
        <f>EXP(-LN(2)/25)*EW36+(1-EXP(-LN(2)/25))/(LN(2)/25)*Calculateur!ER37*Calculateur!ET37*VLOOKUP('Données projet'!$B$15,Paramètres!$A$1:$I$89,3,0)*0.475*44/12</f>
        <v>12.448892715667855</v>
      </c>
      <c r="EX37" s="21">
        <f>EXP(-LN(2)/2)*EX36+(1-EXP(-LN(2)/2))/(LN(2)/2)*ER37*EU37*VLOOKUP('Données projet'!$B$15,Paramètres!$A$1:$I$89,3,0)*0.475*44/12</f>
        <v>2.2697284368276396</v>
      </c>
      <c r="EY37" s="22">
        <f t="shared" si="21"/>
        <v>16.793665295789523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</v>
      </c>
      <c r="FE37" s="12">
        <f>IF('Données projet'!$A$218&gt;35,FE36+FD37-FM36,IF(A37&lt;'Données projet'!$A$218,$FB$205^A37,IF(A37='Données projet'!$A$218,'Données projet'!$B$218,FE36+FD37-FM36)))</f>
        <v>140</v>
      </c>
      <c r="FF37" s="17">
        <f>FE37*VLOOKUP('Données projet'!$B$16,Paramètres!$A$1:$I$89,3,0)*VLOOKUP('Données projet'!$B$16,Paramètres!$A$1:$I$89,5,0)</f>
        <v>65.52</v>
      </c>
      <c r="FG37" s="13">
        <f t="shared" si="47"/>
        <v>18.556669503136725</v>
      </c>
      <c r="FH37" s="20">
        <f t="shared" si="22"/>
        <v>146.43353271796309</v>
      </c>
      <c r="FI37" s="59">
        <f t="shared" si="23"/>
        <v>439.7668660512964</v>
      </c>
      <c r="FJ37" s="59">
        <f ca="1">AVERAGE(OFFSET($FI$3,0,0,'Données projet'!$E$16+1,1))-AVERAGE(OFFSET($H$3,0,0,'Données projet'!$E$16+1,1))</f>
        <v>166.27444639635013</v>
      </c>
      <c r="FK37" s="59">
        <f t="shared" si="48"/>
        <v>213.60182977243113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4.4163298884336335</v>
      </c>
      <c r="FR37" s="21">
        <f>EXP(-LN(2)/25)*FR36+(1-EXP(-LN(2)/25))/(LN(2)/25)*Calculateur!FM37*Calculateur!FO37*VLOOKUP('Données projet'!$B$16,Paramètres!$A$1:$I$89,3,0)*0.475*44/12</f>
        <v>9.5889111683964465</v>
      </c>
      <c r="FS37" s="21">
        <f>EXP(-LN(2)/2)*FS36+(1-EXP(-LN(2)/2))/(LN(2)/2)*FM37*FP37*VLOOKUP('Données projet'!$B$16,Paramètres!$A$1:$I$89,3,0)*0.475*44/12</f>
        <v>3.2455438808596142</v>
      </c>
      <c r="FT37" s="22">
        <f t="shared" si="24"/>
        <v>17.250784937689694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5.2</v>
      </c>
      <c r="M38" s="12">
        <f t="array" ref="M38">INDEX(L:L,MIN(IF(ISNUMBER(L38:L234),ROW(L38:L234),"")))</f>
        <v>5.2</v>
      </c>
      <c r="N38" s="13">
        <f>IF('Données projet'!$A$36&gt;35,N37+M38-V37,IF(A38&lt;'Données projet'!$A$36,$K$205^A38,IF(A38='Données projet'!$A$36,'Données projet'!$B$36,N37+M38-V37)))</f>
        <v>146.99999999999994</v>
      </c>
      <c r="O38" s="13">
        <f>N38*VLOOKUP('Données projet'!$B$9,Paramètres!$A$1:$I$89,3,0)*VLOOKUP('Données projet'!$B$9,Paramètres!$A$1:$I$89,5,0)</f>
        <v>133.00559999999996</v>
      </c>
      <c r="P38" s="13">
        <f t="shared" si="33"/>
        <v>34.689938673073549</v>
      </c>
      <c r="Q38" s="20">
        <f t="shared" si="53"/>
        <v>292.06972985560304</v>
      </c>
      <c r="R38" s="59">
        <f t="shared" si="0"/>
        <v>585.40306318893636</v>
      </c>
      <c r="S38" s="59">
        <f ca="1">AVERAGE(OFFSET($R$3,0,0,'Données projet'!$E$9+1,1))-AVERAGE(OFFSET($H$3,0,0,'Données projet'!$E$9+1,1))</f>
        <v>458.37755197712164</v>
      </c>
      <c r="T38" s="59">
        <f t="shared" si="34"/>
        <v>278.21741231699917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5.2</v>
      </c>
      <c r="AH38" s="12">
        <f t="array" ref="AH38">INDEX(AG:AG,MIN(IF(ISNUMBER(AG38:AG234),ROW(AG38:AG234),"")))</f>
        <v>5.2</v>
      </c>
      <c r="AI38" s="13">
        <f>IF('Données projet'!$A$62&gt;35,AI37+AH38-AQ37,IF(A38&lt;'Données projet'!$A$62,$AF$205^A38,IF(A38='Données projet'!$A$62,'Données projet'!$B$62,AI37+AH38-AQ37)))</f>
        <v>146.99999999999994</v>
      </c>
      <c r="AJ38" s="13">
        <f>AI38*VLOOKUP('Données projet'!$B$10,Paramètres!$A$1:$I$89,3,0)*VLOOKUP('Données projet'!$B$10,Paramètres!$A$1:$I$89,5,0)</f>
        <v>149.05799999999996</v>
      </c>
      <c r="AK38" s="13">
        <f t="shared" si="35"/>
        <v>38.3644343143703</v>
      </c>
      <c r="AL38" s="20">
        <f t="shared" si="4"/>
        <v>326.42740643086154</v>
      </c>
      <c r="AM38" s="59">
        <f t="shared" si="5"/>
        <v>619.7607397641948</v>
      </c>
      <c r="AN38" s="59">
        <f ca="1">AVERAGE(OFFSET($AM$3,0,0,'Données projet'!$E$10+1,1))-AVERAGE(OFFSET($H$3,0,0,'Données projet'!$E$10+1,1))</f>
        <v>508.60701013958447</v>
      </c>
      <c r="AO38" s="59">
        <f t="shared" si="36"/>
        <v>306.61893266146654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116</v>
      </c>
      <c r="BB38" s="12">
        <f>VLOOKUP(A38,'Données projet'!$A$87:$I$107,9,0)</f>
        <v>3.8</v>
      </c>
      <c r="BC38" s="12">
        <f t="array" ref="BC38">INDEX(BB:BB,MIN(IF(ISNUMBER(BB38:BB234),ROW(BB38:BB234),"")))</f>
        <v>3.8</v>
      </c>
      <c r="BD38" s="12">
        <f>IF('Données projet'!$A$88&gt;35,BD37+BC38-BL37,IF(A38&lt;'Données projet'!$A$88,$BA$205^A38,IF(A38='Données projet'!$A$88,'Données projet'!$B$88,BD37+BC38-BL37)))</f>
        <v>116.00000000000001</v>
      </c>
      <c r="BE38" s="13">
        <f>BD38*VLOOKUP('Données projet'!$B$11,Paramètres!$A$1:$I$89,3,0)*VLOOKUP('Données projet'!$B$11,Paramètres!$A$1:$I$89,5,0)</f>
        <v>110.38560000000001</v>
      </c>
      <c r="BF38" s="13">
        <f t="shared" si="37"/>
        <v>29.421816429201407</v>
      </c>
      <c r="BG38" s="20">
        <f t="shared" si="7"/>
        <v>243.49791694752579</v>
      </c>
      <c r="BH38" s="59">
        <f t="shared" si="8"/>
        <v>536.83125028085908</v>
      </c>
      <c r="BI38" s="59">
        <f ca="1">AVERAGE(OFFSET($BH$3,0,0,'Données projet'!$E$11+1,1))-AVERAGE(OFFSET($H$3,0,0,'Données projet'!$E$11+1,1))</f>
        <v>291.17074241052887</v>
      </c>
      <c r="BJ38" s="59">
        <f t="shared" si="38"/>
        <v>241.18285512887638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21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147</v>
      </c>
      <c r="BW38" s="12">
        <f>VLOOKUP(A38,'Données projet'!$A$113:$I$133,9,0)</f>
        <v>5.2</v>
      </c>
      <c r="BX38" s="12">
        <f t="array" ref="BX38">INDEX(BW:BW,MIN(IF(ISNUMBER(BW38:BW234),ROW(BW38:BW234),"")))</f>
        <v>5.2</v>
      </c>
      <c r="BY38" s="12">
        <f>IF('Données projet'!$A$114&gt;35,BY37+BX38-CG37,IF(A38&lt;'Données projet'!$A$114,$BV$205^A38,IF(A38='Données projet'!$A$114,'Données projet'!$B$114,BY37+BX38-CG37)))</f>
        <v>146.99999999999994</v>
      </c>
      <c r="BZ38" s="13">
        <f>BY38*VLOOKUP('Données projet'!$B$12,Paramètres!$A$1:$I$89,3,0)*VLOOKUP('Données projet'!$B$12,Paramètres!$A$1:$I$89,5,0)</f>
        <v>123.83279999999998</v>
      </c>
      <c r="CA38" s="13">
        <f t="shared" si="39"/>
        <v>32.567294628684579</v>
      </c>
      <c r="CB38" s="20">
        <f t="shared" si="10"/>
        <v>272.3968314782922</v>
      </c>
      <c r="CC38" s="59">
        <f t="shared" si="11"/>
        <v>565.73016481162551</v>
      </c>
      <c r="CD38" s="59">
        <f ca="1">AVERAGE(OFFSET($CC$3,0,0,'Données projet'!$E$12+1,1))-AVERAGE(OFFSET($H$3,0,0,'Données projet'!$E$12+1,1))</f>
        <v>429.61977776013185</v>
      </c>
      <c r="CE38" s="59">
        <f t="shared" si="40"/>
        <v>261.95434270986385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172</v>
      </c>
      <c r="CR38" s="12">
        <f>VLOOKUP(A38,'Données projet'!$A$139:$I$159,9,0)</f>
        <v>10.8</v>
      </c>
      <c r="CS38" s="12">
        <f t="array" ref="CS38">INDEX(CR:CR,MIN(IF(ISNUMBER(CR38:CR234),ROW(CR38:CR234),"")))</f>
        <v>10.8</v>
      </c>
      <c r="CT38" s="12">
        <f>IF('Données projet'!$A$140&gt;35,CT37+CS38-DB37,IF(A38&lt;'Données projet'!$A$140,$CQ$205^A38,IF(A38='Données projet'!$A$140,'Données projet'!$B$140,CT37+CS38-DB37)))</f>
        <v>172.00000000000003</v>
      </c>
      <c r="CU38" s="17">
        <f>CT38*VLOOKUP('Données projet'!$B$13,Paramètres!$A$1:$I$89,3,0)*VLOOKUP('Données projet'!$B$13,Paramètres!$A$1:$I$89,5,0)</f>
        <v>112.69440000000002</v>
      </c>
      <c r="CV38" s="13">
        <f t="shared" si="41"/>
        <v>29.964909381330632</v>
      </c>
      <c r="CW38" s="20">
        <f t="shared" si="13"/>
        <v>248.46496383915087</v>
      </c>
      <c r="CX38" s="59">
        <f t="shared" si="14"/>
        <v>541.79829717248413</v>
      </c>
      <c r="CY38" s="59">
        <f ca="1">AVERAGE(OFFSET($CX$3,0,0,'Données projet'!$E$13+1,1))-AVERAGE(OFFSET($H$3,0,0,'Données projet'!$E$13+1,1))</f>
        <v>255.09913504736693</v>
      </c>
      <c r="CZ38" s="59">
        <f t="shared" si="42"/>
        <v>248.42617382406644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8.6000000000000007E-2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1.7441244959493334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1.7441244959493334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116</v>
      </c>
      <c r="DM38" s="12">
        <f>VLOOKUP(A38,'Données projet'!$A$165:$I$185,9,0)</f>
        <v>3.8</v>
      </c>
      <c r="DN38" s="12">
        <f t="array" ref="DN38">INDEX(DM:DM,MIN(IF(ISNUMBER(DM38:DM234),ROW(DM38:DM234),"")))</f>
        <v>3.8</v>
      </c>
      <c r="DO38" s="12">
        <f>IF('Données projet'!$A$166&gt;35,DO37+DN38-DW37,IF(A38&lt;'Données projet'!$A$166,$DL$205^A38,IF(A38='Données projet'!$A$166,'Données projet'!$B$166,DO37+DN38-DW37)))</f>
        <v>116.00000000000001</v>
      </c>
      <c r="DP38" s="17">
        <f>DO38*VLOOKUP('Données projet'!$B$14,Paramètres!$A$1:$I$89,3,0)*VLOOKUP('Données projet'!$B$14,Paramètres!$A$1:$I$89,5,0)</f>
        <v>132.10080000000002</v>
      </c>
      <c r="DQ38" s="13">
        <f t="shared" si="43"/>
        <v>34.481338697931115</v>
      </c>
      <c r="DR38" s="20">
        <f t="shared" si="16"/>
        <v>290.13055823223004</v>
      </c>
      <c r="DS38" s="59">
        <f t="shared" si="17"/>
        <v>583.46389156556336</v>
      </c>
      <c r="DT38" s="59">
        <f ca="1">AVERAGE(OFFSET($DS$3,0,0,'Données projet'!$E$14+1,1))-AVERAGE(OFFSET($H$3,0,0,'Données projet'!$E$14+1,1))</f>
        <v>459.67331926893809</v>
      </c>
      <c r="DU38" s="59">
        <f t="shared" si="44"/>
        <v>280.33242658375497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21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217.9</v>
      </c>
      <c r="EH38" s="12">
        <f>VLOOKUP(A38,'Données projet'!$A$191:$I$211,9,0)</f>
        <v>12.228000000000003</v>
      </c>
      <c r="EI38" s="12">
        <f t="array" ref="EI38">INDEX(EH:EH,MIN(IF(ISNUMBER(EH38:EH234),ROW(EH38:EH234),"")))</f>
        <v>12.228000000000003</v>
      </c>
      <c r="EJ38" s="12">
        <f>IF('Données projet'!$A$192&gt;35,EJ37+EI38-ER37,IF(A38&lt;'Données projet'!$A$192,$EG$205^A38,IF(A38='Données projet'!$A$192,'Données projet'!$B$192,EJ37+EI38-ER37)))</f>
        <v>217.90000000000006</v>
      </c>
      <c r="EK38" s="17">
        <f>EJ38*VLOOKUP('Données projet'!$B$15,Paramètres!$A$1:$I$89,3,0)*VLOOKUP('Données projet'!$B$15,Paramètres!$A$1:$I$89,5,0)</f>
        <v>130.30420000000007</v>
      </c>
      <c r="EL38" s="13">
        <f t="shared" si="45"/>
        <v>34.066641456259198</v>
      </c>
      <c r="EM38" s="20">
        <f t="shared" si="19"/>
        <v>286.27921553631819</v>
      </c>
      <c r="EN38" s="59">
        <f t="shared" si="20"/>
        <v>579.6125488696515</v>
      </c>
      <c r="EO38" s="59">
        <f ca="1">AVERAGE(OFFSET($EN$3,0,0,'Données projet'!$E$15+1,1))-AVERAGE(OFFSET($H$3,0,0,'Données projet'!$E$15+1,1))</f>
        <v>264.08053957457469</v>
      </c>
      <c r="EP38" s="59">
        <f t="shared" si="46"/>
        <v>284.83300065761051</v>
      </c>
      <c r="EQ38" s="15">
        <f>IF(ISNA(VLOOKUP(A38,'Données projet'!$A$191:$I$211,3,0)),0,VLOOKUP(A38,'Données projet'!$A$191:$I$211,3,0))</f>
        <v>4</v>
      </c>
      <c r="ER38" s="15">
        <f>IF(ISNA(VLOOKUP(A38,'Données projet'!$A$191:$I$211,4,0)),0,VLOOKUP(A38,'Données projet'!$A$191:$I$211,4,0))</f>
        <v>32.89</v>
      </c>
      <c r="ES38" s="16">
        <f>IF(ISNA(VLOOKUP(A38,'Données projet'!$A$191:$I$211,5,0)),0%,VLOOKUP(A38,'Données projet'!$A$191:$I$211,5,0)*VLOOKUP('Données projet'!$B$15,Paramètres!$A$1:$I$89,7,0))</f>
        <v>0.18000000000000002</v>
      </c>
      <c r="ET38" s="16">
        <f>IF(ISNA(VLOOKUP(A38,'Données projet'!$A$191:$I$211,6,0)),0%,VLOOKUP(A38,'Données projet'!$A$191:$I$211,6,0)*VLOOKUP('Données projet'!$B$15,Paramètres!$A$1:$I$89,7,0))</f>
        <v>0.15300000000000002</v>
      </c>
      <c r="EU38" s="16">
        <f>IF(ISNA(VLOOKUP(A38,'Données projet'!$A$191:$I$211,7,0)),0%,VLOOKUP(A38,'Données projet'!$A$191:$I$211,7,0))</f>
        <v>0.26</v>
      </c>
      <c r="EV38" s="21">
        <f>EXP(-LN(2)/35)*EV37+(1-EXP(-LN(2)/35))/(LN(2)/35)*ER38*ES38*VLOOKUP('Données projet'!$B$15,Paramètres!$A$1:$I$89,3,0)*0.475*44/12</f>
        <v>6.7307628729737043</v>
      </c>
      <c r="EW38" s="21">
        <f>EXP(-LN(2)/25)*EW37+(1-EXP(-LN(2)/25))/(LN(2)/25)*Calculateur!ER38*Calculateur!ET38*VLOOKUP('Données projet'!$B$15,Paramètres!$A$1:$I$89,3,0)*0.475*44/12</f>
        <v>16.084706988209142</v>
      </c>
      <c r="EX38" s="21">
        <f>EXP(-LN(2)/2)*EX37+(1-EXP(-LN(2)/2))/(LN(2)/2)*ER38*EU38*VLOOKUP('Données projet'!$B$15,Paramètres!$A$1:$I$89,3,0)*0.475*44/12</f>
        <v>7.3948787880353235</v>
      </c>
      <c r="EY38" s="22">
        <f t="shared" si="21"/>
        <v>30.210348649218172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10</v>
      </c>
      <c r="FE38" s="12">
        <f>IF('Données projet'!$A$218&gt;35,FE37+FD38-FM37,IF(A38&lt;'Données projet'!$A$218,$FB$205^A38,IF(A38='Données projet'!$A$218,'Données projet'!$B$218,FE37+FD38-FM37)))</f>
        <v>150</v>
      </c>
      <c r="FF38" s="17">
        <f>FE38*VLOOKUP('Données projet'!$B$16,Paramètres!$A$1:$I$89,3,0)*VLOOKUP('Données projet'!$B$16,Paramètres!$A$1:$I$89,5,0)</f>
        <v>70.2</v>
      </c>
      <c r="FG38" s="13">
        <f t="shared" si="47"/>
        <v>19.723116370112194</v>
      </c>
      <c r="FH38" s="20">
        <f t="shared" si="22"/>
        <v>156.61609434461207</v>
      </c>
      <c r="FI38" s="59">
        <f t="shared" si="23"/>
        <v>449.94942767794538</v>
      </c>
      <c r="FJ38" s="59">
        <f ca="1">AVERAGE(OFFSET($FI$3,0,0,'Données projet'!$E$16+1,1))-AVERAGE(OFFSET($H$3,0,0,'Données projet'!$E$16+1,1))</f>
        <v>166.27444639635013</v>
      </c>
      <c r="FK38" s="59">
        <f t="shared" si="48"/>
        <v>213.60182977243113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4.3297283530167014</v>
      </c>
      <c r="FR38" s="21">
        <f>EXP(-LN(2)/25)*FR37+(1-EXP(-LN(2)/25))/(LN(2)/25)*Calculateur!FM38*Calculateur!FO38*VLOOKUP('Données projet'!$B$16,Paramètres!$A$1:$I$89,3,0)*0.475*44/12</f>
        <v>9.3267018882377233</v>
      </c>
      <c r="FS38" s="21">
        <f>EXP(-LN(2)/2)*FS37+(1-EXP(-LN(2)/2))/(LN(2)/2)*FM38*FP38*VLOOKUP('Données projet'!$B$16,Paramètres!$A$1:$I$89,3,0)*0.475*44/12</f>
        <v>2.2949460867943374</v>
      </c>
      <c r="FT38" s="22">
        <f t="shared" si="24"/>
        <v>15.951376328048763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130.19999999999993</v>
      </c>
      <c r="O39" s="13">
        <f>N39*VLOOKUP('Données projet'!$B$9,Paramètres!$A$1:$I$89,3,0)*VLOOKUP('Données projet'!$B$9,Paramètres!$A$1:$I$89,5,0)</f>
        <v>117.80495999999992</v>
      </c>
      <c r="P39" s="13">
        <f t="shared" si="33"/>
        <v>31.162493487829565</v>
      </c>
      <c r="Q39" s="20">
        <f t="shared" si="53"/>
        <v>259.45164815796966</v>
      </c>
      <c r="R39" s="59">
        <f t="shared" si="0"/>
        <v>552.78498149130291</v>
      </c>
      <c r="S39" s="59">
        <f ca="1">AVERAGE(OFFSET($R$3,0,0,'Données projet'!$E$9+1,1))-AVERAGE(OFFSET($H$3,0,0,'Données projet'!$E$9+1,1))</f>
        <v>458.37755197712164</v>
      </c>
      <c r="T39" s="59">
        <f t="shared" si="34"/>
        <v>278.21741231699917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130.19999999999993</v>
      </c>
      <c r="AJ39" s="13">
        <f>AI39*VLOOKUP('Données projet'!$B$10,Paramètres!$A$1:$I$89,3,0)*VLOOKUP('Données projet'!$B$10,Paramètres!$A$1:$I$89,5,0)</f>
        <v>132.02279999999993</v>
      </c>
      <c r="AK39" s="13">
        <f t="shared" si="35"/>
        <v>34.46334816999277</v>
      </c>
      <c r="AL39" s="20">
        <f t="shared" si="4"/>
        <v>289.96337472940394</v>
      </c>
      <c r="AM39" s="59">
        <f t="shared" si="5"/>
        <v>583.29670806273725</v>
      </c>
      <c r="AN39" s="59">
        <f ca="1">AVERAGE(OFFSET($AM$3,0,0,'Données projet'!$E$10+1,1))-AVERAGE(OFFSET($H$3,0,0,'Données projet'!$E$10+1,1))</f>
        <v>508.60701013958447</v>
      </c>
      <c r="AO39" s="59">
        <f t="shared" si="36"/>
        <v>306.61893266146654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8.4</v>
      </c>
      <c r="BD39" s="12">
        <f>IF('Données projet'!$A$88&gt;35,BD38+BC39-BL38,IF(A39&lt;'Données projet'!$A$88,$BA$205^A39,IF(A39='Données projet'!$A$88,'Données projet'!$B$88,BD38+BC39-BL38)))</f>
        <v>103.40000000000002</v>
      </c>
      <c r="BE39" s="13">
        <f>BD39*VLOOKUP('Données projet'!$B$11,Paramètres!$A$1:$I$89,3,0)*VLOOKUP('Données projet'!$B$11,Paramètres!$A$1:$I$89,5,0)</f>
        <v>98.395440000000022</v>
      </c>
      <c r="BF39" s="13">
        <f t="shared" si="37"/>
        <v>26.57937412584554</v>
      </c>
      <c r="BG39" s="20">
        <f t="shared" si="7"/>
        <v>217.66446793584771</v>
      </c>
      <c r="BH39" s="59">
        <f t="shared" si="8"/>
        <v>510.99780126918102</v>
      </c>
      <c r="BI39" s="59">
        <f ca="1">AVERAGE(OFFSET($BH$3,0,0,'Données projet'!$E$11+1,1))-AVERAGE(OFFSET($H$3,0,0,'Données projet'!$E$11+1,1))</f>
        <v>291.17074241052887</v>
      </c>
      <c r="BJ39" s="59">
        <f t="shared" si="38"/>
        <v>241.18285512887638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11.2</v>
      </c>
      <c r="BY39" s="12">
        <f>IF('Données projet'!$A$114&gt;35,BY38+BX39-CG38,IF(A39&lt;'Données projet'!$A$114,$BV$205^A39,IF(A39='Données projet'!$A$114,'Données projet'!$B$114,BY38+BX39-CG38)))</f>
        <v>130.19999999999993</v>
      </c>
      <c r="BZ39" s="13">
        <f>BY39*VLOOKUP('Données projet'!$B$12,Paramètres!$A$1:$I$89,3,0)*VLOOKUP('Données projet'!$B$12,Paramètres!$A$1:$I$89,5,0)</f>
        <v>109.68047999999995</v>
      </c>
      <c r="CA39" s="13">
        <f t="shared" si="39"/>
        <v>29.255690427909634</v>
      </c>
      <c r="CB39" s="20">
        <f t="shared" si="10"/>
        <v>241.98049682860915</v>
      </c>
      <c r="CC39" s="59">
        <f t="shared" si="11"/>
        <v>535.31383016194241</v>
      </c>
      <c r="CD39" s="59">
        <f ca="1">AVERAGE(OFFSET($CC$3,0,0,'Données projet'!$E$12+1,1))-AVERAGE(OFFSET($H$3,0,0,'Données projet'!$E$12+1,1))</f>
        <v>429.61977776013185</v>
      </c>
      <c r="CE39" s="59">
        <f t="shared" si="40"/>
        <v>261.95434270986385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9.6</v>
      </c>
      <c r="CT39" s="12">
        <f>IF('Données projet'!$A$140&gt;35,CT38+CS39-DB38,IF(A39&lt;'Données projet'!$A$140,$CQ$205^A39,IF(A39='Données projet'!$A$140,'Données projet'!$B$140,CT38+CS39-DB38)))</f>
        <v>153.60000000000002</v>
      </c>
      <c r="CU39" s="17">
        <f>CT39*VLOOKUP('Données projet'!$B$13,Paramètres!$A$1:$I$89,3,0)*VLOOKUP('Données projet'!$B$13,Paramètres!$A$1:$I$89,5,0)</f>
        <v>100.63872000000001</v>
      </c>
      <c r="CV39" s="13">
        <f t="shared" si="41"/>
        <v>27.114107349094599</v>
      </c>
      <c r="CW39" s="20">
        <f t="shared" si="13"/>
        <v>222.50284096633973</v>
      </c>
      <c r="CX39" s="59">
        <f t="shared" si="14"/>
        <v>515.83617429967308</v>
      </c>
      <c r="CY39" s="59">
        <f ca="1">AVERAGE(OFFSET($CX$3,0,0,'Données projet'!$E$13+1,1))-AVERAGE(OFFSET($H$3,0,0,'Données projet'!$E$13+1,1))</f>
        <v>255.09913504736693</v>
      </c>
      <c r="CZ39" s="59">
        <f t="shared" si="42"/>
        <v>248.42617382406644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1.709923278394667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1.709923278394667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8.4</v>
      </c>
      <c r="DO39" s="12">
        <f>IF('Données projet'!$A$166&gt;35,DO38+DN39-DW38,IF(A39&lt;'Données projet'!$A$166,$DL$205^A39,IF(A39='Données projet'!$A$166,'Données projet'!$B$166,DO38+DN39-DW38)))</f>
        <v>103.40000000000002</v>
      </c>
      <c r="DP39" s="17">
        <f>DO39*VLOOKUP('Données projet'!$B$14,Paramètres!$A$1:$I$89,3,0)*VLOOKUP('Données projet'!$B$14,Paramètres!$A$1:$I$89,5,0)</f>
        <v>117.75192000000003</v>
      </c>
      <c r="DQ39" s="13">
        <f t="shared" si="43"/>
        <v>31.150095841896462</v>
      </c>
      <c r="DR39" s="20">
        <f t="shared" si="16"/>
        <v>259.33767759130302</v>
      </c>
      <c r="DS39" s="59">
        <f t="shared" si="17"/>
        <v>552.67101092463633</v>
      </c>
      <c r="DT39" s="59">
        <f ca="1">AVERAGE(OFFSET($DS$3,0,0,'Données projet'!$E$14+1,1))-AVERAGE(OFFSET($H$3,0,0,'Données projet'!$E$14+1,1))</f>
        <v>459.67331926893809</v>
      </c>
      <c r="DU39" s="59">
        <f t="shared" si="44"/>
        <v>280.33242658375497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12.530000000000001</v>
      </c>
      <c r="EJ39" s="12">
        <f>IF('Données projet'!$A$192&gt;35,EJ38+EI39-ER38,IF(A39&lt;'Données projet'!$A$192,$EG$205^A39,IF(A39='Données projet'!$A$192,'Données projet'!$B$192,EJ38+EI39-ER38)))</f>
        <v>197.54000000000008</v>
      </c>
      <c r="EK39" s="17">
        <f>EJ39*VLOOKUP('Données projet'!$B$15,Paramètres!$A$1:$I$89,3,0)*VLOOKUP('Données projet'!$B$15,Paramètres!$A$1:$I$89,5,0)</f>
        <v>118.12892000000005</v>
      </c>
      <c r="EL39" s="13">
        <f t="shared" si="45"/>
        <v>31.238202273350542</v>
      </c>
      <c r="EM39" s="20">
        <f t="shared" si="19"/>
        <v>260.14773795941892</v>
      </c>
      <c r="EN39" s="59">
        <f t="shared" si="20"/>
        <v>553.48107129275218</v>
      </c>
      <c r="EO39" s="59">
        <f ca="1">AVERAGE(OFFSET($EN$3,0,0,'Données projet'!$E$15+1,1))-AVERAGE(OFFSET($H$3,0,0,'Données projet'!$E$15+1,1))</f>
        <v>264.08053957457469</v>
      </c>
      <c r="EP39" s="59">
        <f t="shared" si="46"/>
        <v>284.83300065761051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6.5987767183946717</v>
      </c>
      <c r="EW39" s="21">
        <f>EXP(-LN(2)/25)*EW38+(1-EXP(-LN(2)/25))/(LN(2)/25)*Calculateur!ER39*Calculateur!ET39*VLOOKUP('Données projet'!$B$15,Paramètres!$A$1:$I$89,3,0)*0.475*44/12</f>
        <v>15.644869829758584</v>
      </c>
      <c r="EX39" s="21">
        <f>EXP(-LN(2)/2)*EX38+(1-EXP(-LN(2)/2))/(LN(2)/2)*ER39*EU39*VLOOKUP('Données projet'!$B$15,Paramètres!$A$1:$I$89,3,0)*0.475*44/12</f>
        <v>5.2289689370723353</v>
      </c>
      <c r="EY39" s="22">
        <f t="shared" si="21"/>
        <v>27.472615485225589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10</v>
      </c>
      <c r="FE39" s="12">
        <f>IF('Données projet'!$A$218&gt;35,FE38+FD39-FM38,IF(A39&lt;'Données projet'!$A$218,$FB$205^A39,IF(A39='Données projet'!$A$218,'Données projet'!$B$218,FE38+FD39-FM38)))</f>
        <v>160</v>
      </c>
      <c r="FF39" s="17">
        <f>FE39*VLOOKUP('Données projet'!$B$16,Paramètres!$A$1:$I$89,3,0)*VLOOKUP('Données projet'!$B$16,Paramètres!$A$1:$I$89,5,0)</f>
        <v>74.88</v>
      </c>
      <c r="FG39" s="13">
        <f t="shared" si="47"/>
        <v>20.880539585643231</v>
      </c>
      <c r="FH39" s="20">
        <f t="shared" si="22"/>
        <v>166.78293977832863</v>
      </c>
      <c r="FI39" s="59">
        <f t="shared" si="23"/>
        <v>460.11627311166194</v>
      </c>
      <c r="FJ39" s="59">
        <f ca="1">AVERAGE(OFFSET($FI$3,0,0,'Données projet'!$E$16+1,1))-AVERAGE(OFFSET($H$3,0,0,'Données projet'!$E$16+1,1))</f>
        <v>166.27444639635013</v>
      </c>
      <c r="FK39" s="59">
        <f t="shared" si="48"/>
        <v>213.60182977243113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4.2448250208875749</v>
      </c>
      <c r="FR39" s="21">
        <f>EXP(-LN(2)/25)*FR38+(1-EXP(-LN(2)/25))/(LN(2)/25)*Calculateur!FM39*Calculateur!FO39*VLOOKUP('Données projet'!$B$16,Paramètres!$A$1:$I$89,3,0)*0.475*44/12</f>
        <v>9.0716627346339269</v>
      </c>
      <c r="FS39" s="21">
        <f>EXP(-LN(2)/2)*FS38+(1-EXP(-LN(2)/2))/(LN(2)/2)*FM39*FP39*VLOOKUP('Données projet'!$B$16,Paramètres!$A$1:$I$89,3,0)*0.475*44/12</f>
        <v>1.6227719404298071</v>
      </c>
      <c r="FT39" s="22">
        <f t="shared" si="24"/>
        <v>14.939259695951309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141.39999999999992</v>
      </c>
      <c r="O40" s="13">
        <f>N40*VLOOKUP('Données projet'!$B$9,Paramètres!$A$1:$I$89,3,0)*VLOOKUP('Données projet'!$B$9,Paramètres!$A$1:$I$89,5,0)</f>
        <v>127.93871999999992</v>
      </c>
      <c r="P40" s="13">
        <f t="shared" si="33"/>
        <v>33.519615889545612</v>
      </c>
      <c r="Q40" s="20">
        <f t="shared" si="53"/>
        <v>281.20660167429179</v>
      </c>
      <c r="R40" s="59">
        <f t="shared" si="0"/>
        <v>574.5399350076251</v>
      </c>
      <c r="S40" s="59">
        <f ca="1">AVERAGE(OFFSET($R$3,0,0,'Données projet'!$E$9+1,1))-AVERAGE(OFFSET($H$3,0,0,'Données projet'!$E$9+1,1))</f>
        <v>458.37755197712164</v>
      </c>
      <c r="T40" s="59">
        <f t="shared" si="34"/>
        <v>278.21741231699917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141.39999999999992</v>
      </c>
      <c r="AJ40" s="13">
        <f>AI40*VLOOKUP('Données projet'!$B$10,Paramètres!$A$1:$I$89,3,0)*VLOOKUP('Données projet'!$B$10,Paramètres!$A$1:$I$89,5,0)</f>
        <v>143.37959999999993</v>
      </c>
      <c r="AK40" s="13">
        <f t="shared" si="35"/>
        <v>37.070146308317433</v>
      </c>
      <c r="AL40" s="20">
        <f t="shared" si="4"/>
        <v>314.28330815365268</v>
      </c>
      <c r="AM40" s="59">
        <f t="shared" si="5"/>
        <v>607.61664148698605</v>
      </c>
      <c r="AN40" s="59">
        <f ca="1">AVERAGE(OFFSET($AM$3,0,0,'Données projet'!$E$10+1,1))-AVERAGE(OFFSET($H$3,0,0,'Données projet'!$E$10+1,1))</f>
        <v>508.60701013958447</v>
      </c>
      <c r="AO40" s="59">
        <f t="shared" si="36"/>
        <v>306.61893266146654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8.4</v>
      </c>
      <c r="BD40" s="12">
        <f>IF('Données projet'!$A$88&gt;35,BD39+BC40-BL39,IF(A40&lt;'Données projet'!$A$88,$BA$205^A40,IF(A40='Données projet'!$A$88,'Données projet'!$B$88,BD39+BC40-BL39)))</f>
        <v>111.80000000000003</v>
      </c>
      <c r="BE40" s="13">
        <f>BD40*VLOOKUP('Données projet'!$B$11,Paramètres!$A$1:$I$89,3,0)*VLOOKUP('Données projet'!$B$11,Paramètres!$A$1:$I$89,5,0)</f>
        <v>106.38888000000001</v>
      </c>
      <c r="BF40" s="13">
        <f t="shared" si="37"/>
        <v>28.478530760975403</v>
      </c>
      <c r="BG40" s="20">
        <f t="shared" si="7"/>
        <v>234.89407374203219</v>
      </c>
      <c r="BH40" s="59">
        <f t="shared" si="8"/>
        <v>528.22740707536548</v>
      </c>
      <c r="BI40" s="59">
        <f ca="1">AVERAGE(OFFSET($BH$3,0,0,'Données projet'!$E$11+1,1))-AVERAGE(OFFSET($H$3,0,0,'Données projet'!$E$11+1,1))</f>
        <v>291.17074241052887</v>
      </c>
      <c r="BJ40" s="59">
        <f t="shared" si="38"/>
        <v>241.18285512887638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11.2</v>
      </c>
      <c r="BY40" s="12">
        <f>IF('Données projet'!$A$114&gt;35,BY39+BX40-CG39,IF(A40&lt;'Données projet'!$A$114,$BV$205^A40,IF(A40='Données projet'!$A$114,'Données projet'!$B$114,BY39+BX40-CG39)))</f>
        <v>141.39999999999992</v>
      </c>
      <c r="BZ40" s="13">
        <f>BY40*VLOOKUP('Données projet'!$B$12,Paramètres!$A$1:$I$89,3,0)*VLOOKUP('Données projet'!$B$12,Paramètres!$A$1:$I$89,5,0)</f>
        <v>119.11535999999995</v>
      </c>
      <c r="CA40" s="13">
        <f t="shared" si="39"/>
        <v>31.468582772748064</v>
      </c>
      <c r="CB40" s="20">
        <f t="shared" si="10"/>
        <v>262.26703366253611</v>
      </c>
      <c r="CC40" s="59">
        <f t="shared" si="11"/>
        <v>555.60036699586942</v>
      </c>
      <c r="CD40" s="59">
        <f ca="1">AVERAGE(OFFSET($CC$3,0,0,'Données projet'!$E$12+1,1))-AVERAGE(OFFSET($H$3,0,0,'Données projet'!$E$12+1,1))</f>
        <v>429.61977776013185</v>
      </c>
      <c r="CE40" s="59">
        <f t="shared" si="40"/>
        <v>261.95434270986385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9.6</v>
      </c>
      <c r="CT40" s="12">
        <f>IF('Données projet'!$A$140&gt;35,CT39+CS40-DB39,IF(A40&lt;'Données projet'!$A$140,$CQ$205^A40,IF(A40='Données projet'!$A$140,'Données projet'!$B$140,CT39+CS40-DB39)))</f>
        <v>163.20000000000002</v>
      </c>
      <c r="CU40" s="17">
        <f>CT40*VLOOKUP('Données projet'!$B$13,Paramètres!$A$1:$I$89,3,0)*VLOOKUP('Données projet'!$B$13,Paramètres!$A$1:$I$89,5,0)</f>
        <v>106.92864000000002</v>
      </c>
      <c r="CV40" s="13">
        <f t="shared" si="41"/>
        <v>28.606159868782942</v>
      </c>
      <c r="CW40" s="20">
        <f t="shared" si="13"/>
        <v>236.05644310479695</v>
      </c>
      <c r="CX40" s="59">
        <f t="shared" si="14"/>
        <v>529.3897764381303</v>
      </c>
      <c r="CY40" s="59">
        <f ca="1">AVERAGE(OFFSET($CX$3,0,0,'Données projet'!$E$13+1,1))-AVERAGE(OFFSET($H$3,0,0,'Données projet'!$E$13+1,1))</f>
        <v>255.09913504736693</v>
      </c>
      <c r="CZ40" s="59">
        <f t="shared" si="42"/>
        <v>248.42617382406644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1.6763927258555646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1.6763927258555646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8.4</v>
      </c>
      <c r="DO40" s="12">
        <f>IF('Données projet'!$A$166&gt;35,DO39+DN40-DW39,IF(A40&lt;'Données projet'!$A$166,$DL$205^A40,IF(A40='Données projet'!$A$166,'Données projet'!$B$166,DO39+DN40-DW39)))</f>
        <v>111.80000000000003</v>
      </c>
      <c r="DP40" s="17">
        <f>DO40*VLOOKUP('Données projet'!$B$14,Paramètres!$A$1:$I$89,3,0)*VLOOKUP('Données projet'!$B$14,Paramètres!$A$1:$I$89,5,0)</f>
        <v>127.31784000000003</v>
      </c>
      <c r="DQ40" s="13">
        <f t="shared" si="43"/>
        <v>33.375840922385144</v>
      </c>
      <c r="DR40" s="20">
        <f t="shared" si="16"/>
        <v>279.87482760648749</v>
      </c>
      <c r="DS40" s="59">
        <f t="shared" si="17"/>
        <v>573.2081609398208</v>
      </c>
      <c r="DT40" s="59">
        <f ca="1">AVERAGE(OFFSET($DS$3,0,0,'Données projet'!$E$14+1,1))-AVERAGE(OFFSET($H$3,0,0,'Données projet'!$E$14+1,1))</f>
        <v>459.67331926893809</v>
      </c>
      <c r="DU40" s="59">
        <f t="shared" si="44"/>
        <v>280.33242658375497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12.530000000000001</v>
      </c>
      <c r="EJ40" s="12">
        <f>IF('Données projet'!$A$192&gt;35,EJ39+EI40-ER39,IF(A40&lt;'Données projet'!$A$192,$EG$205^A40,IF(A40='Données projet'!$A$192,'Données projet'!$B$192,EJ39+EI40-ER39)))</f>
        <v>210.07000000000008</v>
      </c>
      <c r="EK40" s="17">
        <f>EJ40*VLOOKUP('Données projet'!$B$15,Paramètres!$A$1:$I$89,3,0)*VLOOKUP('Données projet'!$B$15,Paramètres!$A$1:$I$89,5,0)</f>
        <v>125.62186000000005</v>
      </c>
      <c r="EL40" s="13">
        <f t="shared" si="45"/>
        <v>32.982691506966873</v>
      </c>
      <c r="EM40" s="20">
        <f t="shared" si="19"/>
        <v>276.23626054130074</v>
      </c>
      <c r="EN40" s="59">
        <f t="shared" si="20"/>
        <v>569.56959387463405</v>
      </c>
      <c r="EO40" s="59">
        <f ca="1">AVERAGE(OFFSET($EN$3,0,0,'Données projet'!$E$15+1,1))-AVERAGE(OFFSET($H$3,0,0,'Données projet'!$E$15+1,1))</f>
        <v>264.08053957457469</v>
      </c>
      <c r="EP40" s="59">
        <f t="shared" si="46"/>
        <v>284.83300065761051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6.4693787318033289</v>
      </c>
      <c r="EW40" s="21">
        <f>EXP(-LN(2)/25)*EW39+(1-EXP(-LN(2)/25))/(LN(2)/25)*Calculateur!ER40*Calculateur!ET40*VLOOKUP('Données projet'!$B$15,Paramètres!$A$1:$I$89,3,0)*0.475*44/12</f>
        <v>15.217060041535888</v>
      </c>
      <c r="EX40" s="21">
        <f>EXP(-LN(2)/2)*EX39+(1-EXP(-LN(2)/2))/(LN(2)/2)*ER40*EU40*VLOOKUP('Données projet'!$B$15,Paramètres!$A$1:$I$89,3,0)*0.475*44/12</f>
        <v>3.6974393940176622</v>
      </c>
      <c r="EY40" s="22">
        <f t="shared" si="21"/>
        <v>25.383878167356876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10</v>
      </c>
      <c r="FE40" s="12">
        <f>IF('Données projet'!$A$218&gt;35,FE39+FD40-FM39,IF(A40&lt;'Données projet'!$A$218,$FB$205^A40,IF(A40='Données projet'!$A$218,'Données projet'!$B$218,FE39+FD40-FM39)))</f>
        <v>170</v>
      </c>
      <c r="FF40" s="17">
        <f>FE40*VLOOKUP('Données projet'!$B$16,Paramètres!$A$1:$I$89,3,0)*VLOOKUP('Données projet'!$B$16,Paramètres!$A$1:$I$89,5,0)</f>
        <v>79.56</v>
      </c>
      <c r="FG40" s="13">
        <f t="shared" si="47"/>
        <v>22.029567333453311</v>
      </c>
      <c r="FH40" s="20">
        <f t="shared" si="22"/>
        <v>176.93516310576453</v>
      </c>
      <c r="FI40" s="59">
        <f t="shared" si="23"/>
        <v>470.26849643909782</v>
      </c>
      <c r="FJ40" s="59">
        <f ca="1">AVERAGE(OFFSET($FI$3,0,0,'Données projet'!$E$16+1,1))-AVERAGE(OFFSET($H$3,0,0,'Données projet'!$E$16+1,1))</f>
        <v>166.27444639635013</v>
      </c>
      <c r="FK40" s="59">
        <f t="shared" si="48"/>
        <v>213.60182977243113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4.1615865913155812</v>
      </c>
      <c r="FR40" s="21">
        <f>EXP(-LN(2)/25)*FR39+(1-EXP(-LN(2)/25))/(LN(2)/25)*Calculateur!FM40*Calculateur!FO40*VLOOKUP('Données projet'!$B$16,Paramètres!$A$1:$I$89,3,0)*0.475*44/12</f>
        <v>8.8235976400973524</v>
      </c>
      <c r="FS40" s="21">
        <f>EXP(-LN(2)/2)*FS39+(1-EXP(-LN(2)/2))/(LN(2)/2)*FM40*FP40*VLOOKUP('Données projet'!$B$16,Paramètres!$A$1:$I$89,3,0)*0.475*44/12</f>
        <v>1.1474730433971687</v>
      </c>
      <c r="FT40" s="22">
        <f t="shared" si="24"/>
        <v>14.132657274810102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152.59999999999991</v>
      </c>
      <c r="O41" s="13">
        <f>N41*VLOOKUP('Données projet'!$B$9,Paramètres!$A$1:$I$89,3,0)*VLOOKUP('Données projet'!$B$9,Paramètres!$A$1:$I$89,5,0)</f>
        <v>138.0724799999999</v>
      </c>
      <c r="P41" s="13">
        <f t="shared" si="33"/>
        <v>35.855082076777961</v>
      </c>
      <c r="Q41" s="20">
        <f t="shared" si="53"/>
        <v>302.92383728372141</v>
      </c>
      <c r="R41" s="59">
        <f t="shared" si="0"/>
        <v>596.25717061705473</v>
      </c>
      <c r="S41" s="59">
        <f ca="1">AVERAGE(OFFSET($R$3,0,0,'Données projet'!$E$9+1,1))-AVERAGE(OFFSET($H$3,0,0,'Données projet'!$E$9+1,1))</f>
        <v>458.37755197712164</v>
      </c>
      <c r="T41" s="59">
        <f t="shared" si="34"/>
        <v>278.21741231699917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152.59999999999991</v>
      </c>
      <c r="AJ41" s="13">
        <f>AI41*VLOOKUP('Données projet'!$B$10,Paramètres!$A$1:$I$89,3,0)*VLOOKUP('Données projet'!$B$10,Paramètres!$A$1:$I$89,5,0)</f>
        <v>154.73639999999992</v>
      </c>
      <c r="AK41" s="13">
        <f t="shared" si="35"/>
        <v>39.652994320183666</v>
      </c>
      <c r="AL41" s="20">
        <f t="shared" si="4"/>
        <v>338.56152844098636</v>
      </c>
      <c r="AM41" s="59">
        <f t="shared" si="5"/>
        <v>631.89486177431968</v>
      </c>
      <c r="AN41" s="59">
        <f ca="1">AVERAGE(OFFSET($AM$3,0,0,'Données projet'!$E$10+1,1))-AVERAGE(OFFSET($H$3,0,0,'Données projet'!$E$10+1,1))</f>
        <v>508.60701013958447</v>
      </c>
      <c r="AO41" s="59">
        <f t="shared" si="36"/>
        <v>306.61893266146654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8.4</v>
      </c>
      <c r="BD41" s="12">
        <f>IF('Données projet'!$A$88&gt;35,BD40+BC41-BL40,IF(A41&lt;'Données projet'!$A$88,$BA$205^A41,IF(A41='Données projet'!$A$88,'Données projet'!$B$88,BD40+BC41-BL40)))</f>
        <v>120.20000000000003</v>
      </c>
      <c r="BE41" s="13">
        <f>BD41*VLOOKUP('Données projet'!$B$11,Paramètres!$A$1:$I$89,3,0)*VLOOKUP('Données projet'!$B$11,Paramètres!$A$1:$I$89,5,0)</f>
        <v>114.38232000000004</v>
      </c>
      <c r="BF41" s="13">
        <f t="shared" si="37"/>
        <v>30.361134085955022</v>
      </c>
      <c r="BG41" s="20">
        <f t="shared" si="7"/>
        <v>252.09484919970501</v>
      </c>
      <c r="BH41" s="59">
        <f t="shared" si="8"/>
        <v>545.42818253303835</v>
      </c>
      <c r="BI41" s="59">
        <f ca="1">AVERAGE(OFFSET($BH$3,0,0,'Données projet'!$E$11+1,1))-AVERAGE(OFFSET($H$3,0,0,'Données projet'!$E$11+1,1))</f>
        <v>291.17074241052887</v>
      </c>
      <c r="BJ41" s="59">
        <f t="shared" si="38"/>
        <v>241.18285512887638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11.2</v>
      </c>
      <c r="BY41" s="12">
        <f>IF('Données projet'!$A$114&gt;35,BY40+BX41-CG40,IF(A41&lt;'Données projet'!$A$114,$BV$205^A41,IF(A41='Données projet'!$A$114,'Données projet'!$B$114,BY40+BX41-CG40)))</f>
        <v>152.59999999999991</v>
      </c>
      <c r="BZ41" s="13">
        <f>BY41*VLOOKUP('Données projet'!$B$12,Paramètres!$A$1:$I$89,3,0)*VLOOKUP('Données projet'!$B$12,Paramètres!$A$1:$I$89,5,0)</f>
        <v>128.55023999999995</v>
      </c>
      <c r="CA41" s="13">
        <f t="shared" si="39"/>
        <v>33.661144026076663</v>
      </c>
      <c r="CB41" s="20">
        <f t="shared" si="10"/>
        <v>282.5181605120834</v>
      </c>
      <c r="CC41" s="59">
        <f t="shared" si="11"/>
        <v>575.85149384541671</v>
      </c>
      <c r="CD41" s="59">
        <f ca="1">AVERAGE(OFFSET($CC$3,0,0,'Données projet'!$E$12+1,1))-AVERAGE(OFFSET($H$3,0,0,'Données projet'!$E$12+1,1))</f>
        <v>429.61977776013185</v>
      </c>
      <c r="CE41" s="59">
        <f t="shared" si="40"/>
        <v>261.95434270986385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9.6</v>
      </c>
      <c r="CT41" s="12">
        <f>IF('Données projet'!$A$140&gt;35,CT40+CS41-DB40,IF(A41&lt;'Données projet'!$A$140,$CQ$205^A41,IF(A41='Données projet'!$A$140,'Données projet'!$B$140,CT40+CS41-DB40)))</f>
        <v>172.8</v>
      </c>
      <c r="CU41" s="17">
        <f>CT41*VLOOKUP('Données projet'!$B$13,Paramètres!$A$1:$I$89,3,0)*VLOOKUP('Données projet'!$B$13,Paramètres!$A$1:$I$89,5,0)</f>
        <v>113.21856000000001</v>
      </c>
      <c r="CV41" s="13">
        <f t="shared" si="41"/>
        <v>30.088024911766389</v>
      </c>
      <c r="CW41" s="20">
        <f t="shared" si="13"/>
        <v>249.59230205465977</v>
      </c>
      <c r="CX41" s="59">
        <f t="shared" si="14"/>
        <v>542.92563538799311</v>
      </c>
      <c r="CY41" s="59">
        <f ca="1">AVERAGE(OFFSET($CX$3,0,0,'Données projet'!$E$13+1,1))-AVERAGE(OFFSET($H$3,0,0,'Données projet'!$E$13+1,1))</f>
        <v>255.09913504736693</v>
      </c>
      <c r="CZ41" s="59">
        <f t="shared" si="42"/>
        <v>248.42617382406644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1.6435196870001365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1.6435196870001365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8.4</v>
      </c>
      <c r="DO41" s="12">
        <f>IF('Données projet'!$A$166&gt;35,DO40+DN41-DW40,IF(A41&lt;'Données projet'!$A$166,$DL$205^A41,IF(A41='Données projet'!$A$166,'Données projet'!$B$166,DO40+DN41-DW40)))</f>
        <v>120.20000000000003</v>
      </c>
      <c r="DP41" s="17">
        <f>DO41*VLOOKUP('Données projet'!$B$14,Paramètres!$A$1:$I$89,3,0)*VLOOKUP('Données projet'!$B$14,Paramètres!$A$1:$I$89,5,0)</f>
        <v>136.88376000000005</v>
      </c>
      <c r="DQ41" s="13">
        <f t="shared" si="43"/>
        <v>35.58218610296499</v>
      </c>
      <c r="DR41" s="20">
        <f t="shared" si="16"/>
        <v>300.37818946266407</v>
      </c>
      <c r="DS41" s="59">
        <f t="shared" si="17"/>
        <v>593.71152279599733</v>
      </c>
      <c r="DT41" s="59">
        <f ca="1">AVERAGE(OFFSET($DS$3,0,0,'Données projet'!$E$14+1,1))-AVERAGE(OFFSET($H$3,0,0,'Données projet'!$E$14+1,1))</f>
        <v>459.67331926893809</v>
      </c>
      <c r="DU41" s="59">
        <f t="shared" si="44"/>
        <v>280.33242658375497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12.530000000000001</v>
      </c>
      <c r="EJ41" s="12">
        <f>IF('Données projet'!$A$192&gt;35,EJ40+EI41-ER40,IF(A41&lt;'Données projet'!$A$192,$EG$205^A41,IF(A41='Données projet'!$A$192,'Données projet'!$B$192,EJ40+EI41-ER40)))</f>
        <v>222.60000000000008</v>
      </c>
      <c r="EK41" s="17">
        <f>EJ41*VLOOKUP('Données projet'!$B$15,Paramètres!$A$1:$I$89,3,0)*VLOOKUP('Données projet'!$B$15,Paramètres!$A$1:$I$89,5,0)</f>
        <v>133.11480000000006</v>
      </c>
      <c r="EL41" s="13">
        <f t="shared" si="45"/>
        <v>34.715103341058125</v>
      </c>
      <c r="EM41" s="20">
        <f t="shared" si="19"/>
        <v>292.30374831900969</v>
      </c>
      <c r="EN41" s="59">
        <f t="shared" si="20"/>
        <v>585.637081652343</v>
      </c>
      <c r="EO41" s="59">
        <f ca="1">AVERAGE(OFFSET($EN$3,0,0,'Données projet'!$E$15+1,1))-AVERAGE(OFFSET($H$3,0,0,'Données projet'!$E$15+1,1))</f>
        <v>264.08053957457469</v>
      </c>
      <c r="EP41" s="59">
        <f t="shared" si="46"/>
        <v>284.83300065761051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6.3425181608040635</v>
      </c>
      <c r="EW41" s="21">
        <f>EXP(-LN(2)/25)*EW40+(1-EXP(-LN(2)/25))/(LN(2)/25)*Calculateur!ER41*Calculateur!ET41*VLOOKUP('Données projet'!$B$15,Paramètres!$A$1:$I$89,3,0)*0.475*44/12</f>
        <v>14.80094873446968</v>
      </c>
      <c r="EX41" s="21">
        <f>EXP(-LN(2)/2)*EX40+(1-EXP(-LN(2)/2))/(LN(2)/2)*ER41*EU41*VLOOKUP('Données projet'!$B$15,Paramètres!$A$1:$I$89,3,0)*0.475*44/12</f>
        <v>2.6144844685361681</v>
      </c>
      <c r="EY41" s="22">
        <f t="shared" si="21"/>
        <v>23.757951363809912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10</v>
      </c>
      <c r="FE41" s="12">
        <f>IF('Données projet'!$A$218&gt;35,FE40+FD41-FM40,IF(A41&lt;'Données projet'!$A$218,$FB$205^A41,IF(A41='Données projet'!$A$218,'Données projet'!$B$218,FE40+FD41-FM40)))</f>
        <v>180</v>
      </c>
      <c r="FF41" s="17">
        <f>FE41*VLOOKUP('Données projet'!$B$16,Paramètres!$A$1:$I$89,3,0)*VLOOKUP('Données projet'!$B$16,Paramètres!$A$1:$I$89,5,0)</f>
        <v>84.24</v>
      </c>
      <c r="FG41" s="13">
        <f t="shared" si="47"/>
        <v>23.170749718409468</v>
      </c>
      <c r="FH41" s="20">
        <f t="shared" si="22"/>
        <v>187.07372242622981</v>
      </c>
      <c r="FI41" s="59">
        <f t="shared" si="23"/>
        <v>480.40705575956315</v>
      </c>
      <c r="FJ41" s="59">
        <f ca="1">AVERAGE(OFFSET($FI$3,0,0,'Données projet'!$E$16+1,1))-AVERAGE(OFFSET($H$3,0,0,'Données projet'!$E$16+1,1))</f>
        <v>166.27444639635013</v>
      </c>
      <c r="FK41" s="59">
        <f t="shared" si="48"/>
        <v>213.60182977243113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4.0799804165770652</v>
      </c>
      <c r="FR41" s="21">
        <f>EXP(-LN(2)/25)*FR40+(1-EXP(-LN(2)/25))/(LN(2)/25)*Calculateur!FM41*Calculateur!FO41*VLOOKUP('Données projet'!$B$16,Paramètres!$A$1:$I$89,3,0)*0.475*44/12</f>
        <v>8.5823158986160575</v>
      </c>
      <c r="FS41" s="21">
        <f>EXP(-LN(2)/2)*FS40+(1-EXP(-LN(2)/2))/(LN(2)/2)*FM41*FP41*VLOOKUP('Données projet'!$B$16,Paramètres!$A$1:$I$89,3,0)*0.475*44/12</f>
        <v>0.81138597021490355</v>
      </c>
      <c r="FT41" s="22">
        <f t="shared" si="24"/>
        <v>13.473682285408026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163.7999999999999</v>
      </c>
      <c r="O42" s="13">
        <f>N42*VLOOKUP('Données projet'!$B$9,Paramètres!$A$1:$I$89,3,0)*VLOOKUP('Données projet'!$B$9,Paramètres!$A$1:$I$89,5,0)</f>
        <v>148.20623999999989</v>
      </c>
      <c r="P42" s="13">
        <f t="shared" si="33"/>
        <v>38.170662245893759</v>
      </c>
      <c r="Q42" s="20">
        <f t="shared" si="53"/>
        <v>324.60643807826477</v>
      </c>
      <c r="R42" s="59">
        <f t="shared" si="0"/>
        <v>617.93977141159803</v>
      </c>
      <c r="S42" s="59">
        <f ca="1">AVERAGE(OFFSET($R$3,0,0,'Données projet'!$E$9+1,1))-AVERAGE(OFFSET($H$3,0,0,'Données projet'!$E$9+1,1))</f>
        <v>458.37755197712164</v>
      </c>
      <c r="T42" s="59">
        <f t="shared" si="34"/>
        <v>278.21741231699917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163.7999999999999</v>
      </c>
      <c r="AJ42" s="13">
        <f>AI42*VLOOKUP('Données projet'!$B$10,Paramètres!$A$1:$I$89,3,0)*VLOOKUP('Données projet'!$B$10,Paramètres!$A$1:$I$89,5,0)</f>
        <v>166.09319999999991</v>
      </c>
      <c r="AK42" s="13">
        <f t="shared" si="35"/>
        <v>42.213849908165869</v>
      </c>
      <c r="AL42" s="20">
        <f t="shared" si="4"/>
        <v>362.80144525672205</v>
      </c>
      <c r="AM42" s="59">
        <f t="shared" si="5"/>
        <v>656.13477859005536</v>
      </c>
      <c r="AN42" s="59">
        <f ca="1">AVERAGE(OFFSET($AM$3,0,0,'Données projet'!$E$10+1,1))-AVERAGE(OFFSET($H$3,0,0,'Données projet'!$E$10+1,1))</f>
        <v>508.60701013958447</v>
      </c>
      <c r="AO42" s="59">
        <f t="shared" si="36"/>
        <v>306.61893266146654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8.4</v>
      </c>
      <c r="BD42" s="12">
        <f>IF('Données projet'!$A$88&gt;35,BD41+BC42-BL41,IF(A42&lt;'Données projet'!$A$88,$BA$205^A42,IF(A42='Données projet'!$A$88,'Données projet'!$B$88,BD41+BC42-BL41)))</f>
        <v>128.60000000000002</v>
      </c>
      <c r="BE42" s="13">
        <f>BD42*VLOOKUP('Données projet'!$B$11,Paramètres!$A$1:$I$89,3,0)*VLOOKUP('Données projet'!$B$11,Paramètres!$A$1:$I$89,5,0)</f>
        <v>122.37576000000003</v>
      </c>
      <c r="BF42" s="13">
        <f t="shared" si="37"/>
        <v>32.22847248868726</v>
      </c>
      <c r="BG42" s="20">
        <f t="shared" si="7"/>
        <v>269.26903825113033</v>
      </c>
      <c r="BH42" s="59">
        <f t="shared" si="8"/>
        <v>562.60237158446364</v>
      </c>
      <c r="BI42" s="59">
        <f ca="1">AVERAGE(OFFSET($BH$3,0,0,'Données projet'!$E$11+1,1))-AVERAGE(OFFSET($H$3,0,0,'Données projet'!$E$11+1,1))</f>
        <v>291.17074241052887</v>
      </c>
      <c r="BJ42" s="59">
        <f t="shared" si="38"/>
        <v>241.18285512887638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11.2</v>
      </c>
      <c r="BY42" s="12">
        <f>IF('Données projet'!$A$114&gt;35,BY41+BX42-CG41,IF(A42&lt;'Données projet'!$A$114,$BV$205^A42,IF(A42='Données projet'!$A$114,'Données projet'!$B$114,BY41+BX42-CG41)))</f>
        <v>163.7999999999999</v>
      </c>
      <c r="BZ42" s="13">
        <f>BY42*VLOOKUP('Données projet'!$B$12,Paramètres!$A$1:$I$89,3,0)*VLOOKUP('Données projet'!$B$12,Paramètres!$A$1:$I$89,5,0)</f>
        <v>137.98511999999994</v>
      </c>
      <c r="CA42" s="13">
        <f t="shared" si="39"/>
        <v>35.835036067646307</v>
      </c>
      <c r="CB42" s="20">
        <f t="shared" si="10"/>
        <v>302.73677181781721</v>
      </c>
      <c r="CC42" s="59">
        <f t="shared" si="11"/>
        <v>596.07010515115053</v>
      </c>
      <c r="CD42" s="59">
        <f ca="1">AVERAGE(OFFSET($CC$3,0,0,'Données projet'!$E$12+1,1))-AVERAGE(OFFSET($H$3,0,0,'Données projet'!$E$12+1,1))</f>
        <v>429.61977776013185</v>
      </c>
      <c r="CE42" s="59">
        <f t="shared" si="40"/>
        <v>261.95434270986385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9.6</v>
      </c>
      <c r="CT42" s="12">
        <f>IF('Données projet'!$A$140&gt;35,CT41+CS42-DB41,IF(A42&lt;'Données projet'!$A$140,$CQ$205^A42,IF(A42='Données projet'!$A$140,'Données projet'!$B$140,CT41+CS42-DB41)))</f>
        <v>182.4</v>
      </c>
      <c r="CU42" s="17">
        <f>CT42*VLOOKUP('Données projet'!$B$13,Paramètres!$A$1:$I$89,3,0)*VLOOKUP('Données projet'!$B$13,Paramètres!$A$1:$I$89,5,0)</f>
        <v>119.50848000000001</v>
      </c>
      <c r="CV42" s="13">
        <f t="shared" si="41"/>
        <v>31.560332955588962</v>
      </c>
      <c r="CW42" s="20">
        <f t="shared" si="13"/>
        <v>263.11151589765069</v>
      </c>
      <c r="CX42" s="59">
        <f t="shared" si="14"/>
        <v>556.444849230984</v>
      </c>
      <c r="CY42" s="59">
        <f ca="1">AVERAGE(OFFSET($CX$3,0,0,'Données projet'!$E$13+1,1))-AVERAGE(OFFSET($H$3,0,0,'Données projet'!$E$13+1,1))</f>
        <v>255.09913504736693</v>
      </c>
      <c r="CZ42" s="59">
        <f t="shared" si="42"/>
        <v>248.42617382406644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1.6112912683860894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1.6112912683860894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8.4</v>
      </c>
      <c r="DO42" s="12">
        <f>IF('Données projet'!$A$166&gt;35,DO41+DN42-DW41,IF(A42&lt;'Données projet'!$A$166,$DL$205^A42,IF(A42='Données projet'!$A$166,'Données projet'!$B$166,DO41+DN42-DW41)))</f>
        <v>128.60000000000002</v>
      </c>
      <c r="DP42" s="17">
        <f>DO42*VLOOKUP('Données projet'!$B$14,Paramètres!$A$1:$I$89,3,0)*VLOOKUP('Données projet'!$B$14,Paramètres!$A$1:$I$89,5,0)</f>
        <v>146.44968000000003</v>
      </c>
      <c r="DQ42" s="13">
        <f t="shared" si="43"/>
        <v>37.770641329147324</v>
      </c>
      <c r="DR42" s="20">
        <f t="shared" si="16"/>
        <v>320.8503929815983</v>
      </c>
      <c r="DS42" s="59">
        <f t="shared" si="17"/>
        <v>614.18372631493162</v>
      </c>
      <c r="DT42" s="59">
        <f ca="1">AVERAGE(OFFSET($DS$3,0,0,'Données projet'!$E$14+1,1))-AVERAGE(OFFSET($H$3,0,0,'Données projet'!$E$14+1,1))</f>
        <v>459.67331926893809</v>
      </c>
      <c r="DU42" s="59">
        <f t="shared" si="44"/>
        <v>280.33242658375497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12.530000000000001</v>
      </c>
      <c r="EJ42" s="12">
        <f>IF('Données projet'!$A$192&gt;35,EJ41+EI42-ER41,IF(A42&lt;'Données projet'!$A$192,$EG$205^A42,IF(A42='Données projet'!$A$192,'Données projet'!$B$192,EJ41+EI42-ER41)))</f>
        <v>235.13000000000008</v>
      </c>
      <c r="EK42" s="17">
        <f>EJ42*VLOOKUP('Données projet'!$B$15,Paramètres!$A$1:$I$89,3,0)*VLOOKUP('Données projet'!$B$15,Paramètres!$A$1:$I$89,5,0)</f>
        <v>140.60774000000006</v>
      </c>
      <c r="EL42" s="13">
        <f t="shared" si="45"/>
        <v>36.436195076943051</v>
      </c>
      <c r="EM42" s="20">
        <f t="shared" si="19"/>
        <v>308.35152025900925</v>
      </c>
      <c r="EN42" s="59">
        <f t="shared" si="20"/>
        <v>601.68485359234251</v>
      </c>
      <c r="EO42" s="59">
        <f ca="1">AVERAGE(OFFSET($EN$3,0,0,'Données projet'!$E$15+1,1))-AVERAGE(OFFSET($H$3,0,0,'Données projet'!$E$15+1,1))</f>
        <v>264.08053957457469</v>
      </c>
      <c r="EP42" s="59">
        <f t="shared" si="46"/>
        <v>284.83300065761051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6.2181452482247863</v>
      </c>
      <c r="EW42" s="21">
        <f>EXP(-LN(2)/25)*EW41+(1-EXP(-LN(2)/25))/(LN(2)/25)*Calculateur!ER42*Calculateur!ET42*VLOOKUP('Données projet'!$B$15,Paramètres!$A$1:$I$89,3,0)*0.475*44/12</f>
        <v>14.39621601297754</v>
      </c>
      <c r="EX42" s="21">
        <f>EXP(-LN(2)/2)*EX41+(1-EXP(-LN(2)/2))/(LN(2)/2)*ER42*EU42*VLOOKUP('Données projet'!$B$15,Paramètres!$A$1:$I$89,3,0)*0.475*44/12</f>
        <v>1.8487196970088313</v>
      </c>
      <c r="EY42" s="22">
        <f t="shared" si="21"/>
        <v>22.463080958211158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10</v>
      </c>
      <c r="FE42" s="12">
        <f>IF('Données projet'!$A$218&gt;35,FE41+FD42-FM41,IF(A42&lt;'Données projet'!$A$218,$FB$205^A42,IF(A42='Données projet'!$A$218,'Données projet'!$B$218,FE41+FD42-FM41)))</f>
        <v>190</v>
      </c>
      <c r="FF42" s="17">
        <f>FE42*VLOOKUP('Données projet'!$B$16,Paramètres!$A$1:$I$89,3,0)*VLOOKUP('Données projet'!$B$16,Paramètres!$A$1:$I$89,5,0)</f>
        <v>88.919999999999987</v>
      </c>
      <c r="FG42" s="13">
        <f t="shared" si="47"/>
        <v>24.30457227046648</v>
      </c>
      <c r="FH42" s="20">
        <f t="shared" si="22"/>
        <v>197.19946337106239</v>
      </c>
      <c r="FI42" s="59">
        <f t="shared" si="23"/>
        <v>490.53279670439571</v>
      </c>
      <c r="FJ42" s="59">
        <f ca="1">AVERAGE(OFFSET($FI$3,0,0,'Données projet'!$E$16+1,1))-AVERAGE(OFFSET($H$3,0,0,'Données projet'!$E$16+1,1))</f>
        <v>166.27444639635013</v>
      </c>
      <c r="FK42" s="59">
        <f t="shared" si="48"/>
        <v>213.60182977243113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3.9999744891503197</v>
      </c>
      <c r="FR42" s="21">
        <f>EXP(-LN(2)/25)*FR41+(1-EXP(-LN(2)/25))/(LN(2)/25)*Calculateur!FM42*Calculateur!FO42*VLOOKUP('Données projet'!$B$16,Paramètres!$A$1:$I$89,3,0)*0.475*44/12</f>
        <v>8.3476320190440241</v>
      </c>
      <c r="FS42" s="21">
        <f>EXP(-LN(2)/2)*FS41+(1-EXP(-LN(2)/2))/(LN(2)/2)*FM42*FP42*VLOOKUP('Données projet'!$B$16,Paramètres!$A$1:$I$89,3,0)*0.475*44/12</f>
        <v>0.57373652169858436</v>
      </c>
      <c r="FT42" s="22">
        <f t="shared" si="24"/>
        <v>12.921343029892929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174.99999999999989</v>
      </c>
      <c r="O43" s="13">
        <f>N43*VLOOKUP('Données projet'!$B$9,Paramètres!$A$1:$I$89,3,0)*VLOOKUP('Données projet'!$B$9,Paramètres!$A$1:$I$89,5,0)</f>
        <v>158.33999999999989</v>
      </c>
      <c r="P43" s="13">
        <f t="shared" si="33"/>
        <v>40.467870812652784</v>
      </c>
      <c r="Q43" s="20">
        <f t="shared" si="53"/>
        <v>346.25704166537008</v>
      </c>
      <c r="R43" s="59">
        <f t="shared" si="0"/>
        <v>639.5903749987034</v>
      </c>
      <c r="S43" s="59">
        <f ca="1">AVERAGE(OFFSET($R$3,0,0,'Données projet'!$E$9+1,1))-AVERAGE(OFFSET($H$3,0,0,'Données projet'!$E$9+1,1))</f>
        <v>458.37755197712164</v>
      </c>
      <c r="T43" s="59">
        <f t="shared" si="34"/>
        <v>278.21741231699917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8.6000000000000007E-2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2.4085528753586032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2.4085528753586032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174.99999999999989</v>
      </c>
      <c r="AJ43" s="13">
        <f>AI43*VLOOKUP('Données projet'!$B$10,Paramètres!$A$1:$I$89,3,0)*VLOOKUP('Données projet'!$B$10,Paramètres!$A$1:$I$89,5,0)</f>
        <v>177.4499999999999</v>
      </c>
      <c r="AK43" s="13">
        <f t="shared" si="35"/>
        <v>44.754387900936756</v>
      </c>
      <c r="AL43" s="20">
        <f t="shared" si="4"/>
        <v>387.00597559413131</v>
      </c>
      <c r="AM43" s="59">
        <f t="shared" si="5"/>
        <v>680.33930892746457</v>
      </c>
      <c r="AN43" s="59">
        <f ca="1">AVERAGE(OFFSET($AM$3,0,0,'Données projet'!$E$10+1,1))-AVERAGE(OFFSET($H$3,0,0,'Données projet'!$E$10+1,1))</f>
        <v>508.60701013958447</v>
      </c>
      <c r="AO43" s="59">
        <f t="shared" si="36"/>
        <v>306.61893266146654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8.6000000000000007E-2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2.6992402913501592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2.6992402913501592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137</v>
      </c>
      <c r="BB43" s="12">
        <f>VLOOKUP(A43,'Données projet'!$A$87:$I$107,9,0)</f>
        <v>8.4</v>
      </c>
      <c r="BC43" s="12">
        <f t="array" ref="BC43">INDEX(BB:BB,MIN(IF(ISNUMBER(BB43:BB239),ROW(BB43:BB239),"")))</f>
        <v>8.4</v>
      </c>
      <c r="BD43" s="12">
        <f>IF('Données projet'!$A$88&gt;35,BD42+BC43-BL42,IF(A43&lt;'Données projet'!$A$88,$BA$205^A43,IF(A43='Données projet'!$A$88,'Données projet'!$B$88,BD42+BC43-BL42)))</f>
        <v>137.00000000000003</v>
      </c>
      <c r="BE43" s="13">
        <f>BD43*VLOOKUP('Données projet'!$B$11,Paramètres!$A$1:$I$89,3,0)*VLOOKUP('Données projet'!$B$11,Paramètres!$A$1:$I$89,5,0)</f>
        <v>130.36920000000003</v>
      </c>
      <c r="BF43" s="13">
        <f t="shared" si="37"/>
        <v>34.081656526320486</v>
      </c>
      <c r="BG43" s="20">
        <f t="shared" si="7"/>
        <v>286.4185751166749</v>
      </c>
      <c r="BH43" s="59">
        <f t="shared" si="8"/>
        <v>579.75190845000816</v>
      </c>
      <c r="BI43" s="59">
        <f ca="1">AVERAGE(OFFSET($BH$3,0,0,'Données projet'!$E$11+1,1))-AVERAGE(OFFSET($H$3,0,0,'Données projet'!$E$11+1,1))</f>
        <v>291.17074241052887</v>
      </c>
      <c r="BJ43" s="59">
        <f t="shared" si="38"/>
        <v>241.18285512887638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21</v>
      </c>
      <c r="BM43" s="16">
        <f>IF(ISNA(VLOOKUP(A43,'Données projet'!$A$87:$I$107,5,0)),0%,VLOOKUP(A43,'Données projet'!$A$87:$I$107,5,0)*VLOOKUP('Données projet'!$B$11,Paramètres!$A$1:$I$89,7,0))</f>
        <v>8.6000000000000007E-2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1.8998498973733813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1.8998498973733813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175</v>
      </c>
      <c r="BW43" s="12">
        <f>VLOOKUP(A43,'Données projet'!$A$113:$I$133,9,0)</f>
        <v>11.2</v>
      </c>
      <c r="BX43" s="12">
        <f t="array" ref="BX43">INDEX(BW:BW,MIN(IF(ISNUMBER(BW43:BW239),ROW(BW43:BW239),"")))</f>
        <v>11.2</v>
      </c>
      <c r="BY43" s="12">
        <f>IF('Données projet'!$A$114&gt;35,BY42+BX43-CG42,IF(A43&lt;'Données projet'!$A$114,$BV$205^A43,IF(A43='Données projet'!$A$114,'Données projet'!$B$114,BY42+BX43-CG42)))</f>
        <v>174.99999999999989</v>
      </c>
      <c r="BZ43" s="13">
        <f>BY43*VLOOKUP('Données projet'!$B$12,Paramètres!$A$1:$I$89,3,0)*VLOOKUP('Données projet'!$B$12,Paramètres!$A$1:$I$89,5,0)</f>
        <v>147.4199999999999</v>
      </c>
      <c r="CA43" s="13">
        <f t="shared" si="39"/>
        <v>37.991680647570291</v>
      </c>
      <c r="CB43" s="20">
        <f t="shared" si="10"/>
        <v>322.92534379451808</v>
      </c>
      <c r="CC43" s="59">
        <f t="shared" si="11"/>
        <v>616.25867712785134</v>
      </c>
      <c r="CD43" s="59">
        <f ca="1">AVERAGE(OFFSET($CC$3,0,0,'Données projet'!$E$12+1,1))-AVERAGE(OFFSET($H$3,0,0,'Données projet'!$E$12+1,1))</f>
        <v>429.61977776013185</v>
      </c>
      <c r="CE43" s="59">
        <f t="shared" si="40"/>
        <v>261.95434270986385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8.6000000000000007E-2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2.2424457805062863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2.2424457805062863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192</v>
      </c>
      <c r="CR43" s="12">
        <f>VLOOKUP(A43,'Données projet'!$A$139:$I$159,9,0)</f>
        <v>9.6</v>
      </c>
      <c r="CS43" s="12">
        <f t="array" ref="CS43">INDEX(CR:CR,MIN(IF(ISNUMBER(CR43:CR239),ROW(CR43:CR239),"")))</f>
        <v>9.6</v>
      </c>
      <c r="CT43" s="12">
        <f>IF('Données projet'!$A$140&gt;35,CT42+CS43-DB42,IF(A43&lt;'Données projet'!$A$140,$CQ$205^A43,IF(A43='Données projet'!$A$140,'Données projet'!$B$140,CT42+CS43-DB42)))</f>
        <v>192</v>
      </c>
      <c r="CU43" s="17">
        <f>CT43*VLOOKUP('Données projet'!$B$13,Paramètres!$A$1:$I$89,3,0)*VLOOKUP('Données projet'!$B$13,Paramètres!$A$1:$I$89,5,0)</f>
        <v>125.7984</v>
      </c>
      <c r="CV43" s="13">
        <f t="shared" si="41"/>
        <v>33.023644363399924</v>
      </c>
      <c r="CW43" s="20">
        <f t="shared" si="13"/>
        <v>276.61506059958816</v>
      </c>
      <c r="CX43" s="59">
        <f t="shared" si="14"/>
        <v>569.94839393292148</v>
      </c>
      <c r="CY43" s="59">
        <f ca="1">AVERAGE(OFFSET($CX$3,0,0,'Données projet'!$E$13+1,1))-AVERAGE(OFFSET($H$3,0,0,'Données projet'!$E$13+1,1))</f>
        <v>255.09913504736693</v>
      </c>
      <c r="CZ43" s="59">
        <f t="shared" si="42"/>
        <v>248.42617382406644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8.6000000000000007E-2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3.3238193253530026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3.3238193253530026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137</v>
      </c>
      <c r="DM43" s="12">
        <f>VLOOKUP(A43,'Données projet'!$A$165:$I$185,9,0)</f>
        <v>8.4</v>
      </c>
      <c r="DN43" s="12">
        <f t="array" ref="DN43">INDEX(DM:DM,MIN(IF(ISNUMBER(DM43:DM239),ROW(DM43:DM239),"")))</f>
        <v>8.4</v>
      </c>
      <c r="DO43" s="12">
        <f>IF('Données projet'!$A$166&gt;35,DO42+DN43-DW42,IF(A43&lt;'Données projet'!$A$166,$DL$205^A43,IF(A43='Données projet'!$A$166,'Données projet'!$B$166,DO42+DN43-DW42)))</f>
        <v>137.00000000000003</v>
      </c>
      <c r="DP43" s="17">
        <f>DO43*VLOOKUP('Données projet'!$B$14,Paramètres!$A$1:$I$89,3,0)*VLOOKUP('Données projet'!$B$14,Paramètres!$A$1:$I$89,5,0)</f>
        <v>156.01560000000003</v>
      </c>
      <c r="DQ43" s="13">
        <f t="shared" si="43"/>
        <v>39.942508135025747</v>
      </c>
      <c r="DR43" s="20">
        <f t="shared" si="16"/>
        <v>341.29370500183654</v>
      </c>
      <c r="DS43" s="59">
        <f t="shared" si="17"/>
        <v>634.6270383351698</v>
      </c>
      <c r="DT43" s="59">
        <f ca="1">AVERAGE(OFFSET($DS$3,0,0,'Données projet'!$E$14+1,1))-AVERAGE(OFFSET($H$3,0,0,'Données projet'!$E$14+1,1))</f>
        <v>459.67331926893809</v>
      </c>
      <c r="DU43" s="59">
        <f t="shared" si="44"/>
        <v>280.33242658375497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21</v>
      </c>
      <c r="DX43" s="16">
        <f>IF(ISNA(VLOOKUP(A43,'Données projet'!$A$165:$I$185,5,0)),0%,VLOOKUP(A43,'Données projet'!$A$165:$I$185,5,0)*VLOOKUP('Données projet'!$B$14,Paramètres!$A$1:$I$89,7,0))</f>
        <v>8.6000000000000007E-2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2.2735908607910953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2.2735908607910953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247.66</v>
      </c>
      <c r="EH43" s="12">
        <f>VLOOKUP(A43,'Données projet'!$A$191:$I$211,9,0)</f>
        <v>12.530000000000001</v>
      </c>
      <c r="EI43" s="12">
        <f t="array" ref="EI43">INDEX(EH:EH,MIN(IF(ISNUMBER(EH43:EH239),ROW(EH43:EH239),"")))</f>
        <v>12.530000000000001</v>
      </c>
      <c r="EJ43" s="12">
        <f>IF('Données projet'!$A$192&gt;35,EJ42+EI43-ER42,IF(A43&lt;'Données projet'!$A$192,$EG$205^A43,IF(A43='Données projet'!$A$192,'Données projet'!$B$192,EJ42+EI43-ER42)))</f>
        <v>247.66000000000008</v>
      </c>
      <c r="EK43" s="17">
        <f>EJ43*VLOOKUP('Données projet'!$B$15,Paramètres!$A$1:$I$89,3,0)*VLOOKUP('Données projet'!$B$15,Paramètres!$A$1:$I$89,5,0)</f>
        <v>148.10068000000004</v>
      </c>
      <c r="EL43" s="13">
        <f t="shared" si="45"/>
        <v>38.14663874472501</v>
      </c>
      <c r="EM43" s="20">
        <f t="shared" si="19"/>
        <v>324.38074681372944</v>
      </c>
      <c r="EN43" s="59">
        <f t="shared" si="20"/>
        <v>617.71408014706276</v>
      </c>
      <c r="EO43" s="59">
        <f ca="1">AVERAGE(OFFSET($EN$3,0,0,'Données projet'!$E$15+1,1))-AVERAGE(OFFSET($H$3,0,0,'Données projet'!$E$15+1,1))</f>
        <v>264.08053957457469</v>
      </c>
      <c r="EP43" s="59">
        <f t="shared" si="46"/>
        <v>284.83300065761051</v>
      </c>
      <c r="EQ43" s="15">
        <f>IF(ISNA(VLOOKUP(A43,'Données projet'!$A$191:$I$211,3,0)),0,VLOOKUP(A43,'Données projet'!$A$191:$I$211,3,0))</f>
        <v>5</v>
      </c>
      <c r="ER43" s="15">
        <f>IF(ISNA(VLOOKUP(A43,'Données projet'!$A$191:$I$211,4,0)),0,VLOOKUP(A43,'Données projet'!$A$191:$I$211,4,0))</f>
        <v>41.47</v>
      </c>
      <c r="ES43" s="16">
        <f>IF(ISNA(VLOOKUP(A43,'Données projet'!$A$191:$I$211,5,0)),0%,VLOOKUP(A43,'Données projet'!$A$191:$I$211,5,0)*VLOOKUP('Données projet'!$B$15,Paramètres!$A$1:$I$89,7,0))</f>
        <v>0.27</v>
      </c>
      <c r="ET43" s="16">
        <f>IF(ISNA(VLOOKUP(A43,'Données projet'!$A$191:$I$211,6,0)),0%,VLOOKUP(A43,'Données projet'!$A$191:$I$211,6,0)*VLOOKUP('Données projet'!$B$15,Paramètres!$A$1:$I$89,7,0))</f>
        <v>9.9000000000000005E-2</v>
      </c>
      <c r="EU43" s="16">
        <f>IF(ISNA(VLOOKUP(A43,'Données projet'!$A$191:$I$211,7,0)),0%,VLOOKUP(A43,'Données projet'!$A$191:$I$211,7,0))</f>
        <v>0.18</v>
      </c>
      <c r="EV43" s="21">
        <f>EXP(-LN(2)/35)*EV42+(1-EXP(-LN(2)/35))/(LN(2)/35)*ER43*ES43*VLOOKUP('Données projet'!$B$15,Paramètres!$A$1:$I$89,3,0)*0.475*44/12</f>
        <v>14.978550124165572</v>
      </c>
      <c r="EW43" s="21">
        <f>EXP(-LN(2)/25)*EW42+(1-EXP(-LN(2)/25))/(LN(2)/25)*Calculateur!ER43*Calculateur!ET43*VLOOKUP('Données projet'!$B$15,Paramètres!$A$1:$I$89,3,0)*0.475*44/12</f>
        <v>17.246584840610701</v>
      </c>
      <c r="EX43" s="21">
        <f>EXP(-LN(2)/2)*EX42+(1-EXP(-LN(2)/2))/(LN(2)/2)*ER43*EU43*VLOOKUP('Données projet'!$B$15,Paramètres!$A$1:$I$89,3,0)*0.475*44/12</f>
        <v>6.3613356367214866</v>
      </c>
      <c r="EY43" s="22">
        <f t="shared" si="21"/>
        <v>38.586470601497759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200</v>
      </c>
      <c r="FC43" s="12">
        <f>VLOOKUP(A43,'Données projet'!$A$217:$I$237,9,0)</f>
        <v>10</v>
      </c>
      <c r="FD43" s="12">
        <f t="array" ref="FD43">INDEX(FC:FC,MIN(IF(ISNUMBER(FC43:FC239),ROW(FC43:FC239),"")))</f>
        <v>10</v>
      </c>
      <c r="FE43" s="12">
        <f>IF('Données projet'!$A$218&gt;35,FE42+FD43-FM42,IF(A43&lt;'Données projet'!$A$218,$FB$205^A43,IF(A43='Données projet'!$A$218,'Données projet'!$B$218,FE42+FD43-FM42)))</f>
        <v>200</v>
      </c>
      <c r="FF43" s="17">
        <f>FE43*VLOOKUP('Données projet'!$B$16,Paramètres!$A$1:$I$89,3,0)*VLOOKUP('Données projet'!$B$16,Paramètres!$A$1:$I$89,5,0)</f>
        <v>93.600000000000009</v>
      </c>
      <c r="FG43" s="13">
        <f t="shared" si="47"/>
        <v>25.431466524572937</v>
      </c>
      <c r="FH43" s="20">
        <f t="shared" si="22"/>
        <v>207.31313753029789</v>
      </c>
      <c r="FI43" s="59">
        <f t="shared" si="23"/>
        <v>500.64647086363118</v>
      </c>
      <c r="FJ43" s="59">
        <f ca="1">AVERAGE(OFFSET($FI$3,0,0,'Données projet'!$E$16+1,1))-AVERAGE(OFFSET($H$3,0,0,'Données projet'!$E$16+1,1))</f>
        <v>166.27444639635013</v>
      </c>
      <c r="FK43" s="59">
        <f t="shared" si="48"/>
        <v>213.60182977243113</v>
      </c>
      <c r="FL43" s="15">
        <f>IF(ISNA(VLOOKUP(A43,'Données projet'!$A$217:$I$237,3,0)),0,VLOOKUP(A43,'Données projet'!$A$217:$I$237,3,0))</f>
        <v>2</v>
      </c>
      <c r="FM43" s="15">
        <f>IF(ISNA(VLOOKUP(A43,'Données projet'!$A$217:$I$237,4,0)),0,VLOOKUP(A43,'Données projet'!$A$217:$I$237,4,0))</f>
        <v>50</v>
      </c>
      <c r="FN43" s="16">
        <f>IF(ISNA(VLOOKUP(A43,'Données projet'!$A$217:$I$237,5,0)),0%,VLOOKUP(A43,'Données projet'!$A$217:$I$237,5,0)*VLOOKUP('Données projet'!$B$16,Paramètres!$A$1:$I$89,7,0))</f>
        <v>0.16500000000000001</v>
      </c>
      <c r="FO43" s="16">
        <f>IF(ISNA(VLOOKUP(A43,'Données projet'!$A$217:$I$237,6,0)),0%,VLOOKUP(A43,'Données projet'!$A$217:$I$237,6,0)*VLOOKUP('Données projet'!$B$16,Paramètres!$A$1:$I$89,7,0))</f>
        <v>0.21450000000000002</v>
      </c>
      <c r="FP43" s="16">
        <f>IF(ISNA(VLOOKUP(A43,'Données projet'!$A$217:$I$237,7,0)),0%,VLOOKUP(A43,'Données projet'!$A$217:$I$237,7,0))</f>
        <v>0.31</v>
      </c>
      <c r="FQ43" s="21">
        <f>EXP(-LN(2)/35)*FQ42+(1-EXP(-LN(2)/35))/(LN(2)/35)*FM43*FN43*VLOOKUP('Données projet'!$B$16,Paramètres!$A$1:$I$89,3,0)*0.475*44/12</f>
        <v>9.0434027916136817</v>
      </c>
      <c r="FR43" s="21">
        <f>EXP(-LN(2)/25)*FR42+(1-EXP(-LN(2)/25))/(LN(2)/25)*Calculateur!FM43*Calculateur!FO43*VLOOKUP('Données projet'!$B$16,Paramètres!$A$1:$I$89,3,0)*0.475*44/12</f>
        <v>14.751573797517679</v>
      </c>
      <c r="FS43" s="21">
        <f>EXP(-LN(2)/2)*FS42+(1-EXP(-LN(2)/2))/(LN(2)/2)*FM43*FP43*VLOOKUP('Données projet'!$B$16,Paramètres!$A$1:$I$89,3,0)*0.475*44/12</f>
        <v>8.6189060713644317</v>
      </c>
      <c r="FT43" s="22">
        <f t="shared" si="24"/>
        <v>32.413882660495787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158.39999999999989</v>
      </c>
      <c r="O44" s="13">
        <f>N44*VLOOKUP('Données projet'!$B$9,Paramètres!$A$1:$I$89,3,0)*VLOOKUP('Données projet'!$B$9,Paramètres!$A$1:$I$89,5,0)</f>
        <v>143.3203199999999</v>
      </c>
      <c r="P44" s="13">
        <f t="shared" si="33"/>
        <v>37.056603420232314</v>
      </c>
      <c r="Q44" s="20">
        <f t="shared" si="53"/>
        <v>314.15647495690439</v>
      </c>
      <c r="R44" s="59">
        <f t="shared" si="0"/>
        <v>607.48980829023776</v>
      </c>
      <c r="S44" s="59">
        <f ca="1">AVERAGE(OFFSET($R$3,0,0,'Données projet'!$E$9+1,1))-AVERAGE(OFFSET($H$3,0,0,'Données projet'!$E$9+1,1))</f>
        <v>458.37755197712164</v>
      </c>
      <c r="T44" s="59">
        <f t="shared" si="34"/>
        <v>278.21741231699917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2.3613226225450159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2.3613226225450159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158.39999999999989</v>
      </c>
      <c r="AJ44" s="13">
        <f>AI44*VLOOKUP('Données projet'!$B$10,Paramètres!$A$1:$I$89,3,0)*VLOOKUP('Données projet'!$B$10,Paramètres!$A$1:$I$89,5,0)</f>
        <v>160.6175999999999</v>
      </c>
      <c r="AK44" s="13">
        <f t="shared" si="35"/>
        <v>40.981785561145074</v>
      </c>
      <c r="AL44" s="20">
        <f t="shared" si="4"/>
        <v>351.11892985232748</v>
      </c>
      <c r="AM44" s="59">
        <f t="shared" si="5"/>
        <v>644.45226318566074</v>
      </c>
      <c r="AN44" s="59">
        <f ca="1">AVERAGE(OFFSET($AM$3,0,0,'Données projet'!$E$10+1,1))-AVERAGE(OFFSET($H$3,0,0,'Données projet'!$E$10+1,1))</f>
        <v>508.60701013958447</v>
      </c>
      <c r="AO44" s="59">
        <f t="shared" si="36"/>
        <v>306.61893266146654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2.6463098356107944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2.6463098356107944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8.4</v>
      </c>
      <c r="BD44" s="12">
        <f>IF('Données projet'!$A$88&gt;35,BD43+BC44-BL43,IF(A44&lt;'Données projet'!$A$88,$BA$205^A44,IF(A44='Données projet'!$A$88,'Données projet'!$B$88,BD43+BC44-BL43)))</f>
        <v>124.40000000000003</v>
      </c>
      <c r="BE44" s="13">
        <f>BD44*VLOOKUP('Données projet'!$B$11,Paramètres!$A$1:$I$89,3,0)*VLOOKUP('Données projet'!$B$11,Paramètres!$A$1:$I$89,5,0)</f>
        <v>118.37904000000003</v>
      </c>
      <c r="BF44" s="13">
        <f t="shared" si="37"/>
        <v>31.296638268907181</v>
      </c>
      <c r="BG44" s="20">
        <f t="shared" si="7"/>
        <v>260.68513965168</v>
      </c>
      <c r="BH44" s="59">
        <f t="shared" si="8"/>
        <v>554.01847298501332</v>
      </c>
      <c r="BI44" s="59">
        <f ca="1">AVERAGE(OFFSET($BH$3,0,0,'Données projet'!$E$11+1,1))-AVERAGE(OFFSET($H$3,0,0,'Données projet'!$E$11+1,1))</f>
        <v>291.17074241052887</v>
      </c>
      <c r="BJ44" s="59">
        <f t="shared" si="38"/>
        <v>241.18285512887638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1.8625949996799052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1.8625949996799052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158.39999999999989</v>
      </c>
      <c r="BZ44" s="13">
        <f>BY44*VLOOKUP('Données projet'!$B$12,Paramètres!$A$1:$I$89,3,0)*VLOOKUP('Données projet'!$B$12,Paramètres!$A$1:$I$89,5,0)</f>
        <v>133.43615999999992</v>
      </c>
      <c r="CA44" s="13">
        <f t="shared" si="39"/>
        <v>34.78914543200893</v>
      </c>
      <c r="CB44" s="20">
        <f t="shared" si="10"/>
        <v>292.99240696074872</v>
      </c>
      <c r="CC44" s="59">
        <f t="shared" si="11"/>
        <v>586.32574029408204</v>
      </c>
      <c r="CD44" s="59">
        <f ca="1">AVERAGE(OFFSET($CC$3,0,0,'Données projet'!$E$12+1,1))-AVERAGE(OFFSET($H$3,0,0,'Données projet'!$E$12+1,1))</f>
        <v>429.61977776013185</v>
      </c>
      <c r="CE44" s="59">
        <f t="shared" si="40"/>
        <v>261.95434270986385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2.1984727865074292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2.1984727865074292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8.1999999999999993</v>
      </c>
      <c r="CT44" s="12">
        <f>IF('Données projet'!$A$140&gt;35,CT43+CS44-DB43,IF(A44&lt;'Données projet'!$A$140,$CQ$205^A44,IF(A44='Données projet'!$A$140,'Données projet'!$B$140,CT43+CS44-DB43)))</f>
        <v>172.2</v>
      </c>
      <c r="CU44" s="17">
        <f>CT44*VLOOKUP('Données projet'!$B$13,Paramètres!$A$1:$I$89,3,0)*VLOOKUP('Données projet'!$B$13,Paramètres!$A$1:$I$89,5,0)</f>
        <v>112.82544</v>
      </c>
      <c r="CV44" s="13">
        <f t="shared" si="41"/>
        <v>29.995694500969023</v>
      </c>
      <c r="CW44" s="20">
        <f t="shared" si="13"/>
        <v>248.7468092558544</v>
      </c>
      <c r="CX44" s="59">
        <f t="shared" si="14"/>
        <v>542.08014258918774</v>
      </c>
      <c r="CY44" s="59">
        <f ca="1">AVERAGE(OFFSET($CX$3,0,0,'Données projet'!$E$13+1,1))-AVERAGE(OFFSET($H$3,0,0,'Données projet'!$E$13+1,1))</f>
        <v>255.09913504736693</v>
      </c>
      <c r="CZ44" s="59">
        <f t="shared" si="42"/>
        <v>248.42617382406644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3.2586412557124365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3.2586412557124365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8.4</v>
      </c>
      <c r="DO44" s="12">
        <f>IF('Données projet'!$A$166&gt;35,DO43+DN44-DW43,IF(A44&lt;'Données projet'!$A$166,$DL$205^A44,IF(A44='Données projet'!$A$166,'Données projet'!$B$166,DO43+DN44-DW43)))</f>
        <v>124.40000000000003</v>
      </c>
      <c r="DP44" s="17">
        <f>DO44*VLOOKUP('Données projet'!$B$14,Paramètres!$A$1:$I$89,3,0)*VLOOKUP('Données projet'!$B$14,Paramètres!$A$1:$I$89,5,0)</f>
        <v>141.66672000000005</v>
      </c>
      <c r="DQ44" s="13">
        <f t="shared" si="43"/>
        <v>36.678564250226081</v>
      </c>
      <c r="DR44" s="20">
        <f t="shared" si="16"/>
        <v>310.61803673581051</v>
      </c>
      <c r="DS44" s="59">
        <f t="shared" si="17"/>
        <v>603.95137006914388</v>
      </c>
      <c r="DT44" s="59">
        <f ca="1">AVERAGE(OFFSET($DS$3,0,0,'Données projet'!$E$14+1,1))-AVERAGE(OFFSET($H$3,0,0,'Données projet'!$E$14+1,1))</f>
        <v>459.67331926893809</v>
      </c>
      <c r="DU44" s="59">
        <f t="shared" si="44"/>
        <v>280.33242658375497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2.2290071307644763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2.2290071307644763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11.748000000000001</v>
      </c>
      <c r="EJ44" s="12">
        <f>IF('Données projet'!$A$192&gt;35,EJ43+EI44-ER43,IF(A44&lt;'Données projet'!$A$192,$EG$205^A44,IF(A44='Données projet'!$A$192,'Données projet'!$B$192,EJ43+EI44-ER43)))</f>
        <v>217.93800000000007</v>
      </c>
      <c r="EK44" s="17">
        <f>EJ44*VLOOKUP('Données projet'!$B$15,Paramètres!$A$1:$I$89,3,0)*VLOOKUP('Données projet'!$B$15,Paramètres!$A$1:$I$89,5,0)</f>
        <v>130.32692400000005</v>
      </c>
      <c r="EL44" s="13">
        <f t="shared" si="45"/>
        <v>34.071890823849749</v>
      </c>
      <c r="EM44" s="20">
        <f t="shared" si="19"/>
        <v>286.32793581820505</v>
      </c>
      <c r="EN44" s="59">
        <f t="shared" si="20"/>
        <v>579.66126915153836</v>
      </c>
      <c r="EO44" s="59">
        <f ca="1">AVERAGE(OFFSET($EN$3,0,0,'Données projet'!$E$15+1,1))-AVERAGE(OFFSET($H$3,0,0,'Données projet'!$E$15+1,1))</f>
        <v>264.08053957457469</v>
      </c>
      <c r="EP44" s="59">
        <f t="shared" si="46"/>
        <v>284.83300065761051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14.684829892244155</v>
      </c>
      <c r="EW44" s="21">
        <f>EXP(-LN(2)/25)*EW43+(1-EXP(-LN(2)/25))/(LN(2)/25)*Calculateur!ER44*Calculateur!ET44*VLOOKUP('Données projet'!$B$15,Paramètres!$A$1:$I$89,3,0)*0.475*44/12</f>
        <v>16.774976071185723</v>
      </c>
      <c r="EX44" s="21">
        <f>EXP(-LN(2)/2)*EX43+(1-EXP(-LN(2)/2))/(LN(2)/2)*ER44*EU44*VLOOKUP('Données projet'!$B$15,Paramètres!$A$1:$I$89,3,0)*0.475*44/12</f>
        <v>4.4981435661294071</v>
      </c>
      <c r="EY44" s="22">
        <f t="shared" si="21"/>
        <v>35.957949529559286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10.5</v>
      </c>
      <c r="FE44" s="12">
        <f>IF('Données projet'!$A$218&gt;35,FE43+FD44-FM43,IF(A44&lt;'Données projet'!$A$218,$FB$205^A44,IF(A44='Données projet'!$A$218,'Données projet'!$B$218,FE43+FD44-FM43)))</f>
        <v>160.5</v>
      </c>
      <c r="FF44" s="17">
        <f>FE44*VLOOKUP('Données projet'!$B$16,Paramètres!$A$1:$I$89,3,0)*VLOOKUP('Données projet'!$B$16,Paramètres!$A$1:$I$89,5,0)</f>
        <v>75.114000000000004</v>
      </c>
      <c r="FG44" s="13">
        <f t="shared" si="47"/>
        <v>20.938185501492693</v>
      </c>
      <c r="FH44" s="20">
        <f t="shared" si="22"/>
        <v>167.2908897484331</v>
      </c>
      <c r="FI44" s="59">
        <f t="shared" si="23"/>
        <v>460.62422308176644</v>
      </c>
      <c r="FJ44" s="59">
        <f ca="1">AVERAGE(OFFSET($FI$3,0,0,'Données projet'!$E$16+1,1))-AVERAGE(OFFSET($H$3,0,0,'Données projet'!$E$16+1,1))</f>
        <v>166.27444639635013</v>
      </c>
      <c r="FK44" s="59">
        <f t="shared" si="48"/>
        <v>213.60182977243113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8.8660671788011864</v>
      </c>
      <c r="FR44" s="21">
        <f>EXP(-LN(2)/25)*FR43+(1-EXP(-LN(2)/25))/(LN(2)/25)*Calculateur!FM44*Calculateur!FO44*VLOOKUP('Données projet'!$B$16,Paramètres!$A$1:$I$89,3,0)*0.475*44/12</f>
        <v>14.348191236273006</v>
      </c>
      <c r="FS44" s="21">
        <f>EXP(-LN(2)/2)*FS43+(1-EXP(-LN(2)/2))/(LN(2)/2)*FM44*FP44*VLOOKUP('Données projet'!$B$16,Paramètres!$A$1:$I$89,3,0)*0.475*44/12</f>
        <v>6.0944869294716959</v>
      </c>
      <c r="FT44" s="22">
        <f t="shared" si="24"/>
        <v>29.308745344545887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169.7999999999999</v>
      </c>
      <c r="O45" s="13">
        <f>N45*VLOOKUP('Données projet'!$B$9,Paramètres!$A$1:$I$89,3,0)*VLOOKUP('Données projet'!$B$9,Paramètres!$A$1:$I$89,5,0)</f>
        <v>153.63503999999992</v>
      </c>
      <c r="P45" s="13">
        <f t="shared" si="33"/>
        <v>39.403506785222632</v>
      </c>
      <c r="Q45" s="20">
        <f t="shared" si="53"/>
        <v>336.20880231759588</v>
      </c>
      <c r="R45" s="59">
        <f t="shared" si="0"/>
        <v>629.54213565092914</v>
      </c>
      <c r="S45" s="59">
        <f ca="1">AVERAGE(OFFSET($R$3,0,0,'Données projet'!$E$9+1,1))-AVERAGE(OFFSET($H$3,0,0,'Données projet'!$E$9+1,1))</f>
        <v>458.37755197712164</v>
      </c>
      <c r="T45" s="59">
        <f t="shared" si="34"/>
        <v>278.21741231699917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2.3150185261814937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2.3150185261814937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169.7999999999999</v>
      </c>
      <c r="AJ45" s="13">
        <f>AI45*VLOOKUP('Données projet'!$B$10,Paramètres!$A$1:$I$89,3,0)*VLOOKUP('Données projet'!$B$10,Paramètres!$A$1:$I$89,5,0)</f>
        <v>172.17719999999991</v>
      </c>
      <c r="AK45" s="13">
        <f t="shared" si="35"/>
        <v>43.577282221916981</v>
      </c>
      <c r="AL45" s="20">
        <f t="shared" si="4"/>
        <v>375.77238986983861</v>
      </c>
      <c r="AM45" s="59">
        <f t="shared" si="5"/>
        <v>669.10572320317192</v>
      </c>
      <c r="AN45" s="59">
        <f ca="1">AVERAGE(OFFSET($AM$3,0,0,'Données projet'!$E$10+1,1))-AVERAGE(OFFSET($H$3,0,0,'Données projet'!$E$10+1,1))</f>
        <v>508.60701013958447</v>
      </c>
      <c r="AO45" s="59">
        <f t="shared" si="36"/>
        <v>306.61893266146654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2.5944173138240885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2.5944173138240885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8.4</v>
      </c>
      <c r="BD45" s="12">
        <f>IF('Données projet'!$A$88&gt;35,BD44+BC45-BL44,IF(A45&lt;'Données projet'!$A$88,$BA$205^A45,IF(A45='Données projet'!$A$88,'Données projet'!$B$88,BD44+BC45-BL44)))</f>
        <v>132.80000000000004</v>
      </c>
      <c r="BE45" s="13">
        <f>BD45*VLOOKUP('Données projet'!$B$11,Paramètres!$A$1:$I$89,3,0)*VLOOKUP('Données projet'!$B$11,Paramètres!$A$1:$I$89,5,0)</f>
        <v>126.37248000000004</v>
      </c>
      <c r="BF45" s="13">
        <f t="shared" si="37"/>
        <v>33.156770349896121</v>
      </c>
      <c r="BG45" s="20">
        <f t="shared" si="7"/>
        <v>277.84677769273577</v>
      </c>
      <c r="BH45" s="59">
        <f t="shared" si="8"/>
        <v>571.18011102606908</v>
      </c>
      <c r="BI45" s="59">
        <f ca="1">AVERAGE(OFFSET($BH$3,0,0,'Données projet'!$E$11+1,1))-AVERAGE(OFFSET($H$3,0,0,'Données projet'!$E$11+1,1))</f>
        <v>291.17074241052887</v>
      </c>
      <c r="BJ45" s="59">
        <f t="shared" si="38"/>
        <v>241.18285512887638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1.8260706478069544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1.8260706478069544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169.7999999999999</v>
      </c>
      <c r="BZ45" s="13">
        <f>BY45*VLOOKUP('Données projet'!$B$12,Paramètres!$A$1:$I$89,3,0)*VLOOKUP('Données projet'!$B$12,Paramètres!$A$1:$I$89,5,0)</f>
        <v>143.03951999999992</v>
      </c>
      <c r="CA45" s="13">
        <f t="shared" si="39"/>
        <v>36.992444033168404</v>
      </c>
      <c r="CB45" s="20">
        <f t="shared" si="10"/>
        <v>313.55567069110151</v>
      </c>
      <c r="CC45" s="59">
        <f t="shared" si="11"/>
        <v>606.88900402443483</v>
      </c>
      <c r="CD45" s="59">
        <f ca="1">AVERAGE(OFFSET($CC$3,0,0,'Données projet'!$E$12+1,1))-AVERAGE(OFFSET($H$3,0,0,'Données projet'!$E$12+1,1))</f>
        <v>429.61977776013185</v>
      </c>
      <c r="CE45" s="59">
        <f t="shared" si="40"/>
        <v>261.95434270986385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2.1553620761000118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2.1553620761000118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8.1999999999999993</v>
      </c>
      <c r="CT45" s="12">
        <f>IF('Données projet'!$A$140&gt;35,CT44+CS45-DB44,IF(A45&lt;'Données projet'!$A$140,$CQ$205^A45,IF(A45='Données projet'!$A$140,'Données projet'!$B$140,CT44+CS45-DB44)))</f>
        <v>180.39999999999998</v>
      </c>
      <c r="CU45" s="17">
        <f>CT45*VLOOKUP('Données projet'!$B$13,Paramètres!$A$1:$I$89,3,0)*VLOOKUP('Données projet'!$B$13,Paramètres!$A$1:$I$89,5,0)</f>
        <v>118.19807999999998</v>
      </c>
      <c r="CV45" s="13">
        <f t="shared" si="41"/>
        <v>31.254361690638479</v>
      </c>
      <c r="CW45" s="20">
        <f t="shared" si="13"/>
        <v>260.29633594452861</v>
      </c>
      <c r="CX45" s="59">
        <f t="shared" si="14"/>
        <v>553.62966927786192</v>
      </c>
      <c r="CY45" s="59">
        <f ca="1">AVERAGE(OFFSET($CX$3,0,0,'Données projet'!$E$13+1,1))-AVERAGE(OFFSET($H$3,0,0,'Données projet'!$E$13+1,1))</f>
        <v>255.09913504736693</v>
      </c>
      <c r="CZ45" s="59">
        <f t="shared" si="42"/>
        <v>248.42617382406644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3.1947412882628248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3.1947412882628248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8.4</v>
      </c>
      <c r="DO45" s="12">
        <f>IF('Données projet'!$A$166&gt;35,DO44+DN45-DW44,IF(A45&lt;'Données projet'!$A$166,$DL$205^A45,IF(A45='Données projet'!$A$166,'Données projet'!$B$166,DO44+DN45-DW44)))</f>
        <v>132.80000000000004</v>
      </c>
      <c r="DP45" s="17">
        <f>DO45*VLOOKUP('Données projet'!$B$14,Paramètres!$A$1:$I$89,3,0)*VLOOKUP('Données projet'!$B$14,Paramètres!$A$1:$I$89,5,0)</f>
        <v>151.23264000000006</v>
      </c>
      <c r="DQ45" s="13">
        <f t="shared" si="43"/>
        <v>38.85857391964295</v>
      </c>
      <c r="DR45" s="20">
        <f t="shared" si="16"/>
        <v>331.07553091004485</v>
      </c>
      <c r="DS45" s="59">
        <f t="shared" si="17"/>
        <v>624.40886424337816</v>
      </c>
      <c r="DT45" s="59">
        <f ca="1">AVERAGE(OFFSET($DS$3,0,0,'Données projet'!$E$14+1,1))-AVERAGE(OFFSET($H$3,0,0,'Données projet'!$E$14+1,1))</f>
        <v>459.67331926893809</v>
      </c>
      <c r="DU45" s="59">
        <f t="shared" si="44"/>
        <v>280.33242658375497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2.1852976604902894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2.1852976604902894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11.748000000000001</v>
      </c>
      <c r="EJ45" s="12">
        <f>IF('Données projet'!$A$192&gt;35,EJ44+EI45-ER44,IF(A45&lt;'Données projet'!$A$192,$EG$205^A45,IF(A45='Données projet'!$A$192,'Données projet'!$B$192,EJ44+EI45-ER44)))</f>
        <v>229.68600000000006</v>
      </c>
      <c r="EK45" s="17">
        <f>EJ45*VLOOKUP('Données projet'!$B$15,Paramètres!$A$1:$I$89,3,0)*VLOOKUP('Données projet'!$B$15,Paramètres!$A$1:$I$89,5,0)</f>
        <v>137.35222800000005</v>
      </c>
      <c r="EL45" s="13">
        <f t="shared" si="45"/>
        <v>35.689765705642223</v>
      </c>
      <c r="EM45" s="20">
        <f t="shared" si="19"/>
        <v>301.38147237066033</v>
      </c>
      <c r="EN45" s="59">
        <f t="shared" si="20"/>
        <v>594.71480570399365</v>
      </c>
      <c r="EO45" s="59">
        <f ca="1">AVERAGE(OFFSET($EN$3,0,0,'Données projet'!$E$15+1,1))-AVERAGE(OFFSET($H$3,0,0,'Données projet'!$E$15+1,1))</f>
        <v>264.08053957457469</v>
      </c>
      <c r="EP45" s="59">
        <f t="shared" si="46"/>
        <v>284.83300065761051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14.396869334919064</v>
      </c>
      <c r="EW45" s="21">
        <f>EXP(-LN(2)/25)*EW44+(1-EXP(-LN(2)/25))/(LN(2)/25)*Calculateur!ER45*Calculateur!ET45*VLOOKUP('Données projet'!$B$15,Paramètres!$A$1:$I$89,3,0)*0.475*44/12</f>
        <v>16.316263468361498</v>
      </c>
      <c r="EX45" s="21">
        <f>EXP(-LN(2)/2)*EX44+(1-EXP(-LN(2)/2))/(LN(2)/2)*ER45*EU45*VLOOKUP('Données projet'!$B$15,Paramètres!$A$1:$I$89,3,0)*0.475*44/12</f>
        <v>3.1806678183607433</v>
      </c>
      <c r="EY45" s="22">
        <f t="shared" si="21"/>
        <v>33.893800621641304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10.5</v>
      </c>
      <c r="FE45" s="12">
        <f>IF('Données projet'!$A$218&gt;35,FE44+FD45-FM44,IF(A45&lt;'Données projet'!$A$218,$FB$205^A45,IF(A45='Données projet'!$A$218,'Données projet'!$B$218,FE44+FD45-FM44)))</f>
        <v>171</v>
      </c>
      <c r="FF45" s="17">
        <f>FE45*VLOOKUP('Données projet'!$B$16,Paramètres!$A$1:$I$89,3,0)*VLOOKUP('Données projet'!$B$16,Paramètres!$A$1:$I$89,5,0)</f>
        <v>80.027999999999992</v>
      </c>
      <c r="FG45" s="13">
        <f t="shared" si="47"/>
        <v>22.144030134787155</v>
      </c>
      <c r="FH45" s="20">
        <f t="shared" si="22"/>
        <v>177.94961915142096</v>
      </c>
      <c r="FI45" s="59">
        <f t="shared" si="23"/>
        <v>471.28295248475428</v>
      </c>
      <c r="FJ45" s="59">
        <f ca="1">AVERAGE(OFFSET($FI$3,0,0,'Données projet'!$E$16+1,1))-AVERAGE(OFFSET($H$3,0,0,'Données projet'!$E$16+1,1))</f>
        <v>166.27444639635013</v>
      </c>
      <c r="FK45" s="59">
        <f t="shared" si="48"/>
        <v>213.60182977243113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8.6922090091919024</v>
      </c>
      <c r="FR45" s="21">
        <f>EXP(-LN(2)/25)*FR44+(1-EXP(-LN(2)/25))/(LN(2)/25)*Calculateur!FM45*Calculateur!FO45*VLOOKUP('Données projet'!$B$16,Paramètres!$A$1:$I$89,3,0)*0.475*44/12</f>
        <v>13.955839192378537</v>
      </c>
      <c r="FS45" s="21">
        <f>EXP(-LN(2)/2)*FS44+(1-EXP(-LN(2)/2))/(LN(2)/2)*FM45*FP45*VLOOKUP('Données projet'!$B$16,Paramètres!$A$1:$I$89,3,0)*0.475*44/12</f>
        <v>4.3094530356822167</v>
      </c>
      <c r="FT45" s="22">
        <f t="shared" si="24"/>
        <v>26.957501237252657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181.1999999999999</v>
      </c>
      <c r="O46" s="13">
        <f>N46*VLOOKUP('Données projet'!$B$9,Paramètres!$A$1:$I$89,3,0)*VLOOKUP('Données projet'!$B$9,Paramètres!$A$1:$I$89,5,0)</f>
        <v>163.94975999999991</v>
      </c>
      <c r="P46" s="13">
        <f t="shared" si="33"/>
        <v>41.732126457893273</v>
      </c>
      <c r="Q46" s="20">
        <f t="shared" si="53"/>
        <v>358.22928558083066</v>
      </c>
      <c r="R46" s="59">
        <f t="shared" si="0"/>
        <v>651.56261891416398</v>
      </c>
      <c r="S46" s="59">
        <f ca="1">AVERAGE(OFFSET($R$3,0,0,'Données projet'!$E$9+1,1))-AVERAGE(OFFSET($H$3,0,0,'Données projet'!$E$9+1,1))</f>
        <v>458.37755197712164</v>
      </c>
      <c r="T46" s="59">
        <f t="shared" si="34"/>
        <v>278.21741231699917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2.2696224249049499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2.2696224249049499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181.1999999999999</v>
      </c>
      <c r="AJ46" s="13">
        <f>AI46*VLOOKUP('Données projet'!$B$10,Paramètres!$A$1:$I$89,3,0)*VLOOKUP('Données projet'!$B$10,Paramètres!$A$1:$I$89,5,0)</f>
        <v>183.73679999999993</v>
      </c>
      <c r="AK46" s="13">
        <f t="shared" si="35"/>
        <v>46.152558509293854</v>
      </c>
      <c r="AL46" s="20">
        <f t="shared" si="4"/>
        <v>400.39063273702004</v>
      </c>
      <c r="AM46" s="59">
        <f t="shared" si="5"/>
        <v>693.7239660703533</v>
      </c>
      <c r="AN46" s="59">
        <f ca="1">AVERAGE(OFFSET($AM$3,0,0,'Données projet'!$E$10+1,1))-AVERAGE(OFFSET($H$3,0,0,'Données projet'!$E$10+1,1))</f>
        <v>508.60701013958447</v>
      </c>
      <c r="AO46" s="59">
        <f t="shared" si="36"/>
        <v>306.61893266146654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2.5435423727383069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2.5435423727383069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8.4</v>
      </c>
      <c r="BD46" s="12">
        <f>IF('Données projet'!$A$88&gt;35,BD45+BC46-BL45,IF(A46&lt;'Données projet'!$A$88,$BA$205^A46,IF(A46='Données projet'!$A$88,'Données projet'!$B$88,BD45+BC46-BL45)))</f>
        <v>141.20000000000005</v>
      </c>
      <c r="BE46" s="13">
        <f>BD46*VLOOKUP('Données projet'!$B$11,Paramètres!$A$1:$I$89,3,0)*VLOOKUP('Données projet'!$B$11,Paramètres!$A$1:$I$89,5,0)</f>
        <v>134.36592000000005</v>
      </c>
      <c r="BF46" s="13">
        <f t="shared" si="37"/>
        <v>35.003247613199107</v>
      </c>
      <c r="BG46" s="20">
        <f t="shared" si="7"/>
        <v>294.98463359298847</v>
      </c>
      <c r="BH46" s="59">
        <f t="shared" si="8"/>
        <v>588.31796692632179</v>
      </c>
      <c r="BI46" s="59">
        <f ca="1">AVERAGE(OFFSET($BH$3,0,0,'Données projet'!$E$11+1,1))-AVERAGE(OFFSET($H$3,0,0,'Données projet'!$E$11+1,1))</f>
        <v>291.17074241052887</v>
      </c>
      <c r="BJ46" s="59">
        <f t="shared" si="38"/>
        <v>241.18285512887638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1.7902625161965773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1.7902625161965773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181.1999999999999</v>
      </c>
      <c r="BZ46" s="13">
        <f>BY46*VLOOKUP('Données projet'!$B$12,Paramètres!$A$1:$I$89,3,0)*VLOOKUP('Données projet'!$B$12,Paramètres!$A$1:$I$89,5,0)</f>
        <v>152.64287999999993</v>
      </c>
      <c r="CA46" s="13">
        <f t="shared" si="39"/>
        <v>39.178577703588537</v>
      </c>
      <c r="CB46" s="20">
        <f t="shared" si="10"/>
        <v>334.08903883374984</v>
      </c>
      <c r="CC46" s="59">
        <f t="shared" si="11"/>
        <v>627.42237216708315</v>
      </c>
      <c r="CD46" s="59">
        <f ca="1">AVERAGE(OFFSET($CC$3,0,0,'Données projet'!$E$12+1,1))-AVERAGE(OFFSET($H$3,0,0,'Données projet'!$E$12+1,1))</f>
        <v>429.61977776013185</v>
      </c>
      <c r="CE46" s="59">
        <f t="shared" si="40"/>
        <v>261.95434270986385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2.1130967404287468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2.1130967404287468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8.1999999999999993</v>
      </c>
      <c r="CT46" s="12">
        <f>IF('Données projet'!$A$140&gt;35,CT45+CS46-DB45,IF(A46&lt;'Données projet'!$A$140,$CQ$205^A46,IF(A46='Données projet'!$A$140,'Données projet'!$B$140,CT45+CS46-DB45)))</f>
        <v>188.59999999999997</v>
      </c>
      <c r="CU46" s="17">
        <f>CT46*VLOOKUP('Données projet'!$B$13,Paramètres!$A$1:$I$89,3,0)*VLOOKUP('Données projet'!$B$13,Paramètres!$A$1:$I$89,5,0)</f>
        <v>123.57071999999998</v>
      </c>
      <c r="CV46" s="13">
        <f t="shared" si="41"/>
        <v>32.506384557027673</v>
      </c>
      <c r="CW46" s="20">
        <f t="shared" si="13"/>
        <v>271.83429043682321</v>
      </c>
      <c r="CX46" s="59">
        <f t="shared" si="14"/>
        <v>565.16762377015652</v>
      </c>
      <c r="CY46" s="59">
        <f ca="1">AVERAGE(OFFSET($CX$3,0,0,'Données projet'!$E$13+1,1))-AVERAGE(OFFSET($H$3,0,0,'Données projet'!$E$13+1,1))</f>
        <v>255.09913504736693</v>
      </c>
      <c r="CZ46" s="59">
        <f t="shared" si="42"/>
        <v>248.42617382406644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3.1320943601997682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3.1320943601997682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8.4</v>
      </c>
      <c r="DO46" s="12">
        <f>IF('Données projet'!$A$166&gt;35,DO45+DN46-DW45,IF(A46&lt;'Données projet'!$A$166,$DL$205^A46,IF(A46='Données projet'!$A$166,'Données projet'!$B$166,DO45+DN46-DW45)))</f>
        <v>141.20000000000005</v>
      </c>
      <c r="DP46" s="17">
        <f>DO46*VLOOKUP('Données projet'!$B$14,Paramètres!$A$1:$I$89,3,0)*VLOOKUP('Données projet'!$B$14,Paramètres!$A$1:$I$89,5,0)</f>
        <v>160.79856000000007</v>
      </c>
      <c r="DQ46" s="13">
        <f t="shared" si="43"/>
        <v>41.022580620833168</v>
      </c>
      <c r="DR46" s="20">
        <f t="shared" si="16"/>
        <v>351.50515324795123</v>
      </c>
      <c r="DS46" s="59">
        <f t="shared" si="17"/>
        <v>644.83848658128454</v>
      </c>
      <c r="DT46" s="59">
        <f ca="1">AVERAGE(OFFSET($DS$3,0,0,'Données projet'!$E$14+1,1))-AVERAGE(OFFSET($H$3,0,0,'Données projet'!$E$14+1,1))</f>
        <v>459.67331926893809</v>
      </c>
      <c r="DU46" s="59">
        <f t="shared" si="44"/>
        <v>280.33242658375497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2.1424453062680349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2.1424453062680349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11.748000000000001</v>
      </c>
      <c r="EJ46" s="12">
        <f>IF('Données projet'!$A$192&gt;35,EJ45+EI46-ER45,IF(A46&lt;'Données projet'!$A$192,$EG$205^A46,IF(A46='Données projet'!$A$192,'Données projet'!$B$192,EJ45+EI46-ER45)))</f>
        <v>241.43400000000005</v>
      </c>
      <c r="EK46" s="17">
        <f>EJ46*VLOOKUP('Données projet'!$B$15,Paramètres!$A$1:$I$89,3,0)*VLOOKUP('Données projet'!$B$15,Paramètres!$A$1:$I$89,5,0)</f>
        <v>144.37753200000003</v>
      </c>
      <c r="EL46" s="13">
        <f t="shared" si="45"/>
        <v>37.298032540610649</v>
      </c>
      <c r="EM46" s="20">
        <f t="shared" si="19"/>
        <v>316.41827490823027</v>
      </c>
      <c r="EN46" s="59">
        <f t="shared" si="20"/>
        <v>609.75160824156364</v>
      </c>
      <c r="EO46" s="59">
        <f ca="1">AVERAGE(OFFSET($EN$3,0,0,'Données projet'!$E$15+1,1))-AVERAGE(OFFSET($H$3,0,0,'Données projet'!$E$15+1,1))</f>
        <v>264.08053957457469</v>
      </c>
      <c r="EP46" s="59">
        <f t="shared" si="46"/>
        <v>284.83300065761051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14.114555508484521</v>
      </c>
      <c r="EW46" s="21">
        <f>EXP(-LN(2)/25)*EW45+(1-EXP(-LN(2)/25))/(LN(2)/25)*Calculateur!ER46*Calculateur!ET46*VLOOKUP('Données projet'!$B$15,Paramètres!$A$1:$I$89,3,0)*0.475*44/12</f>
        <v>15.870094385784149</v>
      </c>
      <c r="EX46" s="21">
        <f>EXP(-LN(2)/2)*EX45+(1-EXP(-LN(2)/2))/(LN(2)/2)*ER46*EU46*VLOOKUP('Données projet'!$B$15,Paramètres!$A$1:$I$89,3,0)*0.475*44/12</f>
        <v>2.2490717830647036</v>
      </c>
      <c r="EY46" s="22">
        <f t="shared" si="21"/>
        <v>32.233721677333378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10.5</v>
      </c>
      <c r="FE46" s="12">
        <f>IF('Données projet'!$A$218&gt;35,FE45+FD46-FM45,IF(A46&lt;'Données projet'!$A$218,$FB$205^A46,IF(A46='Données projet'!$A$218,'Données projet'!$B$218,FE45+FD46-FM45)))</f>
        <v>181.5</v>
      </c>
      <c r="FF46" s="17">
        <f>FE46*VLOOKUP('Données projet'!$B$16,Paramètres!$A$1:$I$89,3,0)*VLOOKUP('Données projet'!$B$16,Paramètres!$A$1:$I$89,5,0)</f>
        <v>84.942000000000007</v>
      </c>
      <c r="FG46" s="13">
        <f t="shared" si="47"/>
        <v>23.34128117988622</v>
      </c>
      <c r="FH46" s="20">
        <f t="shared" si="22"/>
        <v>188.59338138830185</v>
      </c>
      <c r="FI46" s="59">
        <f t="shared" si="23"/>
        <v>481.92671472163516</v>
      </c>
      <c r="FJ46" s="59">
        <f ca="1">AVERAGE(OFFSET($FI$3,0,0,'Données projet'!$E$16+1,1))-AVERAGE(OFFSET($H$3,0,0,'Données projet'!$E$16+1,1))</f>
        <v>166.27444639635013</v>
      </c>
      <c r="FK46" s="59">
        <f t="shared" si="48"/>
        <v>213.60182977243113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8.5217600922456427</v>
      </c>
      <c r="FR46" s="21">
        <f>EXP(-LN(2)/25)*FR45+(1-EXP(-LN(2)/25))/(LN(2)/25)*Calculateur!FM46*Calculateur!FO46*VLOOKUP('Données projet'!$B$16,Paramètres!$A$1:$I$89,3,0)*0.475*44/12</f>
        <v>13.57421603575726</v>
      </c>
      <c r="FS46" s="21">
        <f>EXP(-LN(2)/2)*FS45+(1-EXP(-LN(2)/2))/(LN(2)/2)*FM46*FP46*VLOOKUP('Données projet'!$B$16,Paramètres!$A$1:$I$89,3,0)*0.475*44/12</f>
        <v>3.0472434647358484</v>
      </c>
      <c r="FT46" s="22">
        <f t="shared" si="24"/>
        <v>25.143219592738753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192.59999999999991</v>
      </c>
      <c r="O47" s="13">
        <f>N47*VLOOKUP('Données projet'!$B$9,Paramètres!$A$1:$I$89,3,0)*VLOOKUP('Données projet'!$B$9,Paramètres!$A$1:$I$89,5,0)</f>
        <v>174.26447999999991</v>
      </c>
      <c r="P47" s="13">
        <f t="shared" si="33"/>
        <v>44.043743683739486</v>
      </c>
      <c r="Q47" s="20">
        <f t="shared" si="53"/>
        <v>380.22015624917941</v>
      </c>
      <c r="R47" s="59">
        <f t="shared" si="0"/>
        <v>673.55348958251273</v>
      </c>
      <c r="S47" s="59">
        <f ca="1">AVERAGE(OFFSET($R$3,0,0,'Données projet'!$E$9+1,1))-AVERAGE(OFFSET($H$3,0,0,'Données projet'!$E$9+1,1))</f>
        <v>458.37755197712164</v>
      </c>
      <c r="T47" s="59">
        <f t="shared" si="34"/>
        <v>278.21741231699917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2.2251165134855517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2.2251165134855517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192.59999999999991</v>
      </c>
      <c r="AJ47" s="13">
        <f>AI47*VLOOKUP('Données projet'!$B$10,Paramètres!$A$1:$I$89,3,0)*VLOOKUP('Données projet'!$B$10,Paramètres!$A$1:$I$89,5,0)</f>
        <v>195.29639999999992</v>
      </c>
      <c r="AK47" s="13">
        <f t="shared" si="35"/>
        <v>48.709031383366153</v>
      </c>
      <c r="AL47" s="20">
        <f t="shared" si="4"/>
        <v>424.97612632602926</v>
      </c>
      <c r="AM47" s="59">
        <f t="shared" si="5"/>
        <v>718.30945965936257</v>
      </c>
      <c r="AN47" s="59">
        <f ca="1">AVERAGE(OFFSET($AM$3,0,0,'Données projet'!$E$10+1,1))-AVERAGE(OFFSET($H$3,0,0,'Données projet'!$E$10+1,1))</f>
        <v>508.60701013958447</v>
      </c>
      <c r="AO47" s="59">
        <f t="shared" si="36"/>
        <v>306.61893266146654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2.4936650582165671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2.4936650582165671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8.4</v>
      </c>
      <c r="BD47" s="12">
        <f>IF('Données projet'!$A$88&gt;35,BD46+BC47-BL46,IF(A47&lt;'Données projet'!$A$88,$BA$205^A47,IF(A47='Données projet'!$A$88,'Données projet'!$B$88,BD46+BC47-BL46)))</f>
        <v>149.60000000000005</v>
      </c>
      <c r="BE47" s="13">
        <f>BD47*VLOOKUP('Données projet'!$B$11,Paramètres!$A$1:$I$89,3,0)*VLOOKUP('Données projet'!$B$11,Paramètres!$A$1:$I$89,5,0)</f>
        <v>142.35936000000004</v>
      </c>
      <c r="BF47" s="13">
        <f t="shared" si="37"/>
        <v>36.836974905762489</v>
      </c>
      <c r="BG47" s="20">
        <f t="shared" si="7"/>
        <v>312.10028329420305</v>
      </c>
      <c r="BH47" s="59">
        <f t="shared" si="8"/>
        <v>605.43361662753637</v>
      </c>
      <c r="BI47" s="59">
        <f ca="1">AVERAGE(OFFSET($BH$3,0,0,'Données projet'!$E$11+1,1))-AVERAGE(OFFSET($H$3,0,0,'Données projet'!$E$11+1,1))</f>
        <v>291.17074241052887</v>
      </c>
      <c r="BJ47" s="59">
        <f t="shared" si="38"/>
        <v>241.18285512887638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1.755156560206276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1.755156560206276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192.59999999999991</v>
      </c>
      <c r="BZ47" s="13">
        <f>BY47*VLOOKUP('Données projet'!$B$12,Paramètres!$A$1:$I$89,3,0)*VLOOKUP('Données projet'!$B$12,Paramètres!$A$1:$I$89,5,0)</f>
        <v>162.24623999999994</v>
      </c>
      <c r="CA47" s="13">
        <f t="shared" si="39"/>
        <v>41.348749290582752</v>
      </c>
      <c r="CB47" s="20">
        <f t="shared" si="10"/>
        <v>354.5946063477648</v>
      </c>
      <c r="CC47" s="59">
        <f t="shared" si="11"/>
        <v>647.92793968109811</v>
      </c>
      <c r="CD47" s="59">
        <f ca="1">AVERAGE(OFFSET($CC$3,0,0,'Données projet'!$E$12+1,1))-AVERAGE(OFFSET($H$3,0,0,'Données projet'!$E$12+1,1))</f>
        <v>429.61977776013185</v>
      </c>
      <c r="CE47" s="59">
        <f t="shared" si="40"/>
        <v>261.95434270986385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2.0716602022106865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2.0716602022106865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8.1999999999999993</v>
      </c>
      <c r="CT47" s="12">
        <f>IF('Données projet'!$A$140&gt;35,CT46+CS47-DB46,IF(A47&lt;'Données projet'!$A$140,$CQ$205^A47,IF(A47='Données projet'!$A$140,'Données projet'!$B$140,CT46+CS47-DB46)))</f>
        <v>196.79999999999995</v>
      </c>
      <c r="CU47" s="17">
        <f>CT47*VLOOKUP('Données projet'!$B$13,Paramètres!$A$1:$I$89,3,0)*VLOOKUP('Données projet'!$B$13,Paramètres!$A$1:$I$89,5,0)</f>
        <v>128.94335999999996</v>
      </c>
      <c r="CV47" s="13">
        <f t="shared" si="41"/>
        <v>33.752085002132162</v>
      </c>
      <c r="CW47" s="20">
        <f t="shared" si="13"/>
        <v>283.36123337871345</v>
      </c>
      <c r="CX47" s="59">
        <f t="shared" si="14"/>
        <v>576.69456671204671</v>
      </c>
      <c r="CY47" s="59">
        <f ca="1">AVERAGE(OFFSET($CX$3,0,0,'Données projet'!$E$13+1,1))-AVERAGE(OFFSET($H$3,0,0,'Données projet'!$E$13+1,1))</f>
        <v>255.09913504736693</v>
      </c>
      <c r="CZ47" s="59">
        <f t="shared" si="42"/>
        <v>248.42617382406644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3.0706759001851753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3.0706759001851753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8.4</v>
      </c>
      <c r="DO47" s="12">
        <f>IF('Données projet'!$A$166&gt;35,DO46+DN47-DW46,IF(A47&lt;'Données projet'!$A$166,$DL$205^A47,IF(A47='Données projet'!$A$166,'Données projet'!$B$166,DO46+DN47-DW46)))</f>
        <v>149.60000000000005</v>
      </c>
      <c r="DP47" s="17">
        <f>DO47*VLOOKUP('Données projet'!$B$14,Paramètres!$A$1:$I$89,3,0)*VLOOKUP('Données projet'!$B$14,Paramètres!$A$1:$I$89,5,0)</f>
        <v>170.36448000000007</v>
      </c>
      <c r="DQ47" s="13">
        <f t="shared" si="43"/>
        <v>43.171644802736004</v>
      </c>
      <c r="DR47" s="20">
        <f t="shared" si="16"/>
        <v>371.90875069809863</v>
      </c>
      <c r="DS47" s="59">
        <f t="shared" si="17"/>
        <v>665.24208403143189</v>
      </c>
      <c r="DT47" s="59">
        <f ca="1">AVERAGE(OFFSET($DS$3,0,0,'Données projet'!$E$14+1,1))-AVERAGE(OFFSET($H$3,0,0,'Données projet'!$E$14+1,1))</f>
        <v>459.67331926893809</v>
      </c>
      <c r="DU47" s="59">
        <f t="shared" si="44"/>
        <v>280.33242658375497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2.1004332605747233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2.1004332605747233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11.748000000000001</v>
      </c>
      <c r="EJ47" s="12">
        <f>IF('Données projet'!$A$192&gt;35,EJ46+EI47-ER46,IF(A47&lt;'Données projet'!$A$192,$EG$205^A47,IF(A47='Données projet'!$A$192,'Données projet'!$B$192,EJ46+EI47-ER46)))</f>
        <v>253.18200000000004</v>
      </c>
      <c r="EK47" s="17">
        <f>EJ47*VLOOKUP('Données projet'!$B$15,Paramètres!$A$1:$I$89,3,0)*VLOOKUP('Données projet'!$B$15,Paramètres!$A$1:$I$89,5,0)</f>
        <v>151.40283600000004</v>
      </c>
      <c r="EL47" s="13">
        <f t="shared" si="45"/>
        <v>38.897212213983103</v>
      </c>
      <c r="EM47" s="20">
        <f t="shared" si="19"/>
        <v>331.43925063935393</v>
      </c>
      <c r="EN47" s="59">
        <f t="shared" si="20"/>
        <v>624.77258397268724</v>
      </c>
      <c r="EO47" s="59">
        <f ca="1">AVERAGE(OFFSET($EN$3,0,0,'Données projet'!$E$15+1,1))-AVERAGE(OFFSET($H$3,0,0,'Données projet'!$E$15+1,1))</f>
        <v>264.08053957457469</v>
      </c>
      <c r="EP47" s="59">
        <f t="shared" si="46"/>
        <v>284.83300065761051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13.837777683991929</v>
      </c>
      <c r="EW47" s="21">
        <f>EXP(-LN(2)/25)*EW46+(1-EXP(-LN(2)/25))/(LN(2)/25)*Calculateur!ER47*Calculateur!ET47*VLOOKUP('Données projet'!$B$15,Paramètres!$A$1:$I$89,3,0)*0.475*44/12</f>
        <v>15.43612582023289</v>
      </c>
      <c r="EX47" s="21">
        <f>EXP(-LN(2)/2)*EX46+(1-EXP(-LN(2)/2))/(LN(2)/2)*ER47*EU47*VLOOKUP('Données projet'!$B$15,Paramètres!$A$1:$I$89,3,0)*0.475*44/12</f>
        <v>1.5903339091803717</v>
      </c>
      <c r="EY47" s="22">
        <f t="shared" si="21"/>
        <v>30.864237413405192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10.5</v>
      </c>
      <c r="FE47" s="12">
        <f>IF('Données projet'!$A$218&gt;35,FE46+FD47-FM46,IF(A47&lt;'Données projet'!$A$218,$FB$205^A47,IF(A47='Données projet'!$A$218,'Données projet'!$B$218,FE46+FD47-FM46)))</f>
        <v>192</v>
      </c>
      <c r="FF47" s="17">
        <f>FE47*VLOOKUP('Données projet'!$B$16,Paramètres!$A$1:$I$89,3,0)*VLOOKUP('Données projet'!$B$16,Paramètres!$A$1:$I$89,5,0)</f>
        <v>89.856000000000009</v>
      </c>
      <c r="FG47" s="13">
        <f t="shared" si="47"/>
        <v>24.5304924254994</v>
      </c>
      <c r="FH47" s="20">
        <f t="shared" si="22"/>
        <v>199.22314097441145</v>
      </c>
      <c r="FI47" s="59">
        <f t="shared" si="23"/>
        <v>492.55647430774479</v>
      </c>
      <c r="FJ47" s="59">
        <f ca="1">AVERAGE(OFFSET($FI$3,0,0,'Données projet'!$E$16+1,1))-AVERAGE(OFFSET($H$3,0,0,'Données projet'!$E$16+1,1))</f>
        <v>166.27444639635013</v>
      </c>
      <c r="FK47" s="59">
        <f t="shared" si="48"/>
        <v>213.60182977243113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8.3546535745971262</v>
      </c>
      <c r="FR47" s="21">
        <f>EXP(-LN(2)/25)*FR46+(1-EXP(-LN(2)/25))/(LN(2)/25)*Calculateur!FM47*Calculateur!FO47*VLOOKUP('Données projet'!$B$16,Paramètres!$A$1:$I$89,3,0)*0.475*44/12</f>
        <v>13.203028384422481</v>
      </c>
      <c r="FS47" s="21">
        <f>EXP(-LN(2)/2)*FS46+(1-EXP(-LN(2)/2))/(LN(2)/2)*FM47*FP47*VLOOKUP('Données projet'!$B$16,Paramètres!$A$1:$I$89,3,0)*0.475*44/12</f>
        <v>2.1547265178411088</v>
      </c>
      <c r="FT47" s="22">
        <f t="shared" si="24"/>
        <v>23.712408476860716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203.99999999999991</v>
      </c>
      <c r="O48" s="13">
        <f>N48*VLOOKUP('Données projet'!$B$9,Paramètres!$A$1:$I$89,3,0)*VLOOKUP('Données projet'!$B$9,Paramètres!$A$1:$I$89,5,0)</f>
        <v>184.5791999999999</v>
      </c>
      <c r="P48" s="13">
        <f t="shared" si="33"/>
        <v>46.339479465836618</v>
      </c>
      <c r="Q48" s="20">
        <f t="shared" si="53"/>
        <v>402.18336673633195</v>
      </c>
      <c r="R48" s="59">
        <f t="shared" si="0"/>
        <v>695.51670006966526</v>
      </c>
      <c r="S48" s="59">
        <f ca="1">AVERAGE(OFFSET($R$3,0,0,'Données projet'!$E$9+1,1))-AVERAGE(OFFSET($H$3,0,0,'Données projet'!$E$9+1,1))</f>
        <v>458.37755197712164</v>
      </c>
      <c r="T48" s="59">
        <f t="shared" si="34"/>
        <v>278.21741231699917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8.6000000000000007E-2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4.590036211201765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4.590036211201765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203.99999999999991</v>
      </c>
      <c r="AJ48" s="13">
        <f>AI48*VLOOKUP('Données projet'!$B$10,Paramètres!$A$1:$I$89,3,0)*VLOOKUP('Données projet'!$B$10,Paramètres!$A$1:$I$89,5,0)</f>
        <v>206.85599999999991</v>
      </c>
      <c r="AK48" s="13">
        <f t="shared" si="35"/>
        <v>51.247940588293027</v>
      </c>
      <c r="AL48" s="20">
        <f t="shared" si="4"/>
        <v>449.53102985794345</v>
      </c>
      <c r="AM48" s="59">
        <f t="shared" si="5"/>
        <v>742.86436319127677</v>
      </c>
      <c r="AN48" s="59">
        <f ca="1">AVERAGE(OFFSET($AM$3,0,0,'Données projet'!$E$10+1,1))-AVERAGE(OFFSET($H$3,0,0,'Données projet'!$E$10+1,1))</f>
        <v>508.60701013958447</v>
      </c>
      <c r="AO48" s="59">
        <f t="shared" si="36"/>
        <v>306.61893266146654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8.6000000000000007E-2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5.1440060987606007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5.1440060987606007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158</v>
      </c>
      <c r="BB48" s="12">
        <f>VLOOKUP(A48,'Données projet'!$A$87:$I$107,9,0)</f>
        <v>8.4</v>
      </c>
      <c r="BC48" s="12">
        <f t="array" ref="BC48">INDEX(BB:BB,MIN(IF(ISNUMBER(BB48:BB244),ROW(BB48:BB244),"")))</f>
        <v>8.4</v>
      </c>
      <c r="BD48" s="12">
        <f>IF('Données projet'!$A$88&gt;35,BD47+BC48-BL47,IF(A48&lt;'Données projet'!$A$88,$BA$205^A48,IF(A48='Données projet'!$A$88,'Données projet'!$B$88,BD47+BC48-BL47)))</f>
        <v>158.00000000000006</v>
      </c>
      <c r="BE48" s="13">
        <f>BD48*VLOOKUP('Données projet'!$B$11,Paramètres!$A$1:$I$89,3,0)*VLOOKUP('Données projet'!$B$11,Paramètres!$A$1:$I$89,5,0)</f>
        <v>150.35280000000006</v>
      </c>
      <c r="BF48" s="13">
        <f t="shared" si="37"/>
        <v>38.658749721546236</v>
      </c>
      <c r="BG48" s="20">
        <f t="shared" si="7"/>
        <v>329.19511576502646</v>
      </c>
      <c r="BH48" s="59">
        <f t="shared" si="8"/>
        <v>622.52844909835972</v>
      </c>
      <c r="BI48" s="59">
        <f ca="1">AVERAGE(OFFSET($BH$3,0,0,'Données projet'!$E$11+1,1))-AVERAGE(OFFSET($H$3,0,0,'Données projet'!$E$11+1,1))</f>
        <v>291.17074241052887</v>
      </c>
      <c r="BJ48" s="59">
        <f t="shared" si="38"/>
        <v>241.18285512887638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21</v>
      </c>
      <c r="BM48" s="16">
        <f>IF(ISNA(VLOOKUP(A48,'Données projet'!$A$87:$I$107,5,0)),0%,VLOOKUP(A48,'Données projet'!$A$87:$I$107,5,0)*VLOOKUP('Données projet'!$B$11,Paramètres!$A$1:$I$89,7,0))</f>
        <v>8.6000000000000007E-2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3.6205889079738069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3.6205889079738069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204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203.99999999999991</v>
      </c>
      <c r="BZ48" s="13">
        <f>BY48*VLOOKUP('Données projet'!$B$12,Paramètres!$A$1:$I$89,3,0)*VLOOKUP('Données projet'!$B$12,Paramètres!$A$1:$I$89,5,0)</f>
        <v>171.84959999999995</v>
      </c>
      <c r="CA48" s="13">
        <f t="shared" si="39"/>
        <v>43.50401120412441</v>
      </c>
      <c r="CB48" s="20">
        <f t="shared" si="10"/>
        <v>375.07420618051657</v>
      </c>
      <c r="CC48" s="59">
        <f t="shared" si="11"/>
        <v>668.40753951384988</v>
      </c>
      <c r="CD48" s="59">
        <f ca="1">AVERAGE(OFFSET($CC$3,0,0,'Données projet'!$E$12+1,1))-AVERAGE(OFFSET($H$3,0,0,'Données projet'!$E$12+1,1))</f>
        <v>429.61977776013185</v>
      </c>
      <c r="CE48" s="59">
        <f t="shared" si="40"/>
        <v>261.95434270986385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28</v>
      </c>
      <c r="CH48" s="16">
        <f>IF(ISNA(VLOOKUP(A48,'Données projet'!$A$113:$I$133,5,0)),0%,VLOOKUP(A48,'Données projet'!$A$113:$I$133,5,0)*VLOOKUP('Données projet'!$B$12,Paramètres!$A$1:$I$89,7,0))</f>
        <v>8.6000000000000007E-2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4.2734819897395759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4.2734819897395759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205</v>
      </c>
      <c r="CR48" s="12">
        <f>VLOOKUP(A48,'Données projet'!$A$139:$I$159,9,0)</f>
        <v>8.1999999999999993</v>
      </c>
      <c r="CS48" s="12">
        <f t="array" ref="CS48">INDEX(CR:CR,MIN(IF(ISNUMBER(CR48:CR244),ROW(CR48:CR244),"")))</f>
        <v>8.1999999999999993</v>
      </c>
      <c r="CT48" s="12">
        <f>IF('Données projet'!$A$140&gt;35,CT47+CS48-DB47,IF(A48&lt;'Données projet'!$A$140,$CQ$205^A48,IF(A48='Données projet'!$A$140,'Données projet'!$B$140,CT47+CS48-DB47)))</f>
        <v>204.99999999999994</v>
      </c>
      <c r="CU48" s="17">
        <f>CT48*VLOOKUP('Données projet'!$B$13,Paramètres!$A$1:$I$89,3,0)*VLOOKUP('Données projet'!$B$13,Paramètres!$A$1:$I$89,5,0)</f>
        <v>134.31599999999995</v>
      </c>
      <c r="CV48" s="13">
        <f t="shared" si="41"/>
        <v>34.991756585122445</v>
      </c>
      <c r="CW48" s="20">
        <f t="shared" si="13"/>
        <v>294.87767605242146</v>
      </c>
      <c r="CX48" s="59">
        <f t="shared" si="14"/>
        <v>588.21100938575478</v>
      </c>
      <c r="CY48" s="59">
        <f ca="1">AVERAGE(OFFSET($CX$3,0,0,'Données projet'!$E$13+1,1))-AVERAGE(OFFSET($H$3,0,0,'Données projet'!$E$13+1,1))</f>
        <v>255.09913504736693</v>
      </c>
      <c r="CZ48" s="59">
        <f t="shared" si="42"/>
        <v>248.42617382406644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22</v>
      </c>
      <c r="DC48" s="16">
        <f>IF(ISNA(VLOOKUP(A48,'Données projet'!$A$139:$I$159,5,0)),0%,VLOOKUP(A48,'Données projet'!$A$139:$I$159,5,0)*VLOOKUP('Données projet'!$B$13,Paramètres!$A$1:$I$89,7,0))</f>
        <v>0.129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5.0660371175073351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5.0660371175073351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158</v>
      </c>
      <c r="DM48" s="12">
        <f>VLOOKUP(A48,'Données projet'!$A$165:$I$185,9,0)</f>
        <v>8.4</v>
      </c>
      <c r="DN48" s="12">
        <f t="array" ref="DN48">INDEX(DM:DM,MIN(IF(ISNUMBER(DM48:DM244),ROW(DM48:DM244),"")))</f>
        <v>8.4</v>
      </c>
      <c r="DO48" s="12">
        <f>IF('Données projet'!$A$166&gt;35,DO47+DN48-DW47,IF(A48&lt;'Données projet'!$A$166,$DL$205^A48,IF(A48='Données projet'!$A$166,'Données projet'!$B$166,DO47+DN48-DW47)))</f>
        <v>158.00000000000006</v>
      </c>
      <c r="DP48" s="17">
        <f>DO48*VLOOKUP('Données projet'!$B$14,Paramètres!$A$1:$I$89,3,0)*VLOOKUP('Données projet'!$B$14,Paramètres!$A$1:$I$89,5,0)</f>
        <v>179.93040000000005</v>
      </c>
      <c r="DQ48" s="13">
        <f t="shared" si="43"/>
        <v>45.306701100349692</v>
      </c>
      <c r="DR48" s="20">
        <f t="shared" si="16"/>
        <v>392.28795108310914</v>
      </c>
      <c r="DS48" s="59">
        <f t="shared" si="17"/>
        <v>685.62128441644245</v>
      </c>
      <c r="DT48" s="59">
        <f ca="1">AVERAGE(OFFSET($DS$3,0,0,'Données projet'!$E$14+1,1))-AVERAGE(OFFSET($H$3,0,0,'Données projet'!$E$14+1,1))</f>
        <v>459.67331926893809</v>
      </c>
      <c r="DU48" s="59">
        <f t="shared" si="44"/>
        <v>280.33242658375497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21</v>
      </c>
      <c r="DX48" s="16">
        <f>IF(ISNA(VLOOKUP(A48,'Données projet'!$A$165:$I$185,5,0)),0%,VLOOKUP(A48,'Données projet'!$A$165:$I$185,5,0)*VLOOKUP('Données projet'!$B$14,Paramètres!$A$1:$I$89,7,0))</f>
        <v>8.6000000000000007E-2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4.3328359062637354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4.3328359062637354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11.748000000000001</v>
      </c>
      <c r="EJ48" s="12">
        <f>IF('Données projet'!$A$192&gt;35,EJ47+EI48-ER47,IF(A48&lt;'Données projet'!$A$192,$EG$205^A48,IF(A48='Données projet'!$A$192,'Données projet'!$B$192,EJ47+EI48-ER47)))</f>
        <v>264.93000000000006</v>
      </c>
      <c r="EK48" s="17">
        <f>EJ48*VLOOKUP('Données projet'!$B$15,Paramètres!$A$1:$I$89,3,0)*VLOOKUP('Données projet'!$B$15,Paramètres!$A$1:$I$89,5,0)</f>
        <v>158.42814000000004</v>
      </c>
      <c r="EL48" s="13">
        <f t="shared" si="45"/>
        <v>40.487774539389157</v>
      </c>
      <c r="EM48" s="20">
        <f t="shared" si="19"/>
        <v>346.44521782276951</v>
      </c>
      <c r="EN48" s="59">
        <f t="shared" si="20"/>
        <v>639.77855115610282</v>
      </c>
      <c r="EO48" s="59">
        <f ca="1">AVERAGE(OFFSET($EN$3,0,0,'Données projet'!$E$15+1,1))-AVERAGE(OFFSET($H$3,0,0,'Données projet'!$E$15+1,1))</f>
        <v>264.08053957457469</v>
      </c>
      <c r="EP48" s="59">
        <f t="shared" si="46"/>
        <v>284.83300065761051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13.566427303819832</v>
      </c>
      <c r="EW48" s="21">
        <f>EXP(-LN(2)/25)*EW47+(1-EXP(-LN(2)/25))/(LN(2)/25)*Calculateur!ER48*Calculateur!ET48*VLOOKUP('Données projet'!$B$15,Paramètres!$A$1:$I$89,3,0)*0.475*44/12</f>
        <v>15.014024147928044</v>
      </c>
      <c r="EX48" s="21">
        <f>EXP(-LN(2)/2)*EX47+(1-EXP(-LN(2)/2))/(LN(2)/2)*ER48*EU48*VLOOKUP('Données projet'!$B$15,Paramètres!$A$1:$I$89,3,0)*0.475*44/12</f>
        <v>1.1245358915323518</v>
      </c>
      <c r="EY48" s="22">
        <f t="shared" si="21"/>
        <v>29.70498734328023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10.5</v>
      </c>
      <c r="FE48" s="12">
        <f>IF('Données projet'!$A$218&gt;35,FE47+FD48-FM47,IF(A48&lt;'Données projet'!$A$218,$FB$205^A48,IF(A48='Données projet'!$A$218,'Données projet'!$B$218,FE47+FD48-FM47)))</f>
        <v>202.5</v>
      </c>
      <c r="FF48" s="17">
        <f>FE48*VLOOKUP('Données projet'!$B$16,Paramètres!$A$1:$I$89,3,0)*VLOOKUP('Données projet'!$B$16,Paramètres!$A$1:$I$89,5,0)</f>
        <v>94.77</v>
      </c>
      <c r="FG48" s="13">
        <f t="shared" si="47"/>
        <v>25.712153668783351</v>
      </c>
      <c r="FH48" s="20">
        <f t="shared" si="22"/>
        <v>209.839750973131</v>
      </c>
      <c r="FI48" s="59">
        <f t="shared" si="23"/>
        <v>503.17308430646432</v>
      </c>
      <c r="FJ48" s="59">
        <f ca="1">AVERAGE(OFFSET($FI$3,0,0,'Données projet'!$E$16+1,1))-AVERAGE(OFFSET($H$3,0,0,'Données projet'!$E$16+1,1))</f>
        <v>166.27444639635013</v>
      </c>
      <c r="FK48" s="59">
        <f t="shared" si="48"/>
        <v>213.60182977243113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8.1908239138347856</v>
      </c>
      <c r="FR48" s="21">
        <f>EXP(-LN(2)/25)*FR47+(1-EXP(-LN(2)/25))/(LN(2)/25)*Calculateur!FM48*Calculateur!FO48*VLOOKUP('Données projet'!$B$16,Paramètres!$A$1:$I$89,3,0)*0.475*44/12</f>
        <v>12.841990878933361</v>
      </c>
      <c r="FS48" s="21">
        <f>EXP(-LN(2)/2)*FS47+(1-EXP(-LN(2)/2))/(LN(2)/2)*FM48*FP48*VLOOKUP('Données projet'!$B$16,Paramètres!$A$1:$I$89,3,0)*0.475*44/12</f>
        <v>1.5236217323679244</v>
      </c>
      <c r="FT48" s="22">
        <f t="shared" si="24"/>
        <v>22.556436525136071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186.99999999999991</v>
      </c>
      <c r="O49" s="13">
        <f>N49*VLOOKUP('Données projet'!$B$9,Paramètres!$A$1:$I$89,3,0)*VLOOKUP('Données projet'!$B$9,Paramètres!$A$1:$I$89,5,0)</f>
        <v>169.19759999999991</v>
      </c>
      <c r="P49" s="13">
        <f t="shared" si="33"/>
        <v>42.91026322343285</v>
      </c>
      <c r="Q49" s="20">
        <f t="shared" si="53"/>
        <v>369.42119511414541</v>
      </c>
      <c r="R49" s="59">
        <f t="shared" si="0"/>
        <v>662.75452844747872</v>
      </c>
      <c r="S49" s="59">
        <f ca="1">AVERAGE(OFFSET($R$3,0,0,'Données projet'!$E$9+1,1))-AVERAGE(OFFSET($H$3,0,0,'Données projet'!$E$9+1,1))</f>
        <v>458.37755197712164</v>
      </c>
      <c r="T49" s="59">
        <f t="shared" si="34"/>
        <v>278.21741231699917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4.5000284007457454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4.5000284007457454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186.99999999999991</v>
      </c>
      <c r="AJ49" s="13">
        <f>AI49*VLOOKUP('Données projet'!$B$10,Paramètres!$A$1:$I$89,3,0)*VLOOKUP('Données projet'!$B$10,Paramètres!$A$1:$I$89,5,0)</f>
        <v>189.61799999999994</v>
      </c>
      <c r="AK49" s="13">
        <f t="shared" si="35"/>
        <v>47.4554881852685</v>
      </c>
      <c r="AL49" s="20">
        <f t="shared" si="4"/>
        <v>412.90299192267588</v>
      </c>
      <c r="AM49" s="59">
        <f t="shared" si="5"/>
        <v>706.2363252560092</v>
      </c>
      <c r="AN49" s="59">
        <f ca="1">AVERAGE(OFFSET($AM$3,0,0,'Données projet'!$E$10+1,1))-AVERAGE(OFFSET($H$3,0,0,'Données projet'!$E$10+1,1))</f>
        <v>508.60701013958447</v>
      </c>
      <c r="AO49" s="59">
        <f t="shared" si="36"/>
        <v>306.61893266146654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5.0431352766978197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5.0431352766978197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8.1999999999999993</v>
      </c>
      <c r="BD49" s="12">
        <f>IF('Données projet'!$A$88&gt;35,BD48+BC49-BL48,IF(A49&lt;'Données projet'!$A$88,$BA$205^A49,IF(A49='Données projet'!$A$88,'Données projet'!$B$88,BD48+BC49-BL48)))</f>
        <v>145.20000000000005</v>
      </c>
      <c r="BE49" s="13">
        <f>BD49*VLOOKUP('Données projet'!$B$11,Paramètres!$A$1:$I$89,3,0)*VLOOKUP('Données projet'!$B$11,Paramètres!$A$1:$I$89,5,0)</f>
        <v>138.17232000000004</v>
      </c>
      <c r="BF49" s="13">
        <f t="shared" si="37"/>
        <v>35.877989993863793</v>
      </c>
      <c r="BG49" s="20">
        <f t="shared" si="7"/>
        <v>303.13762323931286</v>
      </c>
      <c r="BH49" s="59">
        <f t="shared" si="8"/>
        <v>596.47095657264617</v>
      </c>
      <c r="BI49" s="59">
        <f ca="1">AVERAGE(OFFSET($BH$3,0,0,'Données projet'!$E$11+1,1))-AVERAGE(OFFSET($H$3,0,0,'Données projet'!$E$11+1,1))</f>
        <v>291.17074241052887</v>
      </c>
      <c r="BJ49" s="59">
        <f t="shared" si="38"/>
        <v>241.18285512887638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3.5495913678296187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3.5495913678296187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</v>
      </c>
      <c r="BY49" s="12">
        <f>IF('Données projet'!$A$114&gt;35,BY48+BX49-CG48,IF(A49&lt;'Données projet'!$A$114,$BV$205^A49,IF(A49='Données projet'!$A$114,'Données projet'!$B$114,BY48+BX49-CG48)))</f>
        <v>186.99999999999991</v>
      </c>
      <c r="BZ49" s="13">
        <f>BY49*VLOOKUP('Données projet'!$B$12,Paramètres!$A$1:$I$89,3,0)*VLOOKUP('Données projet'!$B$12,Paramètres!$A$1:$I$89,5,0)</f>
        <v>157.52879999999993</v>
      </c>
      <c r="CA49" s="13">
        <f t="shared" si="39"/>
        <v>40.284625411478977</v>
      </c>
      <c r="CB49" s="20">
        <f t="shared" si="10"/>
        <v>344.52504925832574</v>
      </c>
      <c r="CC49" s="59">
        <f t="shared" si="11"/>
        <v>637.85838259165905</v>
      </c>
      <c r="CD49" s="59">
        <f ca="1">AVERAGE(OFFSET($CC$3,0,0,'Données projet'!$E$12+1,1))-AVERAGE(OFFSET($H$3,0,0,'Données projet'!$E$12+1,1))</f>
        <v>429.61977776013185</v>
      </c>
      <c r="CE49" s="59">
        <f t="shared" si="40"/>
        <v>261.95434270986385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4.1896816144874194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4.1896816144874194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7.2</v>
      </c>
      <c r="CT49" s="12">
        <f>IF('Données projet'!$A$140&gt;35,CT48+CS49-DB48,IF(A49&lt;'Données projet'!$A$140,$CQ$205^A49,IF(A49='Données projet'!$A$140,'Données projet'!$B$140,CT48+CS49-DB48)))</f>
        <v>190.19999999999993</v>
      </c>
      <c r="CU49" s="17">
        <f>CT49*VLOOKUP('Données projet'!$B$13,Paramètres!$A$1:$I$89,3,0)*VLOOKUP('Données projet'!$B$13,Paramètres!$A$1:$I$89,5,0)</f>
        <v>124.61903999999996</v>
      </c>
      <c r="CV49" s="13">
        <f t="shared" si="41"/>
        <v>32.749934965107833</v>
      </c>
      <c r="CW49" s="20">
        <f t="shared" si="13"/>
        <v>274.08429806422936</v>
      </c>
      <c r="CX49" s="59">
        <f t="shared" si="14"/>
        <v>567.41763139756267</v>
      </c>
      <c r="CY49" s="59">
        <f ca="1">AVERAGE(OFFSET($CX$3,0,0,'Données projet'!$E$13+1,1))-AVERAGE(OFFSET($H$3,0,0,'Données projet'!$E$13+1,1))</f>
        <v>255.09913504736693</v>
      </c>
      <c r="CZ49" s="59">
        <f t="shared" si="42"/>
        <v>248.42617382406644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4.9666952196105481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4.9666952196105481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8.1999999999999993</v>
      </c>
      <c r="DO49" s="12">
        <f>IF('Données projet'!$A$166&gt;35,DO48+DN49-DW48,IF(A49&lt;'Données projet'!$A$166,$DL$205^A49,IF(A49='Données projet'!$A$166,'Données projet'!$B$166,DO48+DN49-DW48)))</f>
        <v>145.20000000000005</v>
      </c>
      <c r="DP49" s="17">
        <f>DO49*VLOOKUP('Données projet'!$B$14,Paramètres!$A$1:$I$89,3,0)*VLOOKUP('Données projet'!$B$14,Paramètres!$A$1:$I$89,5,0)</f>
        <v>165.35376000000005</v>
      </c>
      <c r="DQ49" s="13">
        <f t="shared" si="43"/>
        <v>42.047748063289099</v>
      </c>
      <c r="DR49" s="20">
        <f t="shared" si="16"/>
        <v>361.22429321022861</v>
      </c>
      <c r="DS49" s="59">
        <f t="shared" si="17"/>
        <v>654.55762654356192</v>
      </c>
      <c r="DT49" s="59">
        <f ca="1">AVERAGE(OFFSET($DS$3,0,0,'Données projet'!$E$14+1,1))-AVERAGE(OFFSET($H$3,0,0,'Données projet'!$E$14+1,1))</f>
        <v>459.67331926893809</v>
      </c>
      <c r="DU49" s="59">
        <f t="shared" si="44"/>
        <v>280.33242658375497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4.2478716369108547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4.2478716369108547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11.748000000000001</v>
      </c>
      <c r="EJ49" s="12">
        <f>IF('Données projet'!$A$192&gt;35,EJ48+EI49-ER48,IF(A49&lt;'Données projet'!$A$192,$EG$205^A49,IF(A49='Données projet'!$A$192,'Données projet'!$B$192,EJ48+EI49-ER48)))</f>
        <v>276.67800000000005</v>
      </c>
      <c r="EK49" s="17">
        <f>EJ49*VLOOKUP('Données projet'!$B$15,Paramètres!$A$1:$I$89,3,0)*VLOOKUP('Données projet'!$B$15,Paramètres!$A$1:$I$89,5,0)</f>
        <v>165.45344400000005</v>
      </c>
      <c r="EL49" s="13">
        <f t="shared" si="45"/>
        <v>42.070145308033354</v>
      </c>
      <c r="EM49" s="20">
        <f t="shared" si="19"/>
        <v>361.43691804482478</v>
      </c>
      <c r="EN49" s="59">
        <f t="shared" si="20"/>
        <v>654.77025137815804</v>
      </c>
      <c r="EO49" s="59">
        <f ca="1">AVERAGE(OFFSET($EN$3,0,0,'Données projet'!$E$15+1,1))-AVERAGE(OFFSET($H$3,0,0,'Données projet'!$E$15+1,1))</f>
        <v>264.08053957457469</v>
      </c>
      <c r="EP49" s="59">
        <f t="shared" si="46"/>
        <v>284.83300065761051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13.300397939095522</v>
      </c>
      <c r="EW49" s="21">
        <f>EXP(-LN(2)/25)*EW48+(1-EXP(-LN(2)/25))/(LN(2)/25)*Calculateur!ER49*Calculateur!ET49*VLOOKUP('Données projet'!$B$15,Paramètres!$A$1:$I$89,3,0)*0.475*44/12</f>
        <v>14.603464868049738</v>
      </c>
      <c r="EX49" s="21">
        <f>EXP(-LN(2)/2)*EX48+(1-EXP(-LN(2)/2))/(LN(2)/2)*ER49*EU49*VLOOKUP('Données projet'!$B$15,Paramètres!$A$1:$I$89,3,0)*0.475*44/12</f>
        <v>0.79516695459018583</v>
      </c>
      <c r="EY49" s="22">
        <f t="shared" si="21"/>
        <v>28.699029761735446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10.5</v>
      </c>
      <c r="FE49" s="12">
        <f>IF('Données projet'!$A$218&gt;35,FE48+FD49-FM48,IF(A49&lt;'Données projet'!$A$218,$FB$205^A49,IF(A49='Données projet'!$A$218,'Données projet'!$B$218,FE48+FD49-FM48)))</f>
        <v>213</v>
      </c>
      <c r="FF49" s="17">
        <f>FE49*VLOOKUP('Données projet'!$B$16,Paramètres!$A$1:$I$89,3,0)*VLOOKUP('Données projet'!$B$16,Paramètres!$A$1:$I$89,5,0)</f>
        <v>99.683999999999997</v>
      </c>
      <c r="FG49" s="13">
        <f t="shared" si="47"/>
        <v>26.886701044194457</v>
      </c>
      <c r="FH49" s="20">
        <f t="shared" si="22"/>
        <v>220.44397098530533</v>
      </c>
      <c r="FI49" s="59">
        <f t="shared" si="23"/>
        <v>513.7773043186387</v>
      </c>
      <c r="FJ49" s="59">
        <f ca="1">AVERAGE(OFFSET($FI$3,0,0,'Données projet'!$E$16+1,1))-AVERAGE(OFFSET($H$3,0,0,'Données projet'!$E$16+1,1))</f>
        <v>166.27444639635013</v>
      </c>
      <c r="FK49" s="59">
        <f t="shared" si="48"/>
        <v>213.60182977243113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8.0302068527937678</v>
      </c>
      <c r="FR49" s="21">
        <f>EXP(-LN(2)/25)*FR48+(1-EXP(-LN(2)/25))/(LN(2)/25)*Calculateur!FM49*Calculateur!FO49*VLOOKUP('Données projet'!$B$16,Paramètres!$A$1:$I$89,3,0)*0.475*44/12</f>
        <v>12.490825963017979</v>
      </c>
      <c r="FS49" s="21">
        <f>EXP(-LN(2)/2)*FS48+(1-EXP(-LN(2)/2))/(LN(2)/2)*FM49*FP49*VLOOKUP('Données projet'!$B$16,Paramètres!$A$1:$I$89,3,0)*0.475*44/12</f>
        <v>1.0773632589205544</v>
      </c>
      <c r="FT49" s="22">
        <f t="shared" si="24"/>
        <v>21.5983960747323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197.99999999999991</v>
      </c>
      <c r="O50" s="13">
        <f>N50*VLOOKUP('Données projet'!$B$9,Paramètres!$A$1:$I$89,3,0)*VLOOKUP('Données projet'!$B$9,Paramètres!$A$1:$I$89,5,0)</f>
        <v>179.15039999999993</v>
      </c>
      <c r="P50" s="13">
        <f t="shared" si="33"/>
        <v>45.133113803437304</v>
      </c>
      <c r="Q50" s="20">
        <f t="shared" si="53"/>
        <v>390.62711987431982</v>
      </c>
      <c r="R50" s="59">
        <f t="shared" si="0"/>
        <v>683.96045320765313</v>
      </c>
      <c r="S50" s="59">
        <f ca="1">AVERAGE(OFFSET($R$3,0,0,'Données projet'!$E$9+1,1))-AVERAGE(OFFSET($H$3,0,0,'Données projet'!$E$9+1,1))</f>
        <v>458.37755197712164</v>
      </c>
      <c r="T50" s="59">
        <f t="shared" si="34"/>
        <v>278.21741231699917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4.4117855885534247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4.4117855885534247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197.99999999999991</v>
      </c>
      <c r="AJ50" s="13">
        <f>AI50*VLOOKUP('Données projet'!$B$10,Paramètres!$A$1:$I$89,3,0)*VLOOKUP('Données projet'!$B$10,Paramètres!$A$1:$I$89,5,0)</f>
        <v>200.77199999999993</v>
      </c>
      <c r="AK50" s="13">
        <f t="shared" si="35"/>
        <v>49.913791898945412</v>
      </c>
      <c r="AL50" s="20">
        <f t="shared" si="4"/>
        <v>436.61108755732977</v>
      </c>
      <c r="AM50" s="59">
        <f t="shared" si="5"/>
        <v>729.94442089066308</v>
      </c>
      <c r="AN50" s="59">
        <f ca="1">AVERAGE(OFFSET($AM$3,0,0,'Données projet'!$E$10+1,1))-AVERAGE(OFFSET($H$3,0,0,'Données projet'!$E$10+1,1))</f>
        <v>508.60701013958447</v>
      </c>
      <c r="AO50" s="59">
        <f t="shared" si="36"/>
        <v>306.61893266146654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4.9442424699305638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4.9442424699305638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8.1999999999999993</v>
      </c>
      <c r="BD50" s="12">
        <f>IF('Données projet'!$A$88&gt;35,BD49+BC50-BL49,IF(A50&lt;'Données projet'!$A$88,$BA$205^A50,IF(A50='Données projet'!$A$88,'Données projet'!$B$88,BD49+BC50-BL49)))</f>
        <v>153.40000000000003</v>
      </c>
      <c r="BE50" s="13">
        <f>BD50*VLOOKUP('Données projet'!$B$11,Paramètres!$A$1:$I$89,3,0)*VLOOKUP('Données projet'!$B$11,Paramètres!$A$1:$I$89,5,0)</f>
        <v>145.97544000000002</v>
      </c>
      <c r="BF50" s="13">
        <f t="shared" si="37"/>
        <v>37.662547285900686</v>
      </c>
      <c r="BG50" s="20">
        <f t="shared" si="7"/>
        <v>319.83616118961032</v>
      </c>
      <c r="BH50" s="59">
        <f t="shared" si="8"/>
        <v>613.16949452294364</v>
      </c>
      <c r="BI50" s="59">
        <f ca="1">AVERAGE(OFFSET($BH$3,0,0,'Données projet'!$E$11+1,1))-AVERAGE(OFFSET($H$3,0,0,'Données projet'!$E$11+1,1))</f>
        <v>291.17074241052887</v>
      </c>
      <c r="BJ50" s="59">
        <f t="shared" si="38"/>
        <v>241.18285512887638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3.4799860461434347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3.4799860461434347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</v>
      </c>
      <c r="BY50" s="12">
        <f>IF('Données projet'!$A$114&gt;35,BY49+BX50-CG49,IF(A50&lt;'Données projet'!$A$114,$BV$205^A50,IF(A50='Données projet'!$A$114,'Données projet'!$B$114,BY49+BX50-CG49)))</f>
        <v>197.99999999999991</v>
      </c>
      <c r="BZ50" s="13">
        <f>BY50*VLOOKUP('Données projet'!$B$12,Paramètres!$A$1:$I$89,3,0)*VLOOKUP('Données projet'!$B$12,Paramètres!$A$1:$I$89,5,0)</f>
        <v>166.79519999999994</v>
      </c>
      <c r="CA50" s="13">
        <f t="shared" si="39"/>
        <v>42.371461898472788</v>
      </c>
      <c r="CB50" s="20">
        <f t="shared" si="10"/>
        <v>364.29860280650661</v>
      </c>
      <c r="CC50" s="59">
        <f t="shared" si="11"/>
        <v>657.63193613983992</v>
      </c>
      <c r="CD50" s="59">
        <f ca="1">AVERAGE(OFFSET($CC$3,0,0,'Données projet'!$E$12+1,1))-AVERAGE(OFFSET($H$3,0,0,'Données projet'!$E$12+1,1))</f>
        <v>429.61977776013185</v>
      </c>
      <c r="CE50" s="59">
        <f t="shared" si="40"/>
        <v>261.95434270986385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4.1075245134807759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4.1075245134807759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7.2</v>
      </c>
      <c r="CT50" s="12">
        <f>IF('Données projet'!$A$140&gt;35,CT49+CS50-DB49,IF(A50&lt;'Données projet'!$A$140,$CQ$205^A50,IF(A50='Données projet'!$A$140,'Données projet'!$B$140,CT49+CS50-DB49)))</f>
        <v>197.39999999999992</v>
      </c>
      <c r="CU50" s="17">
        <f>CT50*VLOOKUP('Données projet'!$B$13,Paramètres!$A$1:$I$89,3,0)*VLOOKUP('Données projet'!$B$13,Paramètres!$A$1:$I$89,5,0)</f>
        <v>129.33647999999994</v>
      </c>
      <c r="CV50" s="13">
        <f t="shared" si="41"/>
        <v>33.84299371090448</v>
      </c>
      <c r="CW50" s="20">
        <f t="shared" si="13"/>
        <v>284.20425004649184</v>
      </c>
      <c r="CX50" s="59">
        <f t="shared" si="14"/>
        <v>577.53758337982515</v>
      </c>
      <c r="CY50" s="59">
        <f ca="1">AVERAGE(OFFSET($CX$3,0,0,'Données projet'!$E$13+1,1))-AVERAGE(OFFSET($H$3,0,0,'Données projet'!$E$13+1,1))</f>
        <v>255.09913504736693</v>
      </c>
      <c r="CZ50" s="59">
        <f t="shared" si="42"/>
        <v>248.42617382406644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4.8693013557389424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4.8693013557389424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8.1999999999999993</v>
      </c>
      <c r="DO50" s="12">
        <f>IF('Données projet'!$A$166&gt;35,DO49+DN50-DW49,IF(A50&lt;'Données projet'!$A$166,$DL$205^A50,IF(A50='Données projet'!$A$166,'Données projet'!$B$166,DO49+DN50-DW49)))</f>
        <v>153.40000000000003</v>
      </c>
      <c r="DP50" s="17">
        <f>DO50*VLOOKUP('Données projet'!$B$14,Paramètres!$A$1:$I$89,3,0)*VLOOKUP('Données projet'!$B$14,Paramètres!$A$1:$I$89,5,0)</f>
        <v>174.69192000000004</v>
      </c>
      <c r="DQ50" s="13">
        <f t="shared" si="43"/>
        <v>44.139186726182643</v>
      </c>
      <c r="DR50" s="20">
        <f t="shared" si="16"/>
        <v>381.13084421476816</v>
      </c>
      <c r="DS50" s="59">
        <f t="shared" si="17"/>
        <v>674.46417754810147</v>
      </c>
      <c r="DT50" s="59">
        <f ca="1">AVERAGE(OFFSET($DS$3,0,0,'Données projet'!$E$14+1,1))-AVERAGE(OFFSET($H$3,0,0,'Données projet'!$E$14+1,1))</f>
        <v>459.67331926893809</v>
      </c>
      <c r="DU50" s="59">
        <f t="shared" si="44"/>
        <v>280.33242658375497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4.1645734650568969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4.1645734650568969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11.748000000000001</v>
      </c>
      <c r="EJ50" s="12">
        <f>IF('Données projet'!$A$192&gt;35,EJ49+EI50-ER49,IF(A50&lt;'Données projet'!$A$192,$EG$205^A50,IF(A50='Données projet'!$A$192,'Données projet'!$B$192,EJ49+EI50-ER49)))</f>
        <v>288.42600000000004</v>
      </c>
      <c r="EK50" s="17">
        <f>EJ50*VLOOKUP('Données projet'!$B$15,Paramètres!$A$1:$I$89,3,0)*VLOOKUP('Données projet'!$B$15,Paramètres!$A$1:$I$89,5,0)</f>
        <v>172.47874800000005</v>
      </c>
      <c r="EL50" s="13">
        <f t="shared" si="45"/>
        <v>43.644712106855884</v>
      </c>
      <c r="EM50" s="20">
        <f t="shared" si="19"/>
        <v>376.41502635277408</v>
      </c>
      <c r="EN50" s="59">
        <f t="shared" si="20"/>
        <v>669.74835968610739</v>
      </c>
      <c r="EO50" s="59">
        <f ca="1">AVERAGE(OFFSET($EN$3,0,0,'Données projet'!$E$15+1,1))-AVERAGE(OFFSET($H$3,0,0,'Données projet'!$E$15+1,1))</f>
        <v>264.08053957457469</v>
      </c>
      <c r="EP50" s="59">
        <f t="shared" si="46"/>
        <v>284.83300065761051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13.039585247951564</v>
      </c>
      <c r="EW50" s="21">
        <f>EXP(-LN(2)/25)*EW49+(1-EXP(-LN(2)/25))/(LN(2)/25)*Calculateur!ER50*Calculateur!ET50*VLOOKUP('Données projet'!$B$15,Paramètres!$A$1:$I$89,3,0)*0.475*44/12</f>
        <v>14.204132353270078</v>
      </c>
      <c r="EX50" s="21">
        <f>EXP(-LN(2)/2)*EX49+(1-EXP(-LN(2)/2))/(LN(2)/2)*ER50*EU50*VLOOKUP('Données projet'!$B$15,Paramètres!$A$1:$I$89,3,0)*0.475*44/12</f>
        <v>0.56226794576617589</v>
      </c>
      <c r="EY50" s="22">
        <f t="shared" si="21"/>
        <v>27.805985546987817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10.5</v>
      </c>
      <c r="FE50" s="12">
        <f>IF('Données projet'!$A$218&gt;35,FE49+FD50-FM49,IF(A50&lt;'Données projet'!$A$218,$FB$205^A50,IF(A50='Données projet'!$A$218,'Données projet'!$B$218,FE49+FD50-FM49)))</f>
        <v>223.5</v>
      </c>
      <c r="FF50" s="17">
        <f>FE50*VLOOKUP('Données projet'!$B$16,Paramètres!$A$1:$I$89,3,0)*VLOOKUP('Données projet'!$B$16,Paramètres!$A$1:$I$89,5,0)</f>
        <v>104.598</v>
      </c>
      <c r="FG50" s="13">
        <f t="shared" si="47"/>
        <v>28.054525257841597</v>
      </c>
      <c r="FH50" s="20">
        <f t="shared" si="22"/>
        <v>231.03648149074078</v>
      </c>
      <c r="FI50" s="59">
        <f t="shared" si="23"/>
        <v>524.36981482407407</v>
      </c>
      <c r="FJ50" s="59">
        <f ca="1">AVERAGE(OFFSET($FI$3,0,0,'Données projet'!$E$16+1,1))-AVERAGE(OFFSET($H$3,0,0,'Données projet'!$E$16+1,1))</f>
        <v>166.27444639635013</v>
      </c>
      <c r="FK50" s="59">
        <f t="shared" si="48"/>
        <v>213.60182977243113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7.8727393943530304</v>
      </c>
      <c r="FR50" s="21">
        <f>EXP(-LN(2)/25)*FR49+(1-EXP(-LN(2)/25))/(LN(2)/25)*Calculateur!FM50*Calculateur!FO50*VLOOKUP('Données projet'!$B$16,Paramètres!$A$1:$I$89,3,0)*0.475*44/12</f>
        <v>12.149263670195264</v>
      </c>
      <c r="FS50" s="21">
        <f>EXP(-LN(2)/2)*FS49+(1-EXP(-LN(2)/2))/(LN(2)/2)*FM50*FP50*VLOOKUP('Données projet'!$B$16,Paramètres!$A$1:$I$89,3,0)*0.475*44/12</f>
        <v>0.76181086618396221</v>
      </c>
      <c r="FT50" s="22">
        <f t="shared" si="24"/>
        <v>20.783813930732254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208.99999999999991</v>
      </c>
      <c r="O51" s="13">
        <f>N51*VLOOKUP('Données projet'!$B$9,Paramètres!$A$1:$I$89,3,0)*VLOOKUP('Données projet'!$B$9,Paramètres!$A$1:$I$89,5,0)</f>
        <v>189.10319999999993</v>
      </c>
      <c r="P51" s="13">
        <f t="shared" si="33"/>
        <v>47.34162854278712</v>
      </c>
      <c r="Q51" s="20">
        <f t="shared" si="53"/>
        <v>411.80807637868742</v>
      </c>
      <c r="R51" s="59">
        <f t="shared" si="0"/>
        <v>705.14140971202073</v>
      </c>
      <c r="S51" s="59">
        <f ca="1">AVERAGE(OFFSET($R$3,0,0,'Données projet'!$E$9+1,1))-AVERAGE(OFFSET($H$3,0,0,'Données projet'!$E$9+1,1))</f>
        <v>458.37755197712164</v>
      </c>
      <c r="T51" s="59">
        <f t="shared" si="34"/>
        <v>278.21741231699917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4.3252731640853943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4.3252731640853943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208.99999999999991</v>
      </c>
      <c r="AJ51" s="13">
        <f>AI51*VLOOKUP('Données projet'!$B$10,Paramètres!$A$1:$I$89,3,0)*VLOOKUP('Données projet'!$B$10,Paramètres!$A$1:$I$89,5,0)</f>
        <v>211.9259999999999</v>
      </c>
      <c r="AK51" s="13">
        <f t="shared" si="35"/>
        <v>52.356241262970116</v>
      </c>
      <c r="AL51" s="20">
        <f t="shared" si="4"/>
        <v>460.29157019967283</v>
      </c>
      <c r="AM51" s="59">
        <f t="shared" si="5"/>
        <v>753.62490353300609</v>
      </c>
      <c r="AN51" s="59">
        <f ca="1">AVERAGE(OFFSET($AM$3,0,0,'Données projet'!$E$10+1,1))-AVERAGE(OFFSET($H$3,0,0,'Données projet'!$E$10+1,1))</f>
        <v>508.60701013958447</v>
      </c>
      <c r="AO51" s="59">
        <f t="shared" si="36"/>
        <v>306.61893266146654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4.8472888907853573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4.8472888907853573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8.1999999999999993</v>
      </c>
      <c r="BD51" s="12">
        <f>IF('Données projet'!$A$88&gt;35,BD50+BC51-BL50,IF(A51&lt;'Données projet'!$A$88,$BA$205^A51,IF(A51='Données projet'!$A$88,'Données projet'!$B$88,BD50+BC51-BL50)))</f>
        <v>161.60000000000002</v>
      </c>
      <c r="BE51" s="13">
        <f>BD51*VLOOKUP('Données projet'!$B$11,Paramètres!$A$1:$I$89,3,0)*VLOOKUP('Données projet'!$B$11,Paramètres!$A$1:$I$89,5,0)</f>
        <v>153.77856000000003</v>
      </c>
      <c r="BF51" s="13">
        <f t="shared" si="37"/>
        <v>39.436029674841947</v>
      </c>
      <c r="BG51" s="20">
        <f t="shared" si="7"/>
        <v>336.51541035034978</v>
      </c>
      <c r="BH51" s="59">
        <f t="shared" si="8"/>
        <v>629.8487436836831</v>
      </c>
      <c r="BI51" s="59">
        <f ca="1">AVERAGE(OFFSET($BH$3,0,0,'Données projet'!$E$11+1,1))-AVERAGE(OFFSET($H$3,0,0,'Données projet'!$E$11+1,1))</f>
        <v>291.17074241052887</v>
      </c>
      <c r="BJ51" s="59">
        <f t="shared" si="38"/>
        <v>241.18285512887638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3.4117456423604624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3.4117456423604624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</v>
      </c>
      <c r="BY51" s="12">
        <f>IF('Données projet'!$A$114&gt;35,BY50+BX51-CG50,IF(A51&lt;'Données projet'!$A$114,$BV$205^A51,IF(A51='Données projet'!$A$114,'Données projet'!$B$114,BY50+BX51-CG50)))</f>
        <v>208.99999999999991</v>
      </c>
      <c r="BZ51" s="13">
        <f>BY51*VLOOKUP('Données projet'!$B$12,Paramètres!$A$1:$I$89,3,0)*VLOOKUP('Données projet'!$B$12,Paramètres!$A$1:$I$89,5,0)</f>
        <v>176.06159999999994</v>
      </c>
      <c r="CA51" s="13">
        <f t="shared" si="39"/>
        <v>44.444839741138928</v>
      </c>
      <c r="CB51" s="20">
        <f t="shared" si="10"/>
        <v>384.04871588248352</v>
      </c>
      <c r="CC51" s="59">
        <f t="shared" si="11"/>
        <v>677.38204921581678</v>
      </c>
      <c r="CD51" s="59">
        <f ca="1">AVERAGE(OFFSET($CC$3,0,0,'Données projet'!$E$12+1,1))-AVERAGE(OFFSET($H$3,0,0,'Données projet'!$E$12+1,1))</f>
        <v>429.61977776013185</v>
      </c>
      <c r="CE51" s="59">
        <f t="shared" si="40"/>
        <v>261.95434270986385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4.0269784631139887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4.0269784631139887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7.2</v>
      </c>
      <c r="CT51" s="12">
        <f>IF('Données projet'!$A$140&gt;35,CT50+CS51-DB50,IF(A51&lt;'Données projet'!$A$140,$CQ$205^A51,IF(A51='Données projet'!$A$140,'Données projet'!$B$140,CT50+CS51-DB50)))</f>
        <v>204.59999999999991</v>
      </c>
      <c r="CU51" s="17">
        <f>CT51*VLOOKUP('Données projet'!$B$13,Paramètres!$A$1:$I$89,3,0)*VLOOKUP('Données projet'!$B$13,Paramètres!$A$1:$I$89,5,0)</f>
        <v>134.05391999999995</v>
      </c>
      <c r="CV51" s="13">
        <f t="shared" si="41"/>
        <v>34.931420526916924</v>
      </c>
      <c r="CW51" s="20">
        <f t="shared" si="13"/>
        <v>294.31613475104683</v>
      </c>
      <c r="CX51" s="59">
        <f t="shared" si="14"/>
        <v>587.64946808438015</v>
      </c>
      <c r="CY51" s="59">
        <f ca="1">AVERAGE(OFFSET($CX$3,0,0,'Données projet'!$E$13+1,1))-AVERAGE(OFFSET($H$3,0,0,'Données projet'!$E$13+1,1))</f>
        <v>255.09913504736693</v>
      </c>
      <c r="CZ51" s="59">
        <f t="shared" si="42"/>
        <v>248.42617382406644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4.7738173261334671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4.7738173261334671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8.1999999999999993</v>
      </c>
      <c r="DO51" s="12">
        <f>IF('Données projet'!$A$166&gt;35,DO50+DN51-DW50,IF(A51&lt;'Données projet'!$A$166,$DL$205^A51,IF(A51='Données projet'!$A$166,'Données projet'!$B$166,DO50+DN51-DW50)))</f>
        <v>161.60000000000002</v>
      </c>
      <c r="DP51" s="17">
        <f>DO51*VLOOKUP('Données projet'!$B$14,Paramètres!$A$1:$I$89,3,0)*VLOOKUP('Données projet'!$B$14,Paramètres!$A$1:$I$89,5,0)</f>
        <v>184.03008000000003</v>
      </c>
      <c r="DQ51" s="13">
        <f t="shared" si="43"/>
        <v>46.217645990417758</v>
      </c>
      <c r="DR51" s="20">
        <f t="shared" si="16"/>
        <v>401.01478943331102</v>
      </c>
      <c r="DS51" s="59">
        <f t="shared" si="17"/>
        <v>694.34812276664434</v>
      </c>
      <c r="DT51" s="59">
        <f ca="1">AVERAGE(OFFSET($DS$3,0,0,'Données projet'!$E$14+1,1))-AVERAGE(OFFSET($H$3,0,0,'Données projet'!$E$14+1,1))</f>
        <v>459.67331926893809</v>
      </c>
      <c r="DU51" s="59">
        <f t="shared" si="44"/>
        <v>280.33242658375497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4.0829087195461273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4.0829087195461273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11.748000000000001</v>
      </c>
      <c r="EJ51" s="12">
        <f>IF('Données projet'!$A$192&gt;35,EJ50+EI51-ER50,IF(A51&lt;'Données projet'!$A$192,$EG$205^A51,IF(A51='Données projet'!$A$192,'Données projet'!$B$192,EJ50+EI51-ER50)))</f>
        <v>300.17400000000004</v>
      </c>
      <c r="EK51" s="17">
        <f>EJ51*VLOOKUP('Données projet'!$B$15,Paramètres!$A$1:$I$89,3,0)*VLOOKUP('Données projet'!$B$15,Paramètres!$A$1:$I$89,5,0)</f>
        <v>179.50405200000003</v>
      </c>
      <c r="EL51" s="13">
        <f t="shared" si="45"/>
        <v>45.211829162070558</v>
      </c>
      <c r="EM51" s="20">
        <f t="shared" si="19"/>
        <v>391.38015969060621</v>
      </c>
      <c r="EN51" s="59">
        <f t="shared" si="20"/>
        <v>684.71349302393946</v>
      </c>
      <c r="EO51" s="59">
        <f ca="1">AVERAGE(OFFSET($EN$3,0,0,'Données projet'!$E$15+1,1))-AVERAGE(OFFSET($H$3,0,0,'Données projet'!$E$15+1,1))</f>
        <v>264.08053957457469</v>
      </c>
      <c r="EP51" s="59">
        <f t="shared" si="46"/>
        <v>284.83300065761051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12.783886934600906</v>
      </c>
      <c r="EW51" s="21">
        <f>EXP(-LN(2)/25)*EW50+(1-EXP(-LN(2)/25))/(LN(2)/25)*Calculateur!ER51*Calculateur!ET51*VLOOKUP('Données projet'!$B$15,Paramètres!$A$1:$I$89,3,0)*0.475*44/12</f>
        <v>13.81571960710705</v>
      </c>
      <c r="EX51" s="21">
        <f>EXP(-LN(2)/2)*EX50+(1-EXP(-LN(2)/2))/(LN(2)/2)*ER51*EU51*VLOOKUP('Données projet'!$B$15,Paramètres!$A$1:$I$89,3,0)*0.475*44/12</f>
        <v>0.39758347729509291</v>
      </c>
      <c r="EY51" s="22">
        <f t="shared" si="21"/>
        <v>26.99719001900305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10.5</v>
      </c>
      <c r="FE51" s="12">
        <f>IF('Données projet'!$A$218&gt;35,FE50+FD51-FM50,IF(A51&lt;'Données projet'!$A$218,$FB$205^A51,IF(A51='Données projet'!$A$218,'Données projet'!$B$218,FE50+FD51-FM50)))</f>
        <v>234</v>
      </c>
      <c r="FF51" s="17">
        <f>FE51*VLOOKUP('Données projet'!$B$16,Paramètres!$A$1:$I$89,3,0)*VLOOKUP('Données projet'!$B$16,Paramètres!$A$1:$I$89,5,0)</f>
        <v>109.512</v>
      </c>
      <c r="FG51" s="13">
        <f t="shared" si="47"/>
        <v>29.215978230632555</v>
      </c>
      <c r="FH51" s="20">
        <f t="shared" si="22"/>
        <v>241.61789541835171</v>
      </c>
      <c r="FI51" s="59">
        <f t="shared" si="23"/>
        <v>534.95122875168499</v>
      </c>
      <c r="FJ51" s="59">
        <f ca="1">AVERAGE(OFFSET($FI$3,0,0,'Données projet'!$E$16+1,1))-AVERAGE(OFFSET($H$3,0,0,'Données projet'!$E$16+1,1))</f>
        <v>166.27444639635013</v>
      </c>
      <c r="FK51" s="59">
        <f t="shared" si="48"/>
        <v>213.60182977243113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7.7183597767266505</v>
      </c>
      <c r="FR51" s="21">
        <f>EXP(-LN(2)/25)*FR50+(1-EXP(-LN(2)/25))/(LN(2)/25)*Calculateur!FM51*Calculateur!FO51*VLOOKUP('Données projet'!$B$16,Paramètres!$A$1:$I$89,3,0)*0.475*44/12</f>
        <v>11.817041416231765</v>
      </c>
      <c r="FS51" s="21">
        <f>EXP(-LN(2)/2)*FS50+(1-EXP(-LN(2)/2))/(LN(2)/2)*FM51*FP51*VLOOKUP('Données projet'!$B$16,Paramètres!$A$1:$I$89,3,0)*0.475*44/12</f>
        <v>0.5386816294602772</v>
      </c>
      <c r="FT51" s="22">
        <f t="shared" si="24"/>
        <v>20.074082822418696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219.99999999999991</v>
      </c>
      <c r="O52" s="13">
        <f>N52*VLOOKUP('Données projet'!$B$9,Paramètres!$A$1:$I$89,3,0)*VLOOKUP('Données projet'!$B$9,Paramètres!$A$1:$I$89,5,0)</f>
        <v>199.0559999999999</v>
      </c>
      <c r="P52" s="13">
        <f t="shared" si="33"/>
        <v>49.536648006253891</v>
      </c>
      <c r="Q52" s="20">
        <f t="shared" si="53"/>
        <v>432.96552861089202</v>
      </c>
      <c r="R52" s="59">
        <f t="shared" si="0"/>
        <v>726.29886194422534</v>
      </c>
      <c r="S52" s="59">
        <f ca="1">AVERAGE(OFFSET($R$3,0,0,'Données projet'!$E$9+1,1))-AVERAGE(OFFSET($H$3,0,0,'Données projet'!$E$9+1,1))</f>
        <v>458.37755197712164</v>
      </c>
      <c r="T52" s="59">
        <f t="shared" si="34"/>
        <v>278.21741231699917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4.2404571954938133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4.2404571954938133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219.99999999999991</v>
      </c>
      <c r="AJ52" s="13">
        <f>AI52*VLOOKUP('Données projet'!$B$10,Paramètres!$A$1:$I$89,3,0)*VLOOKUP('Données projet'!$B$10,Paramètres!$A$1:$I$89,5,0)</f>
        <v>223.07999999999993</v>
      </c>
      <c r="AK52" s="13">
        <f t="shared" si="35"/>
        <v>54.783765878062617</v>
      </c>
      <c r="AL52" s="20">
        <f t="shared" si="4"/>
        <v>483.94605890429222</v>
      </c>
      <c r="AM52" s="59">
        <f t="shared" si="5"/>
        <v>777.27939223762553</v>
      </c>
      <c r="AN52" s="59">
        <f ca="1">AVERAGE(OFFSET($AM$3,0,0,'Données projet'!$E$10+1,1))-AVERAGE(OFFSET($H$3,0,0,'Données projet'!$E$10+1,1))</f>
        <v>508.60701013958447</v>
      </c>
      <c r="AO52" s="59">
        <f t="shared" si="36"/>
        <v>306.61893266146654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4.7522365121913444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4.7522365121913444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8.1999999999999993</v>
      </c>
      <c r="BD52" s="12">
        <f>IF('Données projet'!$A$88&gt;35,BD51+BC52-BL51,IF(A52&lt;'Données projet'!$A$88,$BA$205^A52,IF(A52='Données projet'!$A$88,'Données projet'!$B$88,BD51+BC52-BL51)))</f>
        <v>169.8</v>
      </c>
      <c r="BE52" s="13">
        <f>BD52*VLOOKUP('Données projet'!$B$11,Paramètres!$A$1:$I$89,3,0)*VLOOKUP('Données projet'!$B$11,Paramètres!$A$1:$I$89,5,0)</f>
        <v>161.58168000000001</v>
      </c>
      <c r="BF52" s="13">
        <f t="shared" si="37"/>
        <v>41.199063244334951</v>
      </c>
      <c r="BG52" s="20">
        <f t="shared" si="7"/>
        <v>353.17646115055004</v>
      </c>
      <c r="BH52" s="59">
        <f t="shared" si="8"/>
        <v>646.5097944838833</v>
      </c>
      <c r="BI52" s="59">
        <f ca="1">AVERAGE(OFFSET($BH$3,0,0,'Données projet'!$E$11+1,1))-AVERAGE(OFFSET($H$3,0,0,'Données projet'!$E$11+1,1))</f>
        <v>291.17074241052887</v>
      </c>
      <c r="BJ52" s="59">
        <f t="shared" si="38"/>
        <v>241.18285512887638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3.3448433912731379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3.3448433912731379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</v>
      </c>
      <c r="BY52" s="12">
        <f>IF('Données projet'!$A$114&gt;35,BY51+BX52-CG51,IF(A52&lt;'Données projet'!$A$114,$BV$205^A52,IF(A52='Données projet'!$A$114,'Données projet'!$B$114,BY51+BX52-CG51)))</f>
        <v>219.99999999999991</v>
      </c>
      <c r="BZ52" s="13">
        <f>BY52*VLOOKUP('Données projet'!$B$12,Paramètres!$A$1:$I$89,3,0)*VLOOKUP('Données projet'!$B$12,Paramètres!$A$1:$I$89,5,0)</f>
        <v>185.32799999999995</v>
      </c>
      <c r="CA52" s="13">
        <f t="shared" si="39"/>
        <v>46.505548070897582</v>
      </c>
      <c r="CB52" s="20">
        <f t="shared" si="10"/>
        <v>403.77676289014653</v>
      </c>
      <c r="CC52" s="59">
        <f t="shared" si="11"/>
        <v>697.11009622347979</v>
      </c>
      <c r="CD52" s="59">
        <f ca="1">AVERAGE(OFFSET($CC$3,0,0,'Données projet'!$E$12+1,1))-AVERAGE(OFFSET($H$3,0,0,'Données projet'!$E$12+1,1))</f>
        <v>429.61977776013185</v>
      </c>
      <c r="CE52" s="59">
        <f t="shared" si="40"/>
        <v>261.95434270986385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3.948011871666655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3.948011871666655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7.2</v>
      </c>
      <c r="CT52" s="12">
        <f>IF('Données projet'!$A$140&gt;35,CT51+CS52-DB51,IF(A52&lt;'Données projet'!$A$140,$CQ$205^A52,IF(A52='Données projet'!$A$140,'Données projet'!$B$140,CT51+CS52-DB51)))</f>
        <v>211.7999999999999</v>
      </c>
      <c r="CU52" s="17">
        <f>CT52*VLOOKUP('Données projet'!$B$13,Paramètres!$A$1:$I$89,3,0)*VLOOKUP('Données projet'!$B$13,Paramètres!$A$1:$I$89,5,0)</f>
        <v>138.77135999999993</v>
      </c>
      <c r="CV52" s="13">
        <f t="shared" si="41"/>
        <v>36.015397090902717</v>
      </c>
      <c r="CW52" s="20">
        <f t="shared" si="13"/>
        <v>304.42026859998879</v>
      </c>
      <c r="CX52" s="59">
        <f t="shared" si="14"/>
        <v>597.7536019333221</v>
      </c>
      <c r="CY52" s="59">
        <f ca="1">AVERAGE(OFFSET($CX$3,0,0,'Données projet'!$E$13+1,1))-AVERAGE(OFFSET($H$3,0,0,'Données projet'!$E$13+1,1))</f>
        <v>255.09913504736693</v>
      </c>
      <c r="CZ52" s="59">
        <f t="shared" si="42"/>
        <v>248.42617382406644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4.6802056801090481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4.6802056801090481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8.1999999999999993</v>
      </c>
      <c r="DO52" s="12">
        <f>IF('Données projet'!$A$166&gt;35,DO51+DN52-DW51,IF(A52&lt;'Données projet'!$A$166,$DL$205^A52,IF(A52='Données projet'!$A$166,'Données projet'!$B$166,DO51+DN52-DW51)))</f>
        <v>169.8</v>
      </c>
      <c r="DP52" s="17">
        <f>DO52*VLOOKUP('Données projet'!$B$14,Paramètres!$A$1:$I$89,3,0)*VLOOKUP('Données projet'!$B$14,Paramètres!$A$1:$I$89,5,0)</f>
        <v>193.36824000000001</v>
      </c>
      <c r="DQ52" s="13">
        <f t="shared" si="43"/>
        <v>48.283859604107981</v>
      </c>
      <c r="DR52" s="20">
        <f t="shared" si="16"/>
        <v>420.87740681048808</v>
      </c>
      <c r="DS52" s="59">
        <f t="shared" si="17"/>
        <v>714.21074014382134</v>
      </c>
      <c r="DT52" s="59">
        <f ca="1">AVERAGE(OFFSET($DS$3,0,0,'Données projet'!$E$14+1,1))-AVERAGE(OFFSET($H$3,0,0,'Données projet'!$E$14+1,1))</f>
        <v>459.67331926893809</v>
      </c>
      <c r="DU52" s="59">
        <f t="shared" si="44"/>
        <v>280.33242658375497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4.0028453698842474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4.0028453698842474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11.748000000000001</v>
      </c>
      <c r="EJ52" s="12">
        <f>IF('Données projet'!$A$192&gt;35,EJ51+EI52-ER51,IF(A52&lt;'Données projet'!$A$192,$EG$205^A52,IF(A52='Données projet'!$A$192,'Données projet'!$B$192,EJ51+EI52-ER51)))</f>
        <v>311.92200000000003</v>
      </c>
      <c r="EK52" s="17">
        <f>EJ52*VLOOKUP('Données projet'!$B$15,Paramètres!$A$1:$I$89,3,0)*VLOOKUP('Données projet'!$B$15,Paramètres!$A$1:$I$89,5,0)</f>
        <v>186.52935600000004</v>
      </c>
      <c r="EL52" s="13">
        <f t="shared" si="45"/>
        <v>46.771821403116824</v>
      </c>
      <c r="EM52" s="20">
        <f t="shared" si="19"/>
        <v>406.33288397709521</v>
      </c>
      <c r="EN52" s="59">
        <f t="shared" si="20"/>
        <v>699.66621731042846</v>
      </c>
      <c r="EO52" s="59">
        <f ca="1">AVERAGE(OFFSET($EN$3,0,0,'Données projet'!$E$15+1,1))-AVERAGE(OFFSET($H$3,0,0,'Données projet'!$E$15+1,1))</f>
        <v>264.08053957457469</v>
      </c>
      <c r="EP52" s="59">
        <f t="shared" si="46"/>
        <v>284.83300065761051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12.533202709214482</v>
      </c>
      <c r="EW52" s="21">
        <f>EXP(-LN(2)/25)*EW51+(1-EXP(-LN(2)/25))/(LN(2)/25)*Calculateur!ER52*Calculateur!ET52*VLOOKUP('Données projet'!$B$15,Paramètres!$A$1:$I$89,3,0)*0.475*44/12</f>
        <v>13.437928027913591</v>
      </c>
      <c r="EX52" s="21">
        <f>EXP(-LN(2)/2)*EX51+(1-EXP(-LN(2)/2))/(LN(2)/2)*ER52*EU52*VLOOKUP('Données projet'!$B$15,Paramètres!$A$1:$I$89,3,0)*0.475*44/12</f>
        <v>0.28113397288308795</v>
      </c>
      <c r="EY52" s="22">
        <f t="shared" si="21"/>
        <v>26.252264710011158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10.5</v>
      </c>
      <c r="FE52" s="12">
        <f>IF('Données projet'!$A$218&gt;35,FE51+FD52-FM51,IF(A52&lt;'Données projet'!$A$218,$FB$205^A52,IF(A52='Données projet'!$A$218,'Données projet'!$B$218,FE51+FD52-FM51)))</f>
        <v>244.5</v>
      </c>
      <c r="FF52" s="17">
        <f>FE52*VLOOKUP('Données projet'!$B$16,Paramètres!$A$1:$I$89,3,0)*VLOOKUP('Données projet'!$B$16,Paramètres!$A$1:$I$89,5,0)</f>
        <v>114.426</v>
      </c>
      <c r="FG52" s="13">
        <f t="shared" si="47"/>
        <v>30.371378515374175</v>
      </c>
      <c r="FH52" s="20">
        <f t="shared" si="22"/>
        <v>252.18876758094336</v>
      </c>
      <c r="FI52" s="59">
        <f t="shared" si="23"/>
        <v>545.52210091427673</v>
      </c>
      <c r="FJ52" s="59">
        <f ca="1">AVERAGE(OFFSET($FI$3,0,0,'Données projet'!$E$16+1,1))-AVERAGE(OFFSET($H$3,0,0,'Données projet'!$E$16+1,1))</f>
        <v>166.27444639635013</v>
      </c>
      <c r="FK52" s="59">
        <f t="shared" si="48"/>
        <v>213.60182977243113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7.5670074492396546</v>
      </c>
      <c r="FR52" s="21">
        <f>EXP(-LN(2)/25)*FR51+(1-EXP(-LN(2)/25))/(LN(2)/25)*Calculateur!FM52*Calculateur!FO52*VLOOKUP('Données projet'!$B$16,Paramètres!$A$1:$I$89,3,0)*0.475*44/12</f>
        <v>11.493903797273708</v>
      </c>
      <c r="FS52" s="21">
        <f>EXP(-LN(2)/2)*FS51+(1-EXP(-LN(2)/2))/(LN(2)/2)*FM52*FP52*VLOOKUP('Données projet'!$B$16,Paramètres!$A$1:$I$89,3,0)*0.475*44/12</f>
        <v>0.3809054330919811</v>
      </c>
      <c r="FT52" s="22">
        <f t="shared" si="24"/>
        <v>19.441816679605346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230.99999999999991</v>
      </c>
      <c r="O53" s="13">
        <f>N53*VLOOKUP('Données projet'!$B$9,Paramètres!$A$1:$I$89,3,0)*VLOOKUP('Données projet'!$B$9,Paramètres!$A$1:$I$89,5,0)</f>
        <v>209.00879999999989</v>
      </c>
      <c r="P53" s="13">
        <f t="shared" si="33"/>
        <v>51.718923953824202</v>
      </c>
      <c r="Q53" s="20">
        <f t="shared" si="53"/>
        <v>454.10078588624361</v>
      </c>
      <c r="R53" s="59">
        <f t="shared" si="0"/>
        <v>747.43411921957693</v>
      </c>
      <c r="S53" s="59">
        <f ca="1">AVERAGE(OFFSET($R$3,0,0,'Données projet'!$E$9+1,1))-AVERAGE(OFFSET($H$3,0,0,'Données projet'!$E$9+1,1))</f>
        <v>458.37755197712164</v>
      </c>
      <c r="T53" s="59">
        <f t="shared" si="34"/>
        <v>278.21741231699917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7.7701337293515849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7.7701337293515849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230.99999999999991</v>
      </c>
      <c r="AJ53" s="13">
        <f>AI53*VLOOKUP('Données projet'!$B$10,Paramètres!$A$1:$I$89,3,0)*VLOOKUP('Données projet'!$B$10,Paramètres!$A$1:$I$89,5,0)</f>
        <v>234.23399999999992</v>
      </c>
      <c r="AK53" s="13">
        <f t="shared" si="35"/>
        <v>57.197197133603439</v>
      </c>
      <c r="AL53" s="20">
        <f t="shared" si="4"/>
        <v>507.57600167435913</v>
      </c>
      <c r="AM53" s="59">
        <f t="shared" si="5"/>
        <v>800.90933500769245</v>
      </c>
      <c r="AN53" s="59">
        <f ca="1">AVERAGE(OFFSET($AM$3,0,0,'Données projet'!$E$10+1,1))-AVERAGE(OFFSET($H$3,0,0,'Données projet'!$E$10+1,1))</f>
        <v>508.60701013958447</v>
      </c>
      <c r="AO53" s="59">
        <f t="shared" si="36"/>
        <v>306.61893266146654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8.7079084897905723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8.7079084897905723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178</v>
      </c>
      <c r="BB53" s="12">
        <f>VLOOKUP(A53,'Données projet'!$A$87:$I$107,9,0)</f>
        <v>8.1999999999999993</v>
      </c>
      <c r="BC53" s="12">
        <f t="array" ref="BC53">INDEX(BB:BB,MIN(IF(ISNUMBER(BB53:BB249),ROW(BB53:BB249),"")))</f>
        <v>8.1999999999999993</v>
      </c>
      <c r="BD53" s="12">
        <f>IF('Données projet'!$A$88&gt;35,BD52+BC53-BL52,IF(A53&lt;'Données projet'!$A$88,$BA$205^A53,IF(A53='Données projet'!$A$88,'Données projet'!$B$88,BD52+BC53-BL52)))</f>
        <v>178</v>
      </c>
      <c r="BE53" s="13">
        <f>BD53*VLOOKUP('Données projet'!$B$11,Paramètres!$A$1:$I$89,3,0)*VLOOKUP('Données projet'!$B$11,Paramètres!$A$1:$I$89,5,0)</f>
        <v>169.38480000000001</v>
      </c>
      <c r="BF53" s="13">
        <f t="shared" si="37"/>
        <v>42.952210191662466</v>
      </c>
      <c r="BG53" s="20">
        <f t="shared" si="7"/>
        <v>369.82029275047876</v>
      </c>
      <c r="BH53" s="59">
        <f t="shared" si="8"/>
        <v>663.15362608381201</v>
      </c>
      <c r="BI53" s="59">
        <f ca="1">AVERAGE(OFFSET($BH$3,0,0,'Données projet'!$E$11+1,1))-AVERAGE(OFFSET($H$3,0,0,'Données projet'!$E$11+1,1))</f>
        <v>291.17074241052887</v>
      </c>
      <c r="BJ53" s="59">
        <f t="shared" si="38"/>
        <v>241.18285512887638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6.1290278985833631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6.1290278985833631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231</v>
      </c>
      <c r="BW53" s="12">
        <f>VLOOKUP(A53,'Données projet'!$A$113:$I$133,9,0)</f>
        <v>11</v>
      </c>
      <c r="BX53" s="12">
        <f t="array" ref="BX53">INDEX(BW:BW,MIN(IF(ISNUMBER(BW53:BW249),ROW(BW53:BW249),"")))</f>
        <v>11</v>
      </c>
      <c r="BY53" s="12">
        <f>IF('Données projet'!$A$114&gt;35,BY52+BX53-CG52,IF(A53&lt;'Données projet'!$A$114,$BV$205^A53,IF(A53='Données projet'!$A$114,'Données projet'!$B$114,BY52+BX53-CG52)))</f>
        <v>230.99999999999991</v>
      </c>
      <c r="BZ53" s="13">
        <f>BY53*VLOOKUP('Données projet'!$B$12,Paramètres!$A$1:$I$89,3,0)*VLOOKUP('Données projet'!$B$12,Paramètres!$A$1:$I$89,5,0)</f>
        <v>194.59439999999995</v>
      </c>
      <c r="CA53" s="13">
        <f t="shared" si="39"/>
        <v>48.554292648263456</v>
      </c>
      <c r="CB53" s="20">
        <f t="shared" si="10"/>
        <v>423.48397302905875</v>
      </c>
      <c r="CC53" s="59">
        <f t="shared" si="11"/>
        <v>716.81730636239206</v>
      </c>
      <c r="CD53" s="59">
        <f ca="1">AVERAGE(OFFSET($CC$3,0,0,'Données projet'!$E$12+1,1))-AVERAGE(OFFSET($H$3,0,0,'Données projet'!$E$12+1,1))</f>
        <v>429.61977776013185</v>
      </c>
      <c r="CE53" s="59">
        <f t="shared" si="40"/>
        <v>261.95434270986385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28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7.234262437672168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7.234262437672168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219</v>
      </c>
      <c r="CR53" s="12">
        <f>VLOOKUP(A53,'Données projet'!$A$139:$I$159,9,0)</f>
        <v>7.2</v>
      </c>
      <c r="CS53" s="12">
        <f t="array" ref="CS53">INDEX(CR:CR,MIN(IF(ISNUMBER(CR53:CR249),ROW(CR53:CR249),"")))</f>
        <v>7.2</v>
      </c>
      <c r="CT53" s="12">
        <f>IF('Données projet'!$A$140&gt;35,CT52+CS53-DB52,IF(A53&lt;'Données projet'!$A$140,$CQ$205^A53,IF(A53='Données projet'!$A$140,'Données projet'!$B$140,CT52+CS53-DB52)))</f>
        <v>218.99999999999989</v>
      </c>
      <c r="CU53" s="17">
        <f>CT53*VLOOKUP('Données projet'!$B$13,Paramètres!$A$1:$I$89,3,0)*VLOOKUP('Données projet'!$B$13,Paramètres!$A$1:$I$89,5,0)</f>
        <v>143.48879999999991</v>
      </c>
      <c r="CV53" s="13">
        <f t="shared" si="41"/>
        <v>37.095092027878849</v>
      </c>
      <c r="CW53" s="20">
        <f t="shared" si="13"/>
        <v>314.51694528188881</v>
      </c>
      <c r="CX53" s="59">
        <f t="shared" si="14"/>
        <v>607.85027861522212</v>
      </c>
      <c r="CY53" s="59">
        <f ca="1">AVERAGE(OFFSET($CX$3,0,0,'Données projet'!$E$13+1,1))-AVERAGE(OFFSET($H$3,0,0,'Données projet'!$E$13+1,1))</f>
        <v>255.09913504736693</v>
      </c>
      <c r="CZ53" s="59">
        <f t="shared" si="42"/>
        <v>248.42617382406644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17</v>
      </c>
      <c r="DC53" s="16">
        <f>IF(ISNA(VLOOKUP(A53,'Données projet'!$A$139:$I$159,5,0)),0%,VLOOKUP(A53,'Données projet'!$A$139:$I$159,5,0)*VLOOKUP('Données projet'!$B$13,Paramètres!$A$1:$I$89,7,0))</f>
        <v>0.129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6.1768287958909873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6.1768287958909873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178</v>
      </c>
      <c r="DM53" s="12">
        <f>VLOOKUP(A53,'Données projet'!$A$165:$I$185,9,0)</f>
        <v>8.1999999999999993</v>
      </c>
      <c r="DN53" s="12">
        <f t="array" ref="DN53">INDEX(DM:DM,MIN(IF(ISNUMBER(DM53:DM249),ROW(DM53:DM249),"")))</f>
        <v>8.1999999999999993</v>
      </c>
      <c r="DO53" s="12">
        <f>IF('Données projet'!$A$166&gt;35,DO52+DN53-DW52,IF(A53&lt;'Données projet'!$A$166,$DL$205^A53,IF(A53='Données projet'!$A$166,'Données projet'!$B$166,DO52+DN53-DW52)))</f>
        <v>178</v>
      </c>
      <c r="DP53" s="17">
        <f>DO53*VLOOKUP('Données projet'!$B$14,Paramètres!$A$1:$I$89,3,0)*VLOOKUP('Données projet'!$B$14,Paramètres!$A$1:$I$89,5,0)</f>
        <v>202.7064</v>
      </c>
      <c r="DQ53" s="13">
        <f t="shared" si="43"/>
        <v>50.338486442784266</v>
      </c>
      <c r="DR53" s="20">
        <f t="shared" si="16"/>
        <v>440.71984388784927</v>
      </c>
      <c r="DS53" s="59">
        <f t="shared" si="17"/>
        <v>734.05317722118252</v>
      </c>
      <c r="DT53" s="59">
        <f ca="1">AVERAGE(OFFSET($DS$3,0,0,'Données projet'!$E$14+1,1))-AVERAGE(OFFSET($H$3,0,0,'Données projet'!$E$14+1,1))</f>
        <v>459.67331926893809</v>
      </c>
      <c r="DU53" s="59">
        <f t="shared" si="44"/>
        <v>280.33242658375497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21</v>
      </c>
      <c r="DX53" s="16">
        <f>IF(ISNA(VLOOKUP(A53,'Données projet'!$A$165:$I$185,5,0)),0%,VLOOKUP(A53,'Données projet'!$A$165:$I$185,5,0)*VLOOKUP('Données projet'!$B$14,Paramètres!$A$1:$I$89,7,0))</f>
        <v>0.129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7.3347383048620589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7.3347383048620589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323.67</v>
      </c>
      <c r="EH53" s="12">
        <f>VLOOKUP(A53,'Données projet'!$A$191:$I$211,9,0)</f>
        <v>11.748000000000001</v>
      </c>
      <c r="EI53" s="12">
        <f t="array" ref="EI53">INDEX(EH:EH,MIN(IF(ISNUMBER(EH53:EH249),ROW(EH53:EH249),"")))</f>
        <v>11.748000000000001</v>
      </c>
      <c r="EJ53" s="12">
        <f>IF('Données projet'!$A$192&gt;35,EJ52+EI53-ER52,IF(A53&lt;'Données projet'!$A$192,$EG$205^A53,IF(A53='Données projet'!$A$192,'Données projet'!$B$192,EJ52+EI53-ER52)))</f>
        <v>323.67</v>
      </c>
      <c r="EK53" s="17">
        <f>EJ53*VLOOKUP('Données projet'!$B$15,Paramètres!$A$1:$I$89,3,0)*VLOOKUP('Données projet'!$B$15,Paramètres!$A$1:$I$89,5,0)</f>
        <v>193.55466000000001</v>
      </c>
      <c r="EL53" s="13">
        <f t="shared" si="45"/>
        <v>48.32498789715001</v>
      </c>
      <c r="EM53" s="20">
        <f t="shared" si="19"/>
        <v>421.27372008753628</v>
      </c>
      <c r="EN53" s="59">
        <f t="shared" si="20"/>
        <v>714.60705342086953</v>
      </c>
      <c r="EO53" s="59">
        <f ca="1">AVERAGE(OFFSET($EN$3,0,0,'Données projet'!$E$15+1,1))-AVERAGE(OFFSET($H$3,0,0,'Données projet'!$E$15+1,1))</f>
        <v>264.08053957457469</v>
      </c>
      <c r="EP53" s="59">
        <f t="shared" si="46"/>
        <v>284.83300065761051</v>
      </c>
      <c r="EQ53" s="15">
        <f>IF(ISNA(VLOOKUP(A53,'Données projet'!$A$191:$I$211,3,0)),0,VLOOKUP(A53,'Données projet'!$A$191:$I$211,3,0))</f>
        <v>6</v>
      </c>
      <c r="ER53" s="15">
        <f>IF(ISNA(VLOOKUP(A53,'Données projet'!$A$191:$I$211,4,0)),0,VLOOKUP(A53,'Données projet'!$A$191:$I$211,4,0))</f>
        <v>53.31</v>
      </c>
      <c r="ES53" s="16">
        <f>IF(ISNA(VLOOKUP(A53,'Données projet'!$A$191:$I$211,5,0)),0%,VLOOKUP(A53,'Données projet'!$A$191:$I$211,5,0)*VLOOKUP('Données projet'!$B$15,Paramètres!$A$1:$I$89,7,0))</f>
        <v>0.36000000000000004</v>
      </c>
      <c r="ET53" s="16">
        <f>IF(ISNA(VLOOKUP(A53,'Données projet'!$A$191:$I$211,6,0)),0%,VLOOKUP(A53,'Données projet'!$A$191:$I$211,6,0)*VLOOKUP('Données projet'!$B$15,Paramètres!$A$1:$I$89,7,0))</f>
        <v>4.9500000000000002E-2</v>
      </c>
      <c r="EU53" s="16">
        <f>IF(ISNA(VLOOKUP(A53,'Données projet'!$A$191:$I$211,7,0)),0%,VLOOKUP(A53,'Données projet'!$A$191:$I$211,7,0))</f>
        <v>0.09</v>
      </c>
      <c r="EV53" s="21">
        <f>EXP(-LN(2)/35)*EV52+(1-EXP(-LN(2)/35))/(LN(2)/35)*ER53*ES53*VLOOKUP('Données projet'!$B$15,Paramètres!$A$1:$I$89,3,0)*0.475*44/12</f>
        <v>27.511853101587668</v>
      </c>
      <c r="EW53" s="21">
        <f>EXP(-LN(2)/25)*EW52+(1-EXP(-LN(2)/25))/(LN(2)/25)*Calculateur!ER53*Calculateur!ET53*VLOOKUP('Données projet'!$B$15,Paramètres!$A$1:$I$89,3,0)*0.475*44/12</f>
        <v>15.155582425135542</v>
      </c>
      <c r="EX53" s="21">
        <f>EXP(-LN(2)/2)*EX52+(1-EXP(-LN(2)/2))/(LN(2)/2)*ER53*EU53*VLOOKUP('Données projet'!$B$15,Paramètres!$A$1:$I$89,3,0)*0.475*44/12</f>
        <v>3.4473294681482805</v>
      </c>
      <c r="EY53" s="22">
        <f t="shared" si="21"/>
        <v>46.114764994871493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255</v>
      </c>
      <c r="FC53" s="12">
        <f>VLOOKUP(A53,'Données projet'!$A$217:$I$237,9,0)</f>
        <v>10.5</v>
      </c>
      <c r="FD53" s="12">
        <f t="array" ref="FD53">INDEX(FC:FC,MIN(IF(ISNUMBER(FC53:FC249),ROW(FC53:FC249),"")))</f>
        <v>10.5</v>
      </c>
      <c r="FE53" s="12">
        <f>IF('Données projet'!$A$218&gt;35,FE52+FD53-FM52,IF(A53&lt;'Données projet'!$A$218,$FB$205^A53,IF(A53='Données projet'!$A$218,'Données projet'!$B$218,FE52+FD53-FM52)))</f>
        <v>255</v>
      </c>
      <c r="FF53" s="17">
        <f>FE53*VLOOKUP('Données projet'!$B$16,Paramètres!$A$1:$I$89,3,0)*VLOOKUP('Données projet'!$B$16,Paramètres!$A$1:$I$89,5,0)</f>
        <v>119.34</v>
      </c>
      <c r="FG53" s="13">
        <f t="shared" si="47"/>
        <v>31.521015757082463</v>
      </c>
      <c r="FH53" s="20">
        <f t="shared" si="22"/>
        <v>262.74960244358527</v>
      </c>
      <c r="FI53" s="59">
        <f t="shared" si="23"/>
        <v>556.08293577691859</v>
      </c>
      <c r="FJ53" s="59">
        <f ca="1">AVERAGE(OFFSET($FI$3,0,0,'Données projet'!$E$16+1,1))-AVERAGE(OFFSET($H$3,0,0,'Données projet'!$E$16+1,1))</f>
        <v>166.27444639635013</v>
      </c>
      <c r="FK53" s="59">
        <f t="shared" si="48"/>
        <v>213.60182977243113</v>
      </c>
      <c r="FL53" s="15">
        <f>IF(ISNA(VLOOKUP(A53,'Données projet'!$A$217:$I$237,3,0)),0,VLOOKUP(A53,'Données projet'!$A$217:$I$237,3,0))</f>
        <v>3</v>
      </c>
      <c r="FM53" s="15">
        <f>IF(ISNA(VLOOKUP(A53,'Données projet'!$A$217:$I$237,4,0)),0,VLOOKUP(A53,'Données projet'!$A$217:$I$237,4,0))</f>
        <v>50</v>
      </c>
      <c r="FN53" s="16">
        <f>IF(ISNA(VLOOKUP(A53,'Données projet'!$A$217:$I$237,5,0)),0%,VLOOKUP(A53,'Données projet'!$A$217:$I$237,5,0)*VLOOKUP('Données projet'!$B$16,Paramètres!$A$1:$I$89,7,0))</f>
        <v>0.22000000000000003</v>
      </c>
      <c r="FO53" s="16">
        <f>IF(ISNA(VLOOKUP(A53,'Données projet'!$A$217:$I$237,6,0)),0%,VLOOKUP(A53,'Données projet'!$A$217:$I$237,6,0)*VLOOKUP('Données projet'!$B$16,Paramètres!$A$1:$I$89,7,0))</f>
        <v>0.18700000000000003</v>
      </c>
      <c r="FP53" s="16">
        <f>IF(ISNA(VLOOKUP(A53,'Données projet'!$A$217:$I$237,7,0)),0%,VLOOKUP(A53,'Données projet'!$A$217:$I$237,7,0))</f>
        <v>0.26</v>
      </c>
      <c r="FQ53" s="21">
        <f>EXP(-LN(2)/35)*FQ52+(1-EXP(-LN(2)/35))/(LN(2)/35)*FM53*FN53*VLOOKUP('Données projet'!$B$16,Paramètres!$A$1:$I$89,3,0)*0.475*44/12</f>
        <v>14.247776865181628</v>
      </c>
      <c r="FR53" s="21">
        <f>EXP(-LN(2)/25)*FR52+(1-EXP(-LN(2)/25))/(LN(2)/25)*Calculateur!FM53*Calculateur!FO53*VLOOKUP('Données projet'!$B$16,Paramètres!$A$1:$I$89,3,0)*0.475*44/12</f>
        <v>16.961527504027032</v>
      </c>
      <c r="FS53" s="21">
        <f>EXP(-LN(2)/2)*FS52+(1-EXP(-LN(2)/2))/(LN(2)/2)*FM53*FP53*VLOOKUP('Données projet'!$B$16,Paramètres!$A$1:$I$89,3,0)*0.475*44/12</f>
        <v>7.1578421128811556</v>
      </c>
      <c r="FT53" s="22">
        <f t="shared" si="24"/>
        <v>38.367146482089815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213.1999999999999</v>
      </c>
      <c r="O54" s="13">
        <f>N54*VLOOKUP('Données projet'!$B$9,Paramètres!$A$1:$I$89,3,0)*VLOOKUP('Données projet'!$B$9,Paramètres!$A$1:$I$89,5,0)</f>
        <v>192.90335999999991</v>
      </c>
      <c r="P54" s="13">
        <f t="shared" si="33"/>
        <v>48.181276881765257</v>
      </c>
      <c r="Q54" s="20">
        <f t="shared" si="53"/>
        <v>419.88907590240768</v>
      </c>
      <c r="R54" s="59">
        <f t="shared" si="0"/>
        <v>713.222409235741</v>
      </c>
      <c r="S54" s="59">
        <f ca="1">AVERAGE(OFFSET($R$3,0,0,'Données projet'!$E$9+1,1))-AVERAGE(OFFSET($H$3,0,0,'Données projet'!$E$9+1,1))</f>
        <v>458.37755197712164</v>
      </c>
      <c r="T54" s="59">
        <f t="shared" si="34"/>
        <v>278.21741231699917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7.6177661462326069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7.6177661462326069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213.1999999999999</v>
      </c>
      <c r="AJ54" s="13">
        <f>AI54*VLOOKUP('Données projet'!$B$10,Paramètres!$A$1:$I$89,3,0)*VLOOKUP('Données projet'!$B$10,Paramètres!$A$1:$I$89,5,0)</f>
        <v>216.18479999999994</v>
      </c>
      <c r="AK54" s="13">
        <f t="shared" si="35"/>
        <v>53.284828478170326</v>
      </c>
      <c r="AL54" s="20">
        <f t="shared" si="4"/>
        <v>469.32626959947976</v>
      </c>
      <c r="AM54" s="59">
        <f t="shared" si="5"/>
        <v>762.65960293281307</v>
      </c>
      <c r="AN54" s="59">
        <f ca="1">AVERAGE(OFFSET($AM$3,0,0,'Données projet'!$E$10+1,1))-AVERAGE(OFFSET($H$3,0,0,'Données projet'!$E$10+1,1))</f>
        <v>508.60701013958447</v>
      </c>
      <c r="AO54" s="59">
        <f t="shared" si="36"/>
        <v>306.61893266146654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8.5371517156055106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8.5371517156055106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</v>
      </c>
      <c r="BD54" s="12">
        <f>IF('Données projet'!$A$88&gt;35,BD53+BC54-BL53,IF(A54&lt;'Données projet'!$A$88,$BA$205^A54,IF(A54='Données projet'!$A$88,'Données projet'!$B$88,BD53+BC54-BL53)))</f>
        <v>165</v>
      </c>
      <c r="BE54" s="13">
        <f>BD54*VLOOKUP('Données projet'!$B$11,Paramètres!$A$1:$I$89,3,0)*VLOOKUP('Données projet'!$B$11,Paramètres!$A$1:$I$89,5,0)</f>
        <v>157.01399999999998</v>
      </c>
      <c r="BF54" s="13">
        <f t="shared" si="37"/>
        <v>40.168278112836184</v>
      </c>
      <c r="BG54" s="20">
        <f t="shared" si="7"/>
        <v>343.42580104652302</v>
      </c>
      <c r="BH54" s="59">
        <f t="shared" si="8"/>
        <v>636.75913437985628</v>
      </c>
      <c r="BI54" s="59">
        <f ca="1">AVERAGE(OFFSET($BH$3,0,0,'Données projet'!$E$11+1,1))-AVERAGE(OFFSET($H$3,0,0,'Données projet'!$E$11+1,1))</f>
        <v>291.17074241052887</v>
      </c>
      <c r="BJ54" s="59">
        <f t="shared" si="38"/>
        <v>241.18285512887638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6.0088413998300316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6.0088413998300316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10.199999999999999</v>
      </c>
      <c r="BY54" s="12">
        <f>IF('Données projet'!$A$114&gt;35,BY53+BX54-CG53,IF(A54&lt;'Données projet'!$A$114,$BV$205^A54,IF(A54='Données projet'!$A$114,'Données projet'!$B$114,BY53+BX54-CG53)))</f>
        <v>213.1999999999999</v>
      </c>
      <c r="BZ54" s="13">
        <f>BY54*VLOOKUP('Données projet'!$B$12,Paramètres!$A$1:$I$89,3,0)*VLOOKUP('Données projet'!$B$12,Paramètres!$A$1:$I$89,5,0)</f>
        <v>179.59967999999995</v>
      </c>
      <c r="CA54" s="13">
        <f t="shared" si="39"/>
        <v>45.233110804333748</v>
      </c>
      <c r="CB54" s="20">
        <f t="shared" si="10"/>
        <v>391.58377731754786</v>
      </c>
      <c r="CC54" s="59">
        <f t="shared" si="11"/>
        <v>684.91711065088111</v>
      </c>
      <c r="CD54" s="59">
        <f ca="1">AVERAGE(OFFSET($CC$3,0,0,'Données projet'!$E$12+1,1))-AVERAGE(OFFSET($H$3,0,0,'Données projet'!$E$12+1,1))</f>
        <v>429.61977776013185</v>
      </c>
      <c r="CE54" s="59">
        <f t="shared" si="40"/>
        <v>261.95434270986385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7.0924029637338091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7.0924029637338091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</v>
      </c>
      <c r="CT54" s="12">
        <f>IF('Données projet'!$A$140&gt;35,CT53+CS54-DB53,IF(A54&lt;'Données projet'!$A$140,$CQ$205^A54,IF(A54='Données projet'!$A$140,'Données projet'!$B$140,CT53+CS54-DB53)))</f>
        <v>207.99999999999989</v>
      </c>
      <c r="CU54" s="17">
        <f>CT54*VLOOKUP('Données projet'!$B$13,Paramètres!$A$1:$I$89,3,0)*VLOOKUP('Données projet'!$B$13,Paramètres!$A$1:$I$89,5,0)</f>
        <v>136.28159999999991</v>
      </c>
      <c r="CV54" s="13">
        <f t="shared" si="41"/>
        <v>35.443842312892279</v>
      </c>
      <c r="CW54" s="20">
        <f t="shared" si="13"/>
        <v>299.08847869495389</v>
      </c>
      <c r="CX54" s="59">
        <f t="shared" si="14"/>
        <v>592.42181202828715</v>
      </c>
      <c r="CY54" s="59">
        <f ca="1">AVERAGE(OFFSET($CX$3,0,0,'Données projet'!$E$13+1,1))-AVERAGE(OFFSET($H$3,0,0,'Données projet'!$E$13+1,1))</f>
        <v>255.09913504736693</v>
      </c>
      <c r="CZ54" s="59">
        <f t="shared" si="42"/>
        <v>248.42617382406644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6.0557049506971214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6.0557049506971214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</v>
      </c>
      <c r="DO54" s="12">
        <f>IF('Données projet'!$A$166&gt;35,DO53+DN54-DW53,IF(A54&lt;'Données projet'!$A$166,$DL$205^A54,IF(A54='Données projet'!$A$166,'Données projet'!$B$166,DO53+DN54-DW53)))</f>
        <v>165</v>
      </c>
      <c r="DP54" s="17">
        <f>DO54*VLOOKUP('Données projet'!$B$14,Paramètres!$A$1:$I$89,3,0)*VLOOKUP('Données projet'!$B$14,Paramètres!$A$1:$I$89,5,0)</f>
        <v>187.90200000000002</v>
      </c>
      <c r="DQ54" s="13">
        <f t="shared" si="43"/>
        <v>47.075815521257859</v>
      </c>
      <c r="DR54" s="20">
        <f t="shared" si="16"/>
        <v>409.25302869952412</v>
      </c>
      <c r="DS54" s="59">
        <f t="shared" si="17"/>
        <v>702.58636203285744</v>
      </c>
      <c r="DT54" s="59">
        <f ca="1">AVERAGE(OFFSET($DS$3,0,0,'Données projet'!$E$14+1,1))-AVERAGE(OFFSET($H$3,0,0,'Données projet'!$E$14+1,1))</f>
        <v>459.67331926893809</v>
      </c>
      <c r="DU54" s="59">
        <f t="shared" si="44"/>
        <v>280.33242658375497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7.1909085604523337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7.1909085604523337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8.1899999999999977</v>
      </c>
      <c r="EJ54" s="12">
        <f>IF('Données projet'!$A$192&gt;35,EJ53+EI54-ER53,IF(A54&lt;'Données projet'!$A$192,$EG$205^A54,IF(A54='Données projet'!$A$192,'Données projet'!$B$192,EJ53+EI54-ER53)))</f>
        <v>278.55</v>
      </c>
      <c r="EK54" s="17">
        <f>EJ54*VLOOKUP('Données projet'!$B$15,Paramètres!$A$1:$I$89,3,0)*VLOOKUP('Données projet'!$B$15,Paramètres!$A$1:$I$89,5,0)</f>
        <v>166.5729</v>
      </c>
      <c r="EL54" s="13">
        <f t="shared" si="45"/>
        <v>42.321559804212448</v>
      </c>
      <c r="EM54" s="20">
        <f t="shared" si="19"/>
        <v>363.82451749233672</v>
      </c>
      <c r="EN54" s="59">
        <f t="shared" si="20"/>
        <v>657.15785082567004</v>
      </c>
      <c r="EO54" s="59">
        <f ca="1">AVERAGE(OFFSET($EN$3,0,0,'Données projet'!$E$15+1,1))-AVERAGE(OFFSET($H$3,0,0,'Données projet'!$E$15+1,1))</f>
        <v>264.08053957457469</v>
      </c>
      <c r="EP54" s="59">
        <f t="shared" si="46"/>
        <v>284.83300065761051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26.972362442838982</v>
      </c>
      <c r="EW54" s="21">
        <f>EXP(-LN(2)/25)*EW53+(1-EXP(-LN(2)/25))/(LN(2)/25)*Calculateur!ER54*Calculateur!ET54*VLOOKUP('Données projet'!$B$15,Paramètres!$A$1:$I$89,3,0)*0.475*44/12</f>
        <v>14.74115222672277</v>
      </c>
      <c r="EX54" s="21">
        <f>EXP(-LN(2)/2)*EX53+(1-EXP(-LN(2)/2))/(LN(2)/2)*ER54*EU54*VLOOKUP('Données projet'!$B$15,Paramètres!$A$1:$I$89,3,0)*0.475*44/12</f>
        <v>2.4376300439118634</v>
      </c>
      <c r="EY54" s="22">
        <f t="shared" si="21"/>
        <v>44.15114471347362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9.5</v>
      </c>
      <c r="FE54" s="12">
        <f>IF('Données projet'!$A$218&gt;35,FE53+FD54-FM53,IF(A54&lt;'Données projet'!$A$218,$FB$205^A54,IF(A54='Données projet'!$A$218,'Données projet'!$B$218,FE53+FD54-FM53)))</f>
        <v>214.5</v>
      </c>
      <c r="FF54" s="17">
        <f>FE54*VLOOKUP('Données projet'!$B$16,Paramètres!$A$1:$I$89,3,0)*VLOOKUP('Données projet'!$B$16,Paramètres!$A$1:$I$89,5,0)</f>
        <v>100.386</v>
      </c>
      <c r="FG54" s="13">
        <f t="shared" si="47"/>
        <v>27.05393609634266</v>
      </c>
      <c r="FH54" s="20">
        <f t="shared" si="22"/>
        <v>221.95788870113009</v>
      </c>
      <c r="FI54" s="59">
        <f t="shared" si="23"/>
        <v>515.29122203446343</v>
      </c>
      <c r="FJ54" s="59">
        <f ca="1">AVERAGE(OFFSET($FI$3,0,0,'Données projet'!$E$16+1,1))-AVERAGE(OFFSET($H$3,0,0,'Données projet'!$E$16+1,1))</f>
        <v>166.27444639635013</v>
      </c>
      <c r="FK54" s="59">
        <f t="shared" si="48"/>
        <v>213.60182977243113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13.968386651141209</v>
      </c>
      <c r="FR54" s="21">
        <f>EXP(-LN(2)/25)*FR53+(1-EXP(-LN(2)/25))/(LN(2)/25)*Calculateur!FM54*Calculateur!FO54*VLOOKUP('Données projet'!$B$16,Paramètres!$A$1:$I$89,3,0)*0.475*44/12</f>
        <v>16.497713642461449</v>
      </c>
      <c r="FS54" s="21">
        <f>EXP(-LN(2)/2)*FS53+(1-EXP(-LN(2)/2))/(LN(2)/2)*FM54*FP54*VLOOKUP('Données projet'!$B$16,Paramètres!$A$1:$I$89,3,0)*0.475*44/12</f>
        <v>5.0613586966809105</v>
      </c>
      <c r="FT54" s="22">
        <f t="shared" si="24"/>
        <v>35.52745899028357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223.39999999999989</v>
      </c>
      <c r="O55" s="13">
        <f>N55*VLOOKUP('Données projet'!$B$9,Paramètres!$A$1:$I$89,3,0)*VLOOKUP('Données projet'!$B$9,Paramètres!$A$1:$I$89,5,0)</f>
        <v>202.13231999999988</v>
      </c>
      <c r="P55" s="13">
        <f t="shared" si="33"/>
        <v>50.212497488959578</v>
      </c>
      <c r="Q55" s="20">
        <f t="shared" si="53"/>
        <v>439.50055712660441</v>
      </c>
      <c r="R55" s="59">
        <f t="shared" si="0"/>
        <v>732.83389045993772</v>
      </c>
      <c r="S55" s="59">
        <f ca="1">AVERAGE(OFFSET($R$3,0,0,'Données projet'!$E$9+1,1))-AVERAGE(OFFSET($H$3,0,0,'Données projet'!$E$9+1,1))</f>
        <v>458.37755197712164</v>
      </c>
      <c r="T55" s="59">
        <f t="shared" si="34"/>
        <v>278.21741231699917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7.4683863984835428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7.4683863984835428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223.39999999999989</v>
      </c>
      <c r="AJ55" s="13">
        <f>AI55*VLOOKUP('Données projet'!$B$10,Paramètres!$A$1:$I$89,3,0)*VLOOKUP('Données projet'!$B$10,Paramètres!$A$1:$I$89,5,0)</f>
        <v>226.52759999999989</v>
      </c>
      <c r="AK55" s="13">
        <f t="shared" si="35"/>
        <v>55.531204013656371</v>
      </c>
      <c r="AL55" s="20">
        <f t="shared" si="4"/>
        <v>491.2524169904512</v>
      </c>
      <c r="AM55" s="59">
        <f t="shared" si="5"/>
        <v>784.58575032378451</v>
      </c>
      <c r="AN55" s="59">
        <f ca="1">AVERAGE(OFFSET($AM$3,0,0,'Données projet'!$E$10+1,1))-AVERAGE(OFFSET($H$3,0,0,'Données projet'!$E$10+1,1))</f>
        <v>508.60701013958447</v>
      </c>
      <c r="AO55" s="59">
        <f t="shared" si="36"/>
        <v>306.61893266146654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8.3697433776108703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8.3697433776108703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</v>
      </c>
      <c r="BD55" s="12">
        <f>IF('Données projet'!$A$88&gt;35,BD54+BC55-BL54,IF(A55&lt;'Données projet'!$A$88,$BA$205^A55,IF(A55='Données projet'!$A$88,'Données projet'!$B$88,BD54+BC55-BL54)))</f>
        <v>173</v>
      </c>
      <c r="BE55" s="13">
        <f>BD55*VLOOKUP('Données projet'!$B$11,Paramètres!$A$1:$I$89,3,0)*VLOOKUP('Données projet'!$B$11,Paramètres!$A$1:$I$89,5,0)</f>
        <v>164.6268</v>
      </c>
      <c r="BF55" s="13">
        <f t="shared" si="37"/>
        <v>41.884365321551833</v>
      </c>
      <c r="BG55" s="20">
        <f t="shared" si="7"/>
        <v>359.67361293503609</v>
      </c>
      <c r="BH55" s="59">
        <f t="shared" si="8"/>
        <v>653.00694626836935</v>
      </c>
      <c r="BI55" s="59">
        <f ca="1">AVERAGE(OFFSET($BH$3,0,0,'Données projet'!$E$11+1,1))-AVERAGE(OFFSET($H$3,0,0,'Données projet'!$E$11+1,1))</f>
        <v>291.17074241052887</v>
      </c>
      <c r="BJ55" s="59">
        <f t="shared" si="38"/>
        <v>241.18285512887638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5.891011685010727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5.891011685010727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10.199999999999999</v>
      </c>
      <c r="BY55" s="12">
        <f>IF('Données projet'!$A$114&gt;35,BY54+BX55-CG54,IF(A55&lt;'Données projet'!$A$114,$BV$205^A55,IF(A55='Données projet'!$A$114,'Données projet'!$B$114,BY54+BX55-CG54)))</f>
        <v>223.39999999999989</v>
      </c>
      <c r="BZ55" s="13">
        <f>BY55*VLOOKUP('Données projet'!$B$12,Paramètres!$A$1:$I$89,3,0)*VLOOKUP('Données projet'!$B$12,Paramètres!$A$1:$I$89,5,0)</f>
        <v>188.19215999999994</v>
      </c>
      <c r="CA55" s="13">
        <f t="shared" si="39"/>
        <v>47.140042972585171</v>
      </c>
      <c r="CB55" s="20">
        <f t="shared" si="10"/>
        <v>409.87025351058577</v>
      </c>
      <c r="CC55" s="59">
        <f t="shared" si="11"/>
        <v>703.20358684391908</v>
      </c>
      <c r="CD55" s="59">
        <f ca="1">AVERAGE(OFFSET($CC$3,0,0,'Données projet'!$E$12+1,1))-AVERAGE(OFFSET($H$3,0,0,'Données projet'!$E$12+1,1))</f>
        <v>429.61977776013185</v>
      </c>
      <c r="CE55" s="59">
        <f t="shared" si="40"/>
        <v>261.95434270986385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6.9533252675536463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6.9533252675536463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</v>
      </c>
      <c r="CT55" s="12">
        <f>IF('Données projet'!$A$140&gt;35,CT54+CS55-DB54,IF(A55&lt;'Données projet'!$A$140,$CQ$205^A55,IF(A55='Données projet'!$A$140,'Données projet'!$B$140,CT54+CS55-DB54)))</f>
        <v>213.99999999999989</v>
      </c>
      <c r="CU55" s="17">
        <f>CT55*VLOOKUP('Données projet'!$B$13,Paramètres!$A$1:$I$89,3,0)*VLOOKUP('Données projet'!$B$13,Paramètres!$A$1:$I$89,5,0)</f>
        <v>140.21279999999993</v>
      </c>
      <c r="CV55" s="13">
        <f t="shared" si="41"/>
        <v>36.345750676634552</v>
      </c>
      <c r="CW55" s="20">
        <f t="shared" si="13"/>
        <v>307.50614242847166</v>
      </c>
      <c r="CX55" s="59">
        <f t="shared" si="14"/>
        <v>600.83947576180503</v>
      </c>
      <c r="CY55" s="59">
        <f ca="1">AVERAGE(OFFSET($CX$3,0,0,'Données projet'!$E$13+1,1))-AVERAGE(OFFSET($H$3,0,0,'Données projet'!$E$13+1,1))</f>
        <v>255.09913504736693</v>
      </c>
      <c r="CZ55" s="59">
        <f t="shared" si="42"/>
        <v>248.42617382406644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5.9369562702292562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5.9369562702292562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</v>
      </c>
      <c r="DO55" s="12">
        <f>IF('Données projet'!$A$166&gt;35,DO54+DN55-DW54,IF(A55&lt;'Données projet'!$A$166,$DL$205^A55,IF(A55='Données projet'!$A$166,'Données projet'!$B$166,DO54+DN55-DW54)))</f>
        <v>173</v>
      </c>
      <c r="DP55" s="17">
        <f>DO55*VLOOKUP('Données projet'!$B$14,Paramètres!$A$1:$I$89,3,0)*VLOOKUP('Données projet'!$B$14,Paramètres!$A$1:$I$89,5,0)</f>
        <v>197.01239999999999</v>
      </c>
      <c r="DQ55" s="13">
        <f t="shared" si="43"/>
        <v>49.087009643867567</v>
      </c>
      <c r="DR55" s="20">
        <f t="shared" si="16"/>
        <v>428.62313846306932</v>
      </c>
      <c r="DS55" s="59">
        <f t="shared" si="17"/>
        <v>721.95647179640264</v>
      </c>
      <c r="DT55" s="59">
        <f ca="1">AVERAGE(OFFSET($DS$3,0,0,'Données projet'!$E$14+1,1))-AVERAGE(OFFSET($H$3,0,0,'Données projet'!$E$14+1,1))</f>
        <v>459.67331926893809</v>
      </c>
      <c r="DU55" s="59">
        <f t="shared" si="44"/>
        <v>280.33242658375497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7.0498992296030014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7.0498992296030014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8.1899999999999977</v>
      </c>
      <c r="EJ55" s="12">
        <f>IF('Données projet'!$A$192&gt;35,EJ54+EI55-ER54,IF(A55&lt;'Données projet'!$A$192,$EG$205^A55,IF(A55='Données projet'!$A$192,'Données projet'!$B$192,EJ54+EI55-ER54)))</f>
        <v>286.74</v>
      </c>
      <c r="EK55" s="17">
        <f>EJ55*VLOOKUP('Données projet'!$B$15,Paramètres!$A$1:$I$89,3,0)*VLOOKUP('Données projet'!$B$15,Paramètres!$A$1:$I$89,5,0)</f>
        <v>171.47052000000002</v>
      </c>
      <c r="EL55" s="13">
        <f t="shared" si="45"/>
        <v>43.41920587311278</v>
      </c>
      <c r="EM55" s="20">
        <f t="shared" si="19"/>
        <v>374.26627256233814</v>
      </c>
      <c r="EN55" s="59">
        <f t="shared" si="20"/>
        <v>667.5996058956714</v>
      </c>
      <c r="EO55" s="59">
        <f ca="1">AVERAGE(OFFSET($EN$3,0,0,'Données projet'!$E$15+1,1))-AVERAGE(OFFSET($H$3,0,0,'Données projet'!$E$15+1,1))</f>
        <v>264.08053957457469</v>
      </c>
      <c r="EP55" s="59">
        <f t="shared" si="46"/>
        <v>284.83300065761051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26.443450866851546</v>
      </c>
      <c r="EW55" s="21">
        <f>EXP(-LN(2)/25)*EW54+(1-EXP(-LN(2)/25))/(LN(2)/25)*Calculateur!ER55*Calculateur!ET55*VLOOKUP('Données projet'!$B$15,Paramètres!$A$1:$I$89,3,0)*0.475*44/12</f>
        <v>14.338054643879531</v>
      </c>
      <c r="EX55" s="21">
        <f>EXP(-LN(2)/2)*EX54+(1-EXP(-LN(2)/2))/(LN(2)/2)*ER55*EU55*VLOOKUP('Données projet'!$B$15,Paramètres!$A$1:$I$89,3,0)*0.475*44/12</f>
        <v>1.7236647340741404</v>
      </c>
      <c r="EY55" s="22">
        <f t="shared" si="21"/>
        <v>42.505170244805221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9.5</v>
      </c>
      <c r="FE55" s="12">
        <f>IF('Données projet'!$A$218&gt;35,FE54+FD55-FM54,IF(A55&lt;'Données projet'!$A$218,$FB$205^A55,IF(A55='Données projet'!$A$218,'Données projet'!$B$218,FE54+FD55-FM54)))</f>
        <v>224</v>
      </c>
      <c r="FF55" s="17">
        <f>FE55*VLOOKUP('Données projet'!$B$16,Paramètres!$A$1:$I$89,3,0)*VLOOKUP('Données projet'!$B$16,Paramètres!$A$1:$I$89,5,0)</f>
        <v>104.83200000000001</v>
      </c>
      <c r="FG55" s="13">
        <f t="shared" si="47"/>
        <v>28.109974371137717</v>
      </c>
      <c r="FH55" s="20">
        <f t="shared" si="22"/>
        <v>231.54060536306486</v>
      </c>
      <c r="FI55" s="59">
        <f t="shared" si="23"/>
        <v>524.87393869639823</v>
      </c>
      <c r="FJ55" s="59">
        <f ca="1">AVERAGE(OFFSET($FI$3,0,0,'Données projet'!$E$16+1,1))-AVERAGE(OFFSET($H$3,0,0,'Données projet'!$E$16+1,1))</f>
        <v>166.27444639635013</v>
      </c>
      <c r="FK55" s="59">
        <f t="shared" si="48"/>
        <v>213.60182977243113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13.69447510878692</v>
      </c>
      <c r="FR55" s="21">
        <f>EXP(-LN(2)/25)*FR54+(1-EXP(-LN(2)/25))/(LN(2)/25)*Calculateur!FM55*Calculateur!FO55*VLOOKUP('Données projet'!$B$16,Paramètres!$A$1:$I$89,3,0)*0.475*44/12</f>
        <v>16.046582795331286</v>
      </c>
      <c r="FS55" s="21">
        <f>EXP(-LN(2)/2)*FS54+(1-EXP(-LN(2)/2))/(LN(2)/2)*FM55*FP55*VLOOKUP('Données projet'!$B$16,Paramètres!$A$1:$I$89,3,0)*0.475*44/12</f>
        <v>3.5789210564405782</v>
      </c>
      <c r="FT55" s="22">
        <f t="shared" si="24"/>
        <v>33.319978960558785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233.59999999999988</v>
      </c>
      <c r="O56" s="13">
        <f>N56*VLOOKUP('Données projet'!$B$9,Paramètres!$A$1:$I$89,3,0)*VLOOKUP('Données projet'!$B$9,Paramètres!$A$1:$I$89,5,0)</f>
        <v>211.36127999999988</v>
      </c>
      <c r="P56" s="13">
        <f t="shared" si="33"/>
        <v>52.232947669705631</v>
      </c>
      <c r="Q56" s="20">
        <f t="shared" si="53"/>
        <v>459.09327985807039</v>
      </c>
      <c r="R56" s="59">
        <f t="shared" si="0"/>
        <v>752.4266131914037</v>
      </c>
      <c r="S56" s="59">
        <f ca="1">AVERAGE(OFFSET($R$3,0,0,'Données projet'!$E$9+1,1))-AVERAGE(OFFSET($H$3,0,0,'Données projet'!$E$9+1,1))</f>
        <v>458.37755197712164</v>
      </c>
      <c r="T56" s="59">
        <f t="shared" si="34"/>
        <v>278.21741231699917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7.3219358964751882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7.3219358964751882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233.59999999999988</v>
      </c>
      <c r="AJ56" s="13">
        <f>AI56*VLOOKUP('Données projet'!$B$10,Paramètres!$A$1:$I$89,3,0)*VLOOKUP('Données projet'!$B$10,Paramètres!$A$1:$I$89,5,0)</f>
        <v>236.87039999999988</v>
      </c>
      <c r="AK56" s="13">
        <f t="shared" si="35"/>
        <v>57.765668276484661</v>
      </c>
      <c r="AL56" s="20">
        <f t="shared" si="4"/>
        <v>513.15781891487723</v>
      </c>
      <c r="AM56" s="59">
        <f t="shared" si="5"/>
        <v>806.49115224821048</v>
      </c>
      <c r="AN56" s="59">
        <f ca="1">AVERAGE(OFFSET($AM$3,0,0,'Données projet'!$E$10+1,1))-AVERAGE(OFFSET($H$3,0,0,'Données projet'!$E$10+1,1))</f>
        <v>508.60701013958447</v>
      </c>
      <c r="AO56" s="59">
        <f t="shared" si="36"/>
        <v>306.61893266146654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8.2056178150152999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8.2056178150152999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</v>
      </c>
      <c r="BD56" s="12">
        <f>IF('Données projet'!$A$88&gt;35,BD55+BC56-BL55,IF(A56&lt;'Données projet'!$A$88,$BA$205^A56,IF(A56='Données projet'!$A$88,'Données projet'!$B$88,BD55+BC56-BL55)))</f>
        <v>181</v>
      </c>
      <c r="BE56" s="13">
        <f>BD56*VLOOKUP('Données projet'!$B$11,Paramètres!$A$1:$I$89,3,0)*VLOOKUP('Données projet'!$B$11,Paramètres!$A$1:$I$89,5,0)</f>
        <v>172.2396</v>
      </c>
      <c r="BF56" s="13">
        <f t="shared" si="37"/>
        <v>43.591236765546341</v>
      </c>
      <c r="BG56" s="20">
        <f t="shared" si="7"/>
        <v>375.9053740333265</v>
      </c>
      <c r="BH56" s="59">
        <f t="shared" si="8"/>
        <v>669.23870736665981</v>
      </c>
      <c r="BI56" s="59">
        <f ca="1">AVERAGE(OFFSET($BH$3,0,0,'Données projet'!$E$11+1,1))-AVERAGE(OFFSET($H$3,0,0,'Données projet'!$E$11+1,1))</f>
        <v>291.17074241052887</v>
      </c>
      <c r="BJ56" s="59">
        <f t="shared" si="38"/>
        <v>241.18285512887638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5.7754925390299992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5.7754925390299992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10.199999999999999</v>
      </c>
      <c r="BY56" s="12">
        <f>IF('Données projet'!$A$114&gt;35,BY55+BX56-CG55,IF(A56&lt;'Données projet'!$A$114,$BV$205^A56,IF(A56='Données projet'!$A$114,'Données projet'!$B$114,BY55+BX56-CG55)))</f>
        <v>233.59999999999988</v>
      </c>
      <c r="BZ56" s="13">
        <f>BY56*VLOOKUP('Données projet'!$B$12,Paramètres!$A$1:$I$89,3,0)*VLOOKUP('Données projet'!$B$12,Paramètres!$A$1:$I$89,5,0)</f>
        <v>196.78463999999994</v>
      </c>
      <c r="CA56" s="13">
        <f t="shared" si="39"/>
        <v>49.036863746442833</v>
      </c>
      <c r="CB56" s="20">
        <f t="shared" si="10"/>
        <v>428.13911902505447</v>
      </c>
      <c r="CC56" s="59">
        <f t="shared" si="11"/>
        <v>721.47245235838773</v>
      </c>
      <c r="CD56" s="59">
        <f ca="1">AVERAGE(OFFSET($CC$3,0,0,'Données projet'!$E$12+1,1))-AVERAGE(OFFSET($H$3,0,0,'Données projet'!$E$12+1,1))</f>
        <v>429.61977776013185</v>
      </c>
      <c r="CE56" s="59">
        <f t="shared" si="40"/>
        <v>261.95434270986385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6.816974800166558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6.816974800166558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</v>
      </c>
      <c r="CT56" s="12">
        <f>IF('Données projet'!$A$140&gt;35,CT55+CS56-DB55,IF(A56&lt;'Données projet'!$A$140,$CQ$205^A56,IF(A56='Données projet'!$A$140,'Données projet'!$B$140,CT55+CS56-DB55)))</f>
        <v>219.99999999999989</v>
      </c>
      <c r="CU56" s="17">
        <f>CT56*VLOOKUP('Données projet'!$B$13,Paramètres!$A$1:$I$89,3,0)*VLOOKUP('Données projet'!$B$13,Paramètres!$A$1:$I$89,5,0)</f>
        <v>144.14399999999992</v>
      </c>
      <c r="CV56" s="13">
        <f t="shared" si="41"/>
        <v>37.244720006976216</v>
      </c>
      <c r="CW56" s="20">
        <f t="shared" si="13"/>
        <v>315.91868734548342</v>
      </c>
      <c r="CX56" s="59">
        <f t="shared" si="14"/>
        <v>609.25202067881673</v>
      </c>
      <c r="CY56" s="59">
        <f ca="1">AVERAGE(OFFSET($CX$3,0,0,'Données projet'!$E$13+1,1))-AVERAGE(OFFSET($H$3,0,0,'Données projet'!$E$13+1,1))</f>
        <v>255.09913504736693</v>
      </c>
      <c r="CZ56" s="59">
        <f t="shared" si="42"/>
        <v>248.42617382406644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5.8205361789558232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5.8205361789558232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</v>
      </c>
      <c r="DO56" s="12">
        <f>IF('Données projet'!$A$166&gt;35,DO55+DN56-DW55,IF(A56&lt;'Données projet'!$A$166,$DL$205^A56,IF(A56='Données projet'!$A$166,'Données projet'!$B$166,DO55+DN56-DW55)))</f>
        <v>181</v>
      </c>
      <c r="DP56" s="17">
        <f>DO56*VLOOKUP('Données projet'!$B$14,Paramètres!$A$1:$I$89,3,0)*VLOOKUP('Données projet'!$B$14,Paramètres!$A$1:$I$89,5,0)</f>
        <v>206.12280000000001</v>
      </c>
      <c r="DQ56" s="13">
        <f t="shared" si="43"/>
        <v>51.087403212899119</v>
      </c>
      <c r="DR56" s="20">
        <f t="shared" si="16"/>
        <v>447.97443726246598</v>
      </c>
      <c r="DS56" s="59">
        <f t="shared" si="17"/>
        <v>741.3077705957993</v>
      </c>
      <c r="DT56" s="59">
        <f ca="1">AVERAGE(OFFSET($DS$3,0,0,'Données projet'!$E$14+1,1))-AVERAGE(OFFSET($H$3,0,0,'Données projet'!$E$14+1,1))</f>
        <v>459.67331926893809</v>
      </c>
      <c r="DU56" s="59">
        <f t="shared" si="44"/>
        <v>280.33242658375497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6.9116550057244259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6.9116550057244259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8.1899999999999977</v>
      </c>
      <c r="EJ56" s="12">
        <f>IF('Données projet'!$A$192&gt;35,EJ55+EI56-ER55,IF(A56&lt;'Données projet'!$A$192,$EG$205^A56,IF(A56='Données projet'!$A$192,'Données projet'!$B$192,EJ55+EI56-ER55)))</f>
        <v>294.93</v>
      </c>
      <c r="EK56" s="17">
        <f>EJ56*VLOOKUP('Données projet'!$B$15,Paramètres!$A$1:$I$89,3,0)*VLOOKUP('Données projet'!$B$15,Paramètres!$A$1:$I$89,5,0)</f>
        <v>176.36814000000001</v>
      </c>
      <c r="EL56" s="13">
        <f t="shared" si="45"/>
        <v>44.513208166735623</v>
      </c>
      <c r="EM56" s="20">
        <f t="shared" si="19"/>
        <v>384.70168139039788</v>
      </c>
      <c r="EN56" s="59">
        <f t="shared" si="20"/>
        <v>678.03501472373114</v>
      </c>
      <c r="EO56" s="59">
        <f ca="1">AVERAGE(OFFSET($EN$3,0,0,'Données projet'!$E$15+1,1))-AVERAGE(OFFSET($H$3,0,0,'Données projet'!$E$15+1,1))</f>
        <v>264.08053957457469</v>
      </c>
      <c r="EP56" s="59">
        <f t="shared" si="46"/>
        <v>284.83300065761051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25.924910924265017</v>
      </c>
      <c r="EW56" s="21">
        <f>EXP(-LN(2)/25)*EW55+(1-EXP(-LN(2)/25))/(LN(2)/25)*Calculateur!ER56*Calculateur!ET56*VLOOKUP('Données projet'!$B$15,Paramètres!$A$1:$I$89,3,0)*0.475*44/12</f>
        <v>13.945979785637121</v>
      </c>
      <c r="EX56" s="21">
        <f>EXP(-LN(2)/2)*EX55+(1-EXP(-LN(2)/2))/(LN(2)/2)*ER56*EU56*VLOOKUP('Données projet'!$B$15,Paramètres!$A$1:$I$89,3,0)*0.475*44/12</f>
        <v>1.2188150219559319</v>
      </c>
      <c r="EY56" s="22">
        <f t="shared" si="21"/>
        <v>41.089705731858075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9.5</v>
      </c>
      <c r="FE56" s="12">
        <f>IF('Données projet'!$A$218&gt;35,FE55+FD56-FM55,IF(A56&lt;'Données projet'!$A$218,$FB$205^A56,IF(A56='Données projet'!$A$218,'Données projet'!$B$218,FE55+FD56-FM55)))</f>
        <v>233.5</v>
      </c>
      <c r="FF56" s="17">
        <f>FE56*VLOOKUP('Données projet'!$B$16,Paramètres!$A$1:$I$89,3,0)*VLOOKUP('Données projet'!$B$16,Paramètres!$A$1:$I$89,5,0)</f>
        <v>109.27800000000001</v>
      </c>
      <c r="FG56" s="13">
        <f t="shared" si="47"/>
        <v>29.160810599699261</v>
      </c>
      <c r="FH56" s="20">
        <f t="shared" si="22"/>
        <v>241.11426179447619</v>
      </c>
      <c r="FI56" s="59">
        <f t="shared" si="23"/>
        <v>534.44759512780956</v>
      </c>
      <c r="FJ56" s="59">
        <f ca="1">AVERAGE(OFFSET($FI$3,0,0,'Données projet'!$E$16+1,1))-AVERAGE(OFFSET($H$3,0,0,'Données projet'!$E$16+1,1))</f>
        <v>166.27444639635013</v>
      </c>
      <c r="FK56" s="59">
        <f t="shared" si="48"/>
        <v>213.60182977243113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13.425934804708653</v>
      </c>
      <c r="FR56" s="21">
        <f>EXP(-LN(2)/25)*FR55+(1-EXP(-LN(2)/25))/(LN(2)/25)*Calculateur!FM56*Calculateur!FO56*VLOOKUP('Données projet'!$B$16,Paramètres!$A$1:$I$89,3,0)*0.475*44/12</f>
        <v>15.607788144939837</v>
      </c>
      <c r="FS56" s="21">
        <f>EXP(-LN(2)/2)*FS55+(1-EXP(-LN(2)/2))/(LN(2)/2)*FM56*FP56*VLOOKUP('Données projet'!$B$16,Paramètres!$A$1:$I$89,3,0)*0.475*44/12</f>
        <v>2.5306793483404557</v>
      </c>
      <c r="FT56" s="22">
        <f t="shared" si="24"/>
        <v>31.564402297988948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243.79999999999987</v>
      </c>
      <c r="O57" s="13">
        <f>N57*VLOOKUP('Données projet'!$B$9,Paramètres!$A$1:$I$89,3,0)*VLOOKUP('Données projet'!$B$9,Paramètres!$A$1:$I$89,5,0)</f>
        <v>220.59023999999988</v>
      </c>
      <c r="P57" s="13">
        <f t="shared" si="33"/>
        <v>54.243151457087848</v>
      </c>
      <c r="Q57" s="20">
        <f t="shared" si="53"/>
        <v>478.66815678776106</v>
      </c>
      <c r="R57" s="59">
        <f t="shared" si="0"/>
        <v>772.00149012109432</v>
      </c>
      <c r="S57" s="59">
        <f ca="1">AVERAGE(OFFSET($R$3,0,0,'Données projet'!$E$9+1,1))-AVERAGE(OFFSET($H$3,0,0,'Données projet'!$E$9+1,1))</f>
        <v>458.37755197712164</v>
      </c>
      <c r="T57" s="59">
        <f t="shared" si="34"/>
        <v>278.21741231699917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7.178357199485232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7.178357199485232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243.79999999999987</v>
      </c>
      <c r="AJ57" s="13">
        <f>AI57*VLOOKUP('Données projet'!$B$10,Paramètres!$A$1:$I$89,3,0)*VLOOKUP('Données projet'!$B$10,Paramètres!$A$1:$I$89,5,0)</f>
        <v>247.21319999999989</v>
      </c>
      <c r="AK57" s="13">
        <f t="shared" si="35"/>
        <v>59.988800807398711</v>
      </c>
      <c r="AL57" s="20">
        <f t="shared" si="4"/>
        <v>535.04348473955247</v>
      </c>
      <c r="AM57" s="59">
        <f t="shared" si="5"/>
        <v>828.37681807288573</v>
      </c>
      <c r="AN57" s="59">
        <f ca="1">AVERAGE(OFFSET($AM$3,0,0,'Données projet'!$E$10+1,1))-AVERAGE(OFFSET($H$3,0,0,'Données projet'!$E$10+1,1))</f>
        <v>508.60701013958447</v>
      </c>
      <c r="AO57" s="59">
        <f t="shared" si="36"/>
        <v>306.61893266146654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8.0447106545955211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8.0447106545955211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</v>
      </c>
      <c r="BD57" s="12">
        <f>IF('Données projet'!$A$88&gt;35,BD56+BC57-BL56,IF(A57&lt;'Données projet'!$A$88,$BA$205^A57,IF(A57='Données projet'!$A$88,'Données projet'!$B$88,BD56+BC57-BL56)))</f>
        <v>189</v>
      </c>
      <c r="BE57" s="13">
        <f>BD57*VLOOKUP('Données projet'!$B$11,Paramètres!$A$1:$I$89,3,0)*VLOOKUP('Données projet'!$B$11,Paramètres!$A$1:$I$89,5,0)</f>
        <v>179.85239999999999</v>
      </c>
      <c r="BF57" s="13">
        <f t="shared" si="37"/>
        <v>45.289346318280131</v>
      </c>
      <c r="BG57" s="20">
        <f t="shared" si="7"/>
        <v>392.12187483767121</v>
      </c>
      <c r="BH57" s="59">
        <f t="shared" si="8"/>
        <v>685.45520817100453</v>
      </c>
      <c r="BI57" s="59">
        <f ca="1">AVERAGE(OFFSET($BH$3,0,0,'Données projet'!$E$11+1,1))-AVERAGE(OFFSET($H$3,0,0,'Données projet'!$E$11+1,1))</f>
        <v>291.17074241052887</v>
      </c>
      <c r="BJ57" s="59">
        <f t="shared" si="38"/>
        <v>241.18285512887638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5.6622386530422313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5.6622386530422313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10.199999999999999</v>
      </c>
      <c r="BY57" s="12">
        <f>IF('Données projet'!$A$114&gt;35,BY56+BX57-CG56,IF(A57&lt;'Données projet'!$A$114,$BV$205^A57,IF(A57='Données projet'!$A$114,'Données projet'!$B$114,BY56+BX57-CG56)))</f>
        <v>243.79999999999987</v>
      </c>
      <c r="BZ57" s="13">
        <f>BY57*VLOOKUP('Données projet'!$B$12,Paramètres!$A$1:$I$89,3,0)*VLOOKUP('Données projet'!$B$12,Paramètres!$A$1:$I$89,5,0)</f>
        <v>205.37711999999991</v>
      </c>
      <c r="CA57" s="13">
        <f t="shared" si="39"/>
        <v>50.924065093909938</v>
      </c>
      <c r="CB57" s="20">
        <f t="shared" si="10"/>
        <v>446.39123070522629</v>
      </c>
      <c r="CC57" s="59">
        <f t="shared" si="11"/>
        <v>739.72456403855961</v>
      </c>
      <c r="CD57" s="59">
        <f ca="1">AVERAGE(OFFSET($CC$3,0,0,'Données projet'!$E$12+1,1))-AVERAGE(OFFSET($H$3,0,0,'Données projet'!$E$12+1,1))</f>
        <v>429.61977776013185</v>
      </c>
      <c r="CE57" s="59">
        <f t="shared" si="40"/>
        <v>261.95434270986385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6.6832980822793573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6.6832980822793573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</v>
      </c>
      <c r="CT57" s="12">
        <f>IF('Données projet'!$A$140&gt;35,CT56+CS57-DB56,IF(A57&lt;'Données projet'!$A$140,$CQ$205^A57,IF(A57='Données projet'!$A$140,'Données projet'!$B$140,CT56+CS57-DB56)))</f>
        <v>225.99999999999989</v>
      </c>
      <c r="CU57" s="17">
        <f>CT57*VLOOKUP('Données projet'!$B$13,Paramètres!$A$1:$I$89,3,0)*VLOOKUP('Données projet'!$B$13,Paramètres!$A$1:$I$89,5,0)</f>
        <v>148.07519999999991</v>
      </c>
      <c r="CV57" s="13">
        <f t="shared" si="41"/>
        <v>38.140839670017236</v>
      </c>
      <c r="CW57" s="20">
        <f t="shared" si="13"/>
        <v>324.32626909194659</v>
      </c>
      <c r="CX57" s="59">
        <f t="shared" si="14"/>
        <v>617.6596024252799</v>
      </c>
      <c r="CY57" s="59">
        <f ca="1">AVERAGE(OFFSET($CX$3,0,0,'Données projet'!$E$13+1,1))-AVERAGE(OFFSET($H$3,0,0,'Données projet'!$E$13+1,1))</f>
        <v>255.09913504736693</v>
      </c>
      <c r="CZ57" s="59">
        <f t="shared" si="42"/>
        <v>248.42617382406644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5.7063990146630177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5.7063990146630177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</v>
      </c>
      <c r="DO57" s="12">
        <f>IF('Données projet'!$A$166&gt;35,DO56+DN57-DW56,IF(A57&lt;'Données projet'!$A$166,$DL$205^A57,IF(A57='Données projet'!$A$166,'Données projet'!$B$166,DO56+DN57-DW56)))</f>
        <v>189</v>
      </c>
      <c r="DP57" s="17">
        <f>DO57*VLOOKUP('Données projet'!$B$14,Paramètres!$A$1:$I$89,3,0)*VLOOKUP('Données projet'!$B$14,Paramètres!$A$1:$I$89,5,0)</f>
        <v>215.23320000000001</v>
      </c>
      <c r="DQ57" s="13">
        <f t="shared" si="43"/>
        <v>53.077528152156454</v>
      </c>
      <c r="DR57" s="20">
        <f t="shared" si="16"/>
        <v>467.30785153167244</v>
      </c>
      <c r="DS57" s="59">
        <f t="shared" si="17"/>
        <v>760.6411848650057</v>
      </c>
      <c r="DT57" s="59">
        <f ca="1">AVERAGE(OFFSET($DS$3,0,0,'Données projet'!$E$14+1,1))-AVERAGE(OFFSET($H$3,0,0,'Données projet'!$E$14+1,1))</f>
        <v>459.67331926893809</v>
      </c>
      <c r="DU57" s="59">
        <f t="shared" si="44"/>
        <v>280.33242658375497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6.7761216667554587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6.7761216667554587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8.1899999999999977</v>
      </c>
      <c r="EJ57" s="12">
        <f>IF('Données projet'!$A$192&gt;35,EJ56+EI57-ER56,IF(A57&lt;'Données projet'!$A$192,$EG$205^A57,IF(A57='Données projet'!$A$192,'Données projet'!$B$192,EJ56+EI57-ER56)))</f>
        <v>303.12</v>
      </c>
      <c r="EK57" s="17">
        <f>EJ57*VLOOKUP('Données projet'!$B$15,Paramètres!$A$1:$I$89,3,0)*VLOOKUP('Données projet'!$B$15,Paramètres!$A$1:$I$89,5,0)</f>
        <v>181.26576000000003</v>
      </c>
      <c r="EL57" s="13">
        <f t="shared" si="45"/>
        <v>45.60367949511749</v>
      </c>
      <c r="EM57" s="20">
        <f t="shared" si="19"/>
        <v>395.13094045399635</v>
      </c>
      <c r="EN57" s="59">
        <f t="shared" si="20"/>
        <v>688.4642737873296</v>
      </c>
      <c r="EO57" s="59">
        <f ca="1">AVERAGE(OFFSET($EN$3,0,0,'Données projet'!$E$15+1,1))-AVERAGE(OFFSET($H$3,0,0,'Données projet'!$E$15+1,1))</f>
        <v>264.08053957457469</v>
      </c>
      <c r="EP57" s="59">
        <f t="shared" si="46"/>
        <v>284.83300065761051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25.416539233674477</v>
      </c>
      <c r="EW57" s="21">
        <f>EXP(-LN(2)/25)*EW56+(1-EXP(-LN(2)/25))/(LN(2)/25)*Calculateur!ER57*Calculateur!ET57*VLOOKUP('Données projet'!$B$15,Paramètres!$A$1:$I$89,3,0)*0.475*44/12</f>
        <v>13.564626235011671</v>
      </c>
      <c r="EX57" s="21">
        <f>EXP(-LN(2)/2)*EX56+(1-EXP(-LN(2)/2))/(LN(2)/2)*ER57*EU57*VLOOKUP('Données projet'!$B$15,Paramètres!$A$1:$I$89,3,0)*0.475*44/12</f>
        <v>0.86183236703707033</v>
      </c>
      <c r="EY57" s="22">
        <f t="shared" si="21"/>
        <v>39.842997835723217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9.5</v>
      </c>
      <c r="FE57" s="12">
        <f>IF('Données projet'!$A$218&gt;35,FE56+FD57-FM56,IF(A57&lt;'Données projet'!$A$218,$FB$205^A57,IF(A57='Données projet'!$A$218,'Données projet'!$B$218,FE56+FD57-FM56)))</f>
        <v>243</v>
      </c>
      <c r="FF57" s="17">
        <f>FE57*VLOOKUP('Données projet'!$B$16,Paramètres!$A$1:$I$89,3,0)*VLOOKUP('Données projet'!$B$16,Paramètres!$A$1:$I$89,5,0)</f>
        <v>113.72399999999999</v>
      </c>
      <c r="FG57" s="13">
        <f t="shared" si="47"/>
        <v>30.206680638130489</v>
      </c>
      <c r="FH57" s="20">
        <f t="shared" si="22"/>
        <v>250.67926877807722</v>
      </c>
      <c r="FI57" s="59">
        <f t="shared" si="23"/>
        <v>544.0126021114105</v>
      </c>
      <c r="FJ57" s="59">
        <f ca="1">AVERAGE(OFFSET($FI$3,0,0,'Données projet'!$E$16+1,1))-AVERAGE(OFFSET($H$3,0,0,'Données projet'!$E$16+1,1))</f>
        <v>166.27444639635013</v>
      </c>
      <c r="FK57" s="59">
        <f t="shared" si="48"/>
        <v>213.60182977243113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13.16266041219995</v>
      </c>
      <c r="FR57" s="21">
        <f>EXP(-LN(2)/25)*FR56+(1-EXP(-LN(2)/25))/(LN(2)/25)*Calculateur!FM57*Calculateur!FO57*VLOOKUP('Données projet'!$B$16,Paramètres!$A$1:$I$89,3,0)*0.475*44/12</f>
        <v>15.180992357338551</v>
      </c>
      <c r="FS57" s="21">
        <f>EXP(-LN(2)/2)*FS56+(1-EXP(-LN(2)/2))/(LN(2)/2)*FM57*FP57*VLOOKUP('Données projet'!$B$16,Paramètres!$A$1:$I$89,3,0)*0.475*44/12</f>
        <v>1.7894605282202893</v>
      </c>
      <c r="FT57" s="22">
        <f t="shared" si="24"/>
        <v>30.13311329775879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253.99999999999986</v>
      </c>
      <c r="O58" s="13">
        <f>N58*VLOOKUP('Données projet'!$B$9,Paramètres!$A$1:$I$89,3,0)*VLOOKUP('Données projet'!$B$9,Paramètres!$A$1:$I$89,5,0)</f>
        <v>229.81919999999985</v>
      </c>
      <c r="P58" s="13">
        <f t="shared" si="33"/>
        <v>56.243586554989292</v>
      </c>
      <c r="Q58" s="20">
        <f t="shared" si="53"/>
        <v>498.22601991660605</v>
      </c>
      <c r="R58" s="59">
        <f t="shared" si="0"/>
        <v>791.55935324993936</v>
      </c>
      <c r="S58" s="59">
        <f ca="1">AVERAGE(OFFSET($R$3,0,0,'Données projet'!$E$9+1,1))-AVERAGE(OFFSET($H$3,0,0,'Données projet'!$E$9+1,1))</f>
        <v>458.37755197712164</v>
      </c>
      <c r="T58" s="59">
        <f t="shared" si="34"/>
        <v>278.21741231699917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10.650423306206795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10.650423306206795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253.99999999999986</v>
      </c>
      <c r="AJ58" s="13">
        <f>AI58*VLOOKUP('Données projet'!$B$10,Paramètres!$A$1:$I$89,3,0)*VLOOKUP('Données projet'!$B$10,Paramètres!$A$1:$I$89,5,0)</f>
        <v>257.55599999999987</v>
      </c>
      <c r="AK58" s="13">
        <f t="shared" si="35"/>
        <v>62.201129910568184</v>
      </c>
      <c r="AL58" s="20">
        <f t="shared" si="4"/>
        <v>556.91033459423932</v>
      </c>
      <c r="AM58" s="59">
        <f t="shared" si="5"/>
        <v>850.24366792757269</v>
      </c>
      <c r="AN58" s="59">
        <f ca="1">AVERAGE(OFFSET($AM$3,0,0,'Données projet'!$E$10+1,1))-AVERAGE(OFFSET($H$3,0,0,'Données projet'!$E$10+1,1))</f>
        <v>508.60701013958447</v>
      </c>
      <c r="AO58" s="59">
        <f t="shared" si="36"/>
        <v>306.61893266146654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11.935819222473135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11.935819222473135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197</v>
      </c>
      <c r="BB58" s="12">
        <f>VLOOKUP(A58,'Données projet'!$A$87:$I$107,9,0)</f>
        <v>8</v>
      </c>
      <c r="BC58" s="12">
        <f t="array" ref="BC58">INDEX(BB:BB,MIN(IF(ISNUMBER(BB58:BB254),ROW(BB58:BB254),"")))</f>
        <v>8</v>
      </c>
      <c r="BD58" s="12">
        <f>IF('Données projet'!$A$88&gt;35,BD57+BC58-BL57,IF(A58&lt;'Données projet'!$A$88,$BA$205^A58,IF(A58='Données projet'!$A$88,'Données projet'!$B$88,BD57+BC58-BL57)))</f>
        <v>197</v>
      </c>
      <c r="BE58" s="13">
        <f>BD58*VLOOKUP('Données projet'!$B$11,Paramètres!$A$1:$I$89,3,0)*VLOOKUP('Données projet'!$B$11,Paramètres!$A$1:$I$89,5,0)</f>
        <v>187.46520000000001</v>
      </c>
      <c r="BF58" s="13">
        <f t="shared" si="37"/>
        <v>46.979107256618605</v>
      </c>
      <c r="BG58" s="20">
        <f t="shared" si="7"/>
        <v>408.32383513861078</v>
      </c>
      <c r="BH58" s="59">
        <f t="shared" si="8"/>
        <v>701.65716847194403</v>
      </c>
      <c r="BI58" s="59">
        <f ca="1">AVERAGE(OFFSET($BH$3,0,0,'Données projet'!$E$11+1,1))-AVERAGE(OFFSET($H$3,0,0,'Données projet'!$E$11+1,1))</f>
        <v>291.17074241052887</v>
      </c>
      <c r="BJ58" s="59">
        <f t="shared" si="38"/>
        <v>241.18285512887638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21</v>
      </c>
      <c r="BM58" s="16">
        <f>IF(ISNA(VLOOKUP(A58,'Données projet'!$A$87:$I$107,5,0)),0%,VLOOKUP(A58,'Données projet'!$A$87:$I$107,5,0)*VLOOKUP('Données projet'!$B$11,Paramètres!$A$1:$I$89,7,0))</f>
        <v>0.129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8.4009804527407059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8.4009804527407059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254</v>
      </c>
      <c r="BW58" s="12">
        <f>VLOOKUP(A58,'Données projet'!$A$113:$I$133,9,0)</f>
        <v>10.199999999999999</v>
      </c>
      <c r="BX58" s="12">
        <f t="array" ref="BX58">INDEX(BW:BW,MIN(IF(ISNUMBER(BW58:BW254),ROW(BW58:BW254),"")))</f>
        <v>10.199999999999999</v>
      </c>
      <c r="BY58" s="12">
        <f>IF('Données projet'!$A$114&gt;35,BY57+BX58-CG57,IF(A58&lt;'Données projet'!$A$114,$BV$205^A58,IF(A58='Données projet'!$A$114,'Données projet'!$B$114,BY57+BX58-CG57)))</f>
        <v>253.99999999999986</v>
      </c>
      <c r="BZ58" s="13">
        <f>BY58*VLOOKUP('Données projet'!$B$12,Paramètres!$A$1:$I$89,3,0)*VLOOKUP('Données projet'!$B$12,Paramètres!$A$1:$I$89,5,0)</f>
        <v>213.9695999999999</v>
      </c>
      <c r="CA58" s="13">
        <f t="shared" si="39"/>
        <v>52.80209548862743</v>
      </c>
      <c r="CB58" s="20">
        <f t="shared" si="10"/>
        <v>464.62736964269249</v>
      </c>
      <c r="CC58" s="59">
        <f t="shared" si="11"/>
        <v>757.9607029760258</v>
      </c>
      <c r="CD58" s="59">
        <f ca="1">AVERAGE(OFFSET($CC$3,0,0,'Données projet'!$E$12+1,1))-AVERAGE(OFFSET($H$3,0,0,'Données projet'!$E$12+1,1))</f>
        <v>429.61977776013185</v>
      </c>
      <c r="CE58" s="59">
        <f t="shared" si="40"/>
        <v>261.95434270986385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28</v>
      </c>
      <c r="CH58" s="16">
        <f>IF(ISNA(VLOOKUP(A58,'Données projet'!$A$113:$I$133,5,0)),0%,VLOOKUP(A58,'Données projet'!$A$113:$I$133,5,0)*VLOOKUP('Données projet'!$B$12,Paramètres!$A$1:$I$89,7,0))</f>
        <v>0.129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9.9159113540546073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9.9159113540546073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232</v>
      </c>
      <c r="CR58" s="12">
        <f>VLOOKUP(A58,'Données projet'!$A$139:$I$159,9,0)</f>
        <v>6</v>
      </c>
      <c r="CS58" s="12">
        <f t="array" ref="CS58">INDEX(CR:CR,MIN(IF(ISNUMBER(CR58:CR254),ROW(CR58:CR254),"")))</f>
        <v>6</v>
      </c>
      <c r="CT58" s="12">
        <f>IF('Données projet'!$A$140&gt;35,CT57+CS58-DB57,IF(A58&lt;'Données projet'!$A$140,$CQ$205^A58,IF(A58='Données projet'!$A$140,'Données projet'!$B$140,CT57+CS58-DB57)))</f>
        <v>231.99999999999989</v>
      </c>
      <c r="CU58" s="17">
        <f>CT58*VLOOKUP('Données projet'!$B$13,Paramètres!$A$1:$I$89,3,0)*VLOOKUP('Données projet'!$B$13,Paramètres!$A$1:$I$89,5,0)</f>
        <v>152.00639999999993</v>
      </c>
      <c r="CV58" s="13">
        <f t="shared" si="41"/>
        <v>39.03419401656145</v>
      </c>
      <c r="CW58" s="20">
        <f t="shared" si="13"/>
        <v>332.72903457884439</v>
      </c>
      <c r="CX58" s="59">
        <f t="shared" si="14"/>
        <v>626.06236791217771</v>
      </c>
      <c r="CY58" s="59">
        <f ca="1">AVERAGE(OFFSET($CX$3,0,0,'Données projet'!$E$13+1,1))-AVERAGE(OFFSET($H$3,0,0,'Données projet'!$E$13+1,1))</f>
        <v>255.09913504736693</v>
      </c>
      <c r="CZ58" s="59">
        <f t="shared" si="42"/>
        <v>248.42617382406644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13</v>
      </c>
      <c r="DC58" s="16">
        <f>IF(ISNA(VLOOKUP(A58,'Données projet'!$A$139:$I$159,5,0)),0%,VLOOKUP(A58,'Données projet'!$A$139:$I$159,5,0)*VLOOKUP('Données projet'!$B$13,Paramètres!$A$1:$I$89,7,0))</f>
        <v>0.17200000000000001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7.2140441853552941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7.2140441853552941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197</v>
      </c>
      <c r="DM58" s="12">
        <f>VLOOKUP(A58,'Données projet'!$A$165:$I$185,9,0)</f>
        <v>8</v>
      </c>
      <c r="DN58" s="12">
        <f t="array" ref="DN58">INDEX(DM:DM,MIN(IF(ISNUMBER(DM58:DM254),ROW(DM58:DM254),"")))</f>
        <v>8</v>
      </c>
      <c r="DO58" s="12">
        <f>IF('Données projet'!$A$166&gt;35,DO57+DN58-DW57,IF(A58&lt;'Données projet'!$A$166,$DL$205^A58,IF(A58='Données projet'!$A$166,'Données projet'!$B$166,DO57+DN58-DW57)))</f>
        <v>197</v>
      </c>
      <c r="DP58" s="17">
        <f>DO58*VLOOKUP('Données projet'!$B$14,Paramètres!$A$1:$I$89,3,0)*VLOOKUP('Données projet'!$B$14,Paramètres!$A$1:$I$89,5,0)</f>
        <v>224.34360000000001</v>
      </c>
      <c r="DQ58" s="13">
        <f t="shared" si="43"/>
        <v>55.057868807655687</v>
      </c>
      <c r="DR58" s="20">
        <f t="shared" si="16"/>
        <v>486.62422484000035</v>
      </c>
      <c r="DS58" s="59">
        <f t="shared" si="17"/>
        <v>779.95755817333361</v>
      </c>
      <c r="DT58" s="59">
        <f ca="1">AVERAGE(OFFSET($DS$3,0,0,'Données projet'!$E$14+1,1))-AVERAGE(OFFSET($H$3,0,0,'Données projet'!$E$14+1,1))</f>
        <v>459.67331926893809</v>
      </c>
      <c r="DU58" s="59">
        <f t="shared" si="44"/>
        <v>280.33242658375497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21</v>
      </c>
      <c r="DX58" s="16">
        <f>IF(ISNA(VLOOKUP(A58,'Données projet'!$A$165:$I$185,5,0)),0%,VLOOKUP(A58,'Données projet'!$A$165:$I$185,5,0)*VLOOKUP('Données projet'!$B$14,Paramètres!$A$1:$I$89,7,0))</f>
        <v>0.129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10.053632345083141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10.053632345083141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8.1899999999999977</v>
      </c>
      <c r="EJ58" s="12">
        <f>IF('Données projet'!$A$192&gt;35,EJ57+EI58-ER57,IF(A58&lt;'Données projet'!$A$192,$EG$205^A58,IF(A58='Données projet'!$A$192,'Données projet'!$B$192,EJ57+EI58-ER57)))</f>
        <v>311.31</v>
      </c>
      <c r="EK58" s="17">
        <f>EJ58*VLOOKUP('Données projet'!$B$15,Paramètres!$A$1:$I$89,3,0)*VLOOKUP('Données projet'!$B$15,Paramètres!$A$1:$I$89,5,0)</f>
        <v>186.16338000000002</v>
      </c>
      <c r="EL58" s="13">
        <f t="shared" si="45"/>
        <v>46.69072622524174</v>
      </c>
      <c r="EM58" s="20">
        <f t="shared" si="19"/>
        <v>405.55423500896273</v>
      </c>
      <c r="EN58" s="59">
        <f t="shared" si="20"/>
        <v>698.88756834229605</v>
      </c>
      <c r="EO58" s="59">
        <f ca="1">AVERAGE(OFFSET($EN$3,0,0,'Données projet'!$E$15+1,1))-AVERAGE(OFFSET($H$3,0,0,'Données projet'!$E$15+1,1))</f>
        <v>264.08053957457469</v>
      </c>
      <c r="EP58" s="59">
        <f t="shared" si="46"/>
        <v>284.83300065761051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24.918136401860302</v>
      </c>
      <c r="EW58" s="21">
        <f>EXP(-LN(2)/25)*EW57+(1-EXP(-LN(2)/25))/(LN(2)/25)*Calculateur!ER58*Calculateur!ET58*VLOOKUP('Données projet'!$B$15,Paramètres!$A$1:$I$89,3,0)*0.475*44/12</f>
        <v>13.193700817282586</v>
      </c>
      <c r="EX58" s="21">
        <f>EXP(-LN(2)/2)*EX57+(1-EXP(-LN(2)/2))/(LN(2)/2)*ER58*EU58*VLOOKUP('Données projet'!$B$15,Paramètres!$A$1:$I$89,3,0)*0.475*44/12</f>
        <v>0.60940751097796608</v>
      </c>
      <c r="EY58" s="22">
        <f t="shared" si="21"/>
        <v>38.721244730120851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9.5</v>
      </c>
      <c r="FE58" s="12">
        <f>IF('Données projet'!$A$218&gt;35,FE57+FD58-FM57,IF(A58&lt;'Données projet'!$A$218,$FB$205^A58,IF(A58='Données projet'!$A$218,'Données projet'!$B$218,FE57+FD58-FM57)))</f>
        <v>252.5</v>
      </c>
      <c r="FF58" s="17">
        <f>FE58*VLOOKUP('Données projet'!$B$16,Paramètres!$A$1:$I$89,3,0)*VLOOKUP('Données projet'!$B$16,Paramètres!$A$1:$I$89,5,0)</f>
        <v>118.16999999999999</v>
      </c>
      <c r="FG58" s="13">
        <f t="shared" si="47"/>
        <v>31.247800856969125</v>
      </c>
      <c r="FH58" s="20">
        <f t="shared" si="22"/>
        <v>260.23600315922118</v>
      </c>
      <c r="FI58" s="59">
        <f t="shared" si="23"/>
        <v>553.5693364925545</v>
      </c>
      <c r="FJ58" s="59">
        <f ca="1">AVERAGE(OFFSET($FI$3,0,0,'Données projet'!$E$16+1,1))-AVERAGE(OFFSET($H$3,0,0,'Données projet'!$E$16+1,1))</f>
        <v>166.27444639635013</v>
      </c>
      <c r="FK58" s="59">
        <f t="shared" si="48"/>
        <v>213.60182977243113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12.904548669946818</v>
      </c>
      <c r="FR58" s="21">
        <f>EXP(-LN(2)/25)*FR57+(1-EXP(-LN(2)/25))/(LN(2)/25)*Calculateur!FM58*Calculateur!FO58*VLOOKUP('Données projet'!$B$16,Paramètres!$A$1:$I$89,3,0)*0.475*44/12</f>
        <v>14.765867322993437</v>
      </c>
      <c r="FS58" s="21">
        <f>EXP(-LN(2)/2)*FS57+(1-EXP(-LN(2)/2))/(LN(2)/2)*FM58*FP58*VLOOKUP('Données projet'!$B$16,Paramètres!$A$1:$I$89,3,0)*0.475*44/12</f>
        <v>1.2653396741702281</v>
      </c>
      <c r="FT58" s="22">
        <f t="shared" si="24"/>
        <v>28.935755667110485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235.39999999999986</v>
      </c>
      <c r="O59" s="13">
        <f>N59*VLOOKUP('Données projet'!$B$9,Paramètres!$A$1:$I$89,3,0)*VLOOKUP('Données projet'!$B$9,Paramètres!$A$1:$I$89,5,0)</f>
        <v>212.9899199999999</v>
      </c>
      <c r="P59" s="13">
        <f t="shared" si="33"/>
        <v>52.588419883221121</v>
      </c>
      <c r="Q59" s="20">
        <f t="shared" si="53"/>
        <v>462.5489419632766</v>
      </c>
      <c r="R59" s="59">
        <f t="shared" si="0"/>
        <v>755.88227529660992</v>
      </c>
      <c r="S59" s="59">
        <f ca="1">AVERAGE(OFFSET($R$3,0,0,'Données projet'!$E$9+1,1))-AVERAGE(OFFSET($H$3,0,0,'Données projet'!$E$9+1,1))</f>
        <v>458.37755197712164</v>
      </c>
      <c r="T59" s="59">
        <f t="shared" si="34"/>
        <v>278.21741231699917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10.441575001288859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10.441575001288859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235.39999999999986</v>
      </c>
      <c r="AJ59" s="13">
        <f>AI59*VLOOKUP('Données projet'!$B$10,Paramètres!$A$1:$I$89,3,0)*VLOOKUP('Données projet'!$B$10,Paramètres!$A$1:$I$89,5,0)</f>
        <v>238.69559999999987</v>
      </c>
      <c r="AK59" s="13">
        <f t="shared" si="35"/>
        <v>58.158793514165872</v>
      </c>
      <c r="AL59" s="20">
        <f t="shared" si="4"/>
        <v>517.02140203717192</v>
      </c>
      <c r="AM59" s="59">
        <f t="shared" si="5"/>
        <v>810.3547353705053</v>
      </c>
      <c r="AN59" s="59">
        <f ca="1">AVERAGE(OFFSET($AM$3,0,0,'Données projet'!$E$10+1,1))-AVERAGE(OFFSET($H$3,0,0,'Données projet'!$E$10+1,1))</f>
        <v>508.60701013958447</v>
      </c>
      <c r="AO59" s="59">
        <f t="shared" si="36"/>
        <v>306.61893266146654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11.70176508765131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11.70176508765131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7.6</v>
      </c>
      <c r="BD59" s="12">
        <f>IF('Données projet'!$A$88&gt;35,BD58+BC59-BL58,IF(A59&lt;'Données projet'!$A$88,$BA$205^A59,IF(A59='Données projet'!$A$88,'Données projet'!$B$88,BD58+BC59-BL58)))</f>
        <v>183.6</v>
      </c>
      <c r="BE59" s="13">
        <f>BD59*VLOOKUP('Données projet'!$B$11,Paramètres!$A$1:$I$89,3,0)*VLOOKUP('Données projet'!$B$11,Paramètres!$A$1:$I$89,5,0)</f>
        <v>174.71376000000001</v>
      </c>
      <c r="BF59" s="13">
        <f t="shared" si="37"/>
        <v>44.144062647515817</v>
      </c>
      <c r="BG59" s="20">
        <f t="shared" si="7"/>
        <v>381.17737444442338</v>
      </c>
      <c r="BH59" s="59">
        <f t="shared" si="8"/>
        <v>674.51070777775669</v>
      </c>
      <c r="BI59" s="59">
        <f ca="1">AVERAGE(OFFSET($BH$3,0,0,'Données projet'!$E$11+1,1))-AVERAGE(OFFSET($H$3,0,0,'Données projet'!$E$11+1,1))</f>
        <v>291.17074241052887</v>
      </c>
      <c r="BJ59" s="59">
        <f t="shared" si="38"/>
        <v>241.18285512887638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8.2362423501545745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8.2362423501545745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9.4</v>
      </c>
      <c r="BY59" s="12">
        <f>IF('Données projet'!$A$114&gt;35,BY58+BX59-CG58,IF(A59&lt;'Données projet'!$A$114,$BV$205^A59,IF(A59='Données projet'!$A$114,'Données projet'!$B$114,BY58+BX59-CG58)))</f>
        <v>235.39999999999986</v>
      </c>
      <c r="BZ59" s="13">
        <f>BY59*VLOOKUP('Données projet'!$B$12,Paramètres!$A$1:$I$89,3,0)*VLOOKUP('Données projet'!$B$12,Paramètres!$A$1:$I$89,5,0)</f>
        <v>198.30095999999989</v>
      </c>
      <c r="CA59" s="13">
        <f t="shared" si="39"/>
        <v>49.3705849564736</v>
      </c>
      <c r="CB59" s="20">
        <f t="shared" si="10"/>
        <v>431.36127413252461</v>
      </c>
      <c r="CC59" s="59">
        <f t="shared" si="11"/>
        <v>724.69460746585787</v>
      </c>
      <c r="CD59" s="59">
        <f ca="1">AVERAGE(OFFSET($CC$3,0,0,'Données projet'!$E$12+1,1))-AVERAGE(OFFSET($H$3,0,0,'Données projet'!$E$12+1,1))</f>
        <v>429.61977776013185</v>
      </c>
      <c r="CE59" s="59">
        <f t="shared" si="40"/>
        <v>261.95434270986385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9.7214663805103214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9.7214663805103214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5.2</v>
      </c>
      <c r="CT59" s="12">
        <f>IF('Données projet'!$A$140&gt;35,CT58+CS59-DB58,IF(A59&lt;'Données projet'!$A$140,$CQ$205^A59,IF(A59='Données projet'!$A$140,'Données projet'!$B$140,CT58+CS59-DB58)))</f>
        <v>224.19999999999987</v>
      </c>
      <c r="CU59" s="17">
        <f>CT59*VLOOKUP('Données projet'!$B$13,Paramètres!$A$1:$I$89,3,0)*VLOOKUP('Données projet'!$B$13,Paramètres!$A$1:$I$89,5,0)</f>
        <v>146.89583999999991</v>
      </c>
      <c r="CV59" s="13">
        <f t="shared" si="41"/>
        <v>37.872297874710249</v>
      </c>
      <c r="CW59" s="20">
        <f t="shared" si="13"/>
        <v>321.80450679845353</v>
      </c>
      <c r="CX59" s="59">
        <f t="shared" si="14"/>
        <v>615.13784013178679</v>
      </c>
      <c r="CY59" s="59">
        <f ca="1">AVERAGE(OFFSET($CX$3,0,0,'Données projet'!$E$13+1,1))-AVERAGE(OFFSET($H$3,0,0,'Données projet'!$E$13+1,1))</f>
        <v>255.09913504736693</v>
      </c>
      <c r="CZ59" s="59">
        <f t="shared" si="42"/>
        <v>248.42617382406644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7.0725811790129525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7.0725811790129525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7.6</v>
      </c>
      <c r="DO59" s="12">
        <f>IF('Données projet'!$A$166&gt;35,DO58+DN59-DW58,IF(A59&lt;'Données projet'!$A$166,$DL$205^A59,IF(A59='Données projet'!$A$166,'Données projet'!$B$166,DO58+DN59-DW58)))</f>
        <v>183.6</v>
      </c>
      <c r="DP59" s="17">
        <f>DO59*VLOOKUP('Données projet'!$B$14,Paramètres!$A$1:$I$89,3,0)*VLOOKUP('Données projet'!$B$14,Paramètres!$A$1:$I$89,5,0)</f>
        <v>209.08367999999999</v>
      </c>
      <c r="DQ59" s="13">
        <f t="shared" si="43"/>
        <v>51.735295790267372</v>
      </c>
      <c r="DR59" s="20">
        <f t="shared" si="16"/>
        <v>454.25971616804895</v>
      </c>
      <c r="DS59" s="59">
        <f t="shared" si="17"/>
        <v>747.59304950138221</v>
      </c>
      <c r="DT59" s="59">
        <f ca="1">AVERAGE(OFFSET($DS$3,0,0,'Données projet'!$E$14+1,1))-AVERAGE(OFFSET($H$3,0,0,'Données projet'!$E$14+1,1))</f>
        <v>459.67331926893809</v>
      </c>
      <c r="DU59" s="59">
        <f t="shared" si="44"/>
        <v>280.33242658375497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9.8564867469062953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9.8564867469062953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8.1899999999999977</v>
      </c>
      <c r="EJ59" s="12">
        <f>IF('Données projet'!$A$192&gt;35,EJ58+EI59-ER58,IF(A59&lt;'Données projet'!$A$192,$EG$205^A59,IF(A59='Données projet'!$A$192,'Données projet'!$B$192,EJ58+EI59-ER58)))</f>
        <v>319.5</v>
      </c>
      <c r="EK59" s="17">
        <f>EJ59*VLOOKUP('Données projet'!$B$15,Paramètres!$A$1:$I$89,3,0)*VLOOKUP('Données projet'!$B$15,Paramètres!$A$1:$I$89,5,0)</f>
        <v>191.06100000000001</v>
      </c>
      <c r="EL59" s="13">
        <f t="shared" si="45"/>
        <v>47.774448808722205</v>
      </c>
      <c r="EM59" s="20">
        <f t="shared" si="19"/>
        <v>415.97174000852448</v>
      </c>
      <c r="EN59" s="59">
        <f t="shared" si="20"/>
        <v>709.30507334185779</v>
      </c>
      <c r="EO59" s="59">
        <f ca="1">AVERAGE(OFFSET($EN$3,0,0,'Données projet'!$E$15+1,1))-AVERAGE(OFFSET($H$3,0,0,'Données projet'!$E$15+1,1))</f>
        <v>264.08053957457469</v>
      </c>
      <c r="EP59" s="59">
        <f t="shared" si="46"/>
        <v>284.83300065761051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24.429506945582293</v>
      </c>
      <c r="EW59" s="21">
        <f>EXP(-LN(2)/25)*EW58+(1-EXP(-LN(2)/25))/(LN(2)/25)*Calculateur!ER59*Calculateur!ET59*VLOOKUP('Données projet'!$B$15,Paramètres!$A$1:$I$89,3,0)*0.475*44/12</f>
        <v>12.832918374607422</v>
      </c>
      <c r="EX59" s="21">
        <f>EXP(-LN(2)/2)*EX58+(1-EXP(-LN(2)/2))/(LN(2)/2)*ER59*EU59*VLOOKUP('Données projet'!$B$15,Paramètres!$A$1:$I$89,3,0)*0.475*44/12</f>
        <v>0.43091618351853522</v>
      </c>
      <c r="EY59" s="22">
        <f t="shared" si="21"/>
        <v>37.693341503708247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9.5</v>
      </c>
      <c r="FE59" s="12">
        <f>IF('Données projet'!$A$218&gt;35,FE58+FD59-FM58,IF(A59&lt;'Données projet'!$A$218,$FB$205^A59,IF(A59='Données projet'!$A$218,'Données projet'!$B$218,FE58+FD59-FM58)))</f>
        <v>262</v>
      </c>
      <c r="FF59" s="17">
        <f>FE59*VLOOKUP('Données projet'!$B$16,Paramètres!$A$1:$I$89,3,0)*VLOOKUP('Données projet'!$B$16,Paramètres!$A$1:$I$89,5,0)</f>
        <v>122.616</v>
      </c>
      <c r="FG59" s="13">
        <f t="shared" si="47"/>
        <v>32.284370423104164</v>
      </c>
      <c r="FH59" s="20">
        <f t="shared" si="22"/>
        <v>269.78481182023978</v>
      </c>
      <c r="FI59" s="59">
        <f t="shared" si="23"/>
        <v>563.1181451535731</v>
      </c>
      <c r="FJ59" s="59">
        <f ca="1">AVERAGE(OFFSET($FI$3,0,0,'Données projet'!$E$16+1,1))-AVERAGE(OFFSET($H$3,0,0,'Données projet'!$E$16+1,1))</f>
        <v>166.27444639635013</v>
      </c>
      <c r="FK59" s="59">
        <f t="shared" si="48"/>
        <v>213.60182977243113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12.651498341526652</v>
      </c>
      <c r="FR59" s="21">
        <f>EXP(-LN(2)/25)*FR58+(1-EXP(-LN(2)/25))/(LN(2)/25)*Calculateur!FM59*Calculateur!FO59*VLOOKUP('Données projet'!$B$16,Paramètres!$A$1:$I$89,3,0)*0.475*44/12</f>
        <v>14.362093904542967</v>
      </c>
      <c r="FS59" s="21">
        <f>EXP(-LN(2)/2)*FS58+(1-EXP(-LN(2)/2))/(LN(2)/2)*FM59*FP59*VLOOKUP('Données projet'!$B$16,Paramètres!$A$1:$I$89,3,0)*0.475*44/12</f>
        <v>0.89473026411014489</v>
      </c>
      <c r="FT59" s="22">
        <f t="shared" si="24"/>
        <v>27.908322510179765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244.79999999999987</v>
      </c>
      <c r="O60" s="13">
        <f>N60*VLOOKUP('Données projet'!$B$9,Paramètres!$A$1:$I$89,3,0)*VLOOKUP('Données projet'!$B$9,Paramètres!$A$1:$I$89,5,0)</f>
        <v>221.49503999999988</v>
      </c>
      <c r="P60" s="13">
        <f t="shared" si="33"/>
        <v>54.439697086174412</v>
      </c>
      <c r="Q60" s="20">
        <f t="shared" si="53"/>
        <v>480.58633375842015</v>
      </c>
      <c r="R60" s="59">
        <f t="shared" si="0"/>
        <v>773.91966709175347</v>
      </c>
      <c r="S60" s="59">
        <f ca="1">AVERAGE(OFFSET($R$3,0,0,'Données projet'!$E$9+1,1))-AVERAGE(OFFSET($H$3,0,0,'Données projet'!$E$9+1,1))</f>
        <v>458.37755197712164</v>
      </c>
      <c r="T60" s="59">
        <f t="shared" si="34"/>
        <v>278.21741231699917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10.236822084245475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10.236822084245475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244.79999999999987</v>
      </c>
      <c r="AJ60" s="13">
        <f>AI60*VLOOKUP('Données projet'!$B$10,Paramètres!$A$1:$I$89,3,0)*VLOOKUP('Données projet'!$B$10,Paramètres!$A$1:$I$89,5,0)</f>
        <v>248.22719999999987</v>
      </c>
      <c r="AK60" s="13">
        <f t="shared" si="35"/>
        <v>60.20616532763993</v>
      </c>
      <c r="AL60" s="20">
        <f t="shared" si="4"/>
        <v>537.18811127897254</v>
      </c>
      <c r="AM60" s="59">
        <f t="shared" si="5"/>
        <v>830.52144461230591</v>
      </c>
      <c r="AN60" s="59">
        <f ca="1">AVERAGE(OFFSET($AM$3,0,0,'Données projet'!$E$10+1,1))-AVERAGE(OFFSET($H$3,0,0,'Données projet'!$E$10+1,1))</f>
        <v>508.60701013958447</v>
      </c>
      <c r="AO60" s="59">
        <f t="shared" si="36"/>
        <v>306.61893266146654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11.472300611654415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11.472300611654415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7.6</v>
      </c>
      <c r="BD60" s="12">
        <f>IF('Données projet'!$A$88&gt;35,BD59+BC60-BL59,IF(A60&lt;'Données projet'!$A$88,$BA$205^A60,IF(A60='Données projet'!$A$88,'Données projet'!$B$88,BD59+BC60-BL59)))</f>
        <v>191.2</v>
      </c>
      <c r="BE60" s="13">
        <f>BD60*VLOOKUP('Données projet'!$B$11,Paramètres!$A$1:$I$89,3,0)*VLOOKUP('Données projet'!$B$11,Paramètres!$A$1:$I$89,5,0)</f>
        <v>181.94592</v>
      </c>
      <c r="BF60" s="13">
        <f t="shared" si="37"/>
        <v>45.754846212632849</v>
      </c>
      <c r="BG60" s="20">
        <f t="shared" si="7"/>
        <v>396.57883448700221</v>
      </c>
      <c r="BH60" s="59">
        <f t="shared" si="8"/>
        <v>689.91216782033553</v>
      </c>
      <c r="BI60" s="59">
        <f ca="1">AVERAGE(OFFSET($BH$3,0,0,'Données projet'!$E$11+1,1))-AVERAGE(OFFSET($H$3,0,0,'Données projet'!$E$11+1,1))</f>
        <v>291.17074241052887</v>
      </c>
      <c r="BJ60" s="59">
        <f t="shared" si="38"/>
        <v>241.18285512887638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8.0747346612798356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8.0747346612798356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9.4</v>
      </c>
      <c r="BY60" s="12">
        <f>IF('Données projet'!$A$114&gt;35,BY59+BX60-CG59,IF(A60&lt;'Données projet'!$A$114,$BV$205^A60,IF(A60='Données projet'!$A$114,'Données projet'!$B$114,BY59+BX60-CG59)))</f>
        <v>244.79999999999987</v>
      </c>
      <c r="BZ60" s="13">
        <f>BY60*VLOOKUP('Données projet'!$B$12,Paramètres!$A$1:$I$89,3,0)*VLOOKUP('Données projet'!$B$12,Paramètres!$A$1:$I$89,5,0)</f>
        <v>206.21951999999993</v>
      </c>
      <c r="CA60" s="13">
        <f t="shared" si="39"/>
        <v>51.10858428464028</v>
      </c>
      <c r="CB60" s="20">
        <f t="shared" si="10"/>
        <v>448.17978162908167</v>
      </c>
      <c r="CC60" s="59">
        <f t="shared" si="11"/>
        <v>741.51311496241499</v>
      </c>
      <c r="CD60" s="59">
        <f ca="1">AVERAGE(OFFSET($CC$3,0,0,'Données projet'!$E$12+1,1))-AVERAGE(OFFSET($H$3,0,0,'Données projet'!$E$12+1,1))</f>
        <v>429.61977776013185</v>
      </c>
      <c r="CE60" s="59">
        <f t="shared" si="40"/>
        <v>261.95434270986385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9.5308343542975162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9.5308343542975162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5.2</v>
      </c>
      <c r="CT60" s="12">
        <f>IF('Données projet'!$A$140&gt;35,CT59+CS60-DB59,IF(A60&lt;'Données projet'!$A$140,$CQ$205^A60,IF(A60='Données projet'!$A$140,'Données projet'!$B$140,CT59+CS60-DB59)))</f>
        <v>229.39999999999986</v>
      </c>
      <c r="CU60" s="17">
        <f>CT60*VLOOKUP('Données projet'!$B$13,Paramètres!$A$1:$I$89,3,0)*VLOOKUP('Données projet'!$B$13,Paramètres!$A$1:$I$89,5,0)</f>
        <v>150.3028799999999</v>
      </c>
      <c r="CV60" s="13">
        <f t="shared" si="41"/>
        <v>38.647408104976812</v>
      </c>
      <c r="CW60" s="20">
        <f t="shared" si="13"/>
        <v>329.08841844950109</v>
      </c>
      <c r="CX60" s="59">
        <f t="shared" si="14"/>
        <v>622.42175178283446</v>
      </c>
      <c r="CY60" s="59">
        <f ca="1">AVERAGE(OFFSET($CX$3,0,0,'Données projet'!$E$13+1,1))-AVERAGE(OFFSET($H$3,0,0,'Données projet'!$E$13+1,1))</f>
        <v>255.09913504736693</v>
      </c>
      <c r="CZ60" s="59">
        <f t="shared" si="42"/>
        <v>248.42617382406644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6.9338921759410708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6.9338921759410708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7.6</v>
      </c>
      <c r="DO60" s="12">
        <f>IF('Données projet'!$A$166&gt;35,DO59+DN60-DW59,IF(A60&lt;'Données projet'!$A$166,$DL$205^A60,IF(A60='Données projet'!$A$166,'Données projet'!$B$166,DO59+DN60-DW59)))</f>
        <v>191.2</v>
      </c>
      <c r="DP60" s="17">
        <f>DO60*VLOOKUP('Données projet'!$B$14,Paramètres!$A$1:$I$89,3,0)*VLOOKUP('Données projet'!$B$14,Paramètres!$A$1:$I$89,5,0)</f>
        <v>217.73856000000001</v>
      </c>
      <c r="DQ60" s="13">
        <f t="shared" si="43"/>
        <v>53.623077729615503</v>
      </c>
      <c r="DR60" s="20">
        <f t="shared" si="16"/>
        <v>472.62151904574694</v>
      </c>
      <c r="DS60" s="59">
        <f t="shared" si="17"/>
        <v>765.95485237908019</v>
      </c>
      <c r="DT60" s="59">
        <f ca="1">AVERAGE(OFFSET($DS$3,0,0,'Données projet'!$E$14+1,1))-AVERAGE(OFFSET($H$3,0,0,'Données projet'!$E$14+1,1))</f>
        <v>459.67331926893809</v>
      </c>
      <c r="DU60" s="59">
        <f t="shared" si="44"/>
        <v>280.33242658375497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9.6632070536627559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9.6632070536627559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8.1899999999999977</v>
      </c>
      <c r="EJ60" s="12">
        <f>IF('Données projet'!$A$192&gt;35,EJ59+EI60-ER59,IF(A60&lt;'Données projet'!$A$192,$EG$205^A60,IF(A60='Données projet'!$A$192,'Données projet'!$B$192,EJ59+EI60-ER59)))</f>
        <v>327.69</v>
      </c>
      <c r="EK60" s="17">
        <f>EJ60*VLOOKUP('Données projet'!$B$15,Paramètres!$A$1:$I$89,3,0)*VLOOKUP('Données projet'!$B$15,Paramètres!$A$1:$I$89,5,0)</f>
        <v>195.95862000000002</v>
      </c>
      <c r="EL60" s="13">
        <f t="shared" si="45"/>
        <v>48.854942253857686</v>
      </c>
      <c r="EM60" s="20">
        <f t="shared" si="19"/>
        <v>426.38362092546873</v>
      </c>
      <c r="EN60" s="59">
        <f t="shared" si="20"/>
        <v>719.71695425880205</v>
      </c>
      <c r="EO60" s="59">
        <f ca="1">AVERAGE(OFFSET($EN$3,0,0,'Données projet'!$E$15+1,1))-AVERAGE(OFFSET($H$3,0,0,'Données projet'!$E$15+1,1))</f>
        <v>264.08053957457469</v>
      </c>
      <c r="EP60" s="59">
        <f t="shared" si="46"/>
        <v>284.83300065761051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23.950459214907358</v>
      </c>
      <c r="EW60" s="21">
        <f>EXP(-LN(2)/25)*EW59+(1-EXP(-LN(2)/25))/(LN(2)/25)*Calculateur!ER60*Calculateur!ET60*VLOOKUP('Données projet'!$B$15,Paramètres!$A$1:$I$89,3,0)*0.475*44/12</f>
        <v>12.482001546799934</v>
      </c>
      <c r="EX60" s="21">
        <f>EXP(-LN(2)/2)*EX59+(1-EXP(-LN(2)/2))/(LN(2)/2)*ER60*EU60*VLOOKUP('Données projet'!$B$15,Paramètres!$A$1:$I$89,3,0)*0.475*44/12</f>
        <v>0.30470375548898304</v>
      </c>
      <c r="EY60" s="22">
        <f t="shared" si="21"/>
        <v>36.73716451719627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9.5</v>
      </c>
      <c r="FE60" s="12">
        <f>IF('Données projet'!$A$218&gt;35,FE59+FD60-FM59,IF(A60&lt;'Données projet'!$A$218,$FB$205^A60,IF(A60='Données projet'!$A$218,'Données projet'!$B$218,FE59+FD60-FM59)))</f>
        <v>271.5</v>
      </c>
      <c r="FF60" s="17">
        <f>FE60*VLOOKUP('Données projet'!$B$16,Paramètres!$A$1:$I$89,3,0)*VLOOKUP('Données projet'!$B$16,Paramètres!$A$1:$I$89,5,0)</f>
        <v>127.062</v>
      </c>
      <c r="FG60" s="13">
        <f t="shared" si="47"/>
        <v>33.316573241426198</v>
      </c>
      <c r="FH60" s="20">
        <f t="shared" si="22"/>
        <v>279.32601506215059</v>
      </c>
      <c r="FI60" s="59">
        <f t="shared" si="23"/>
        <v>572.6593483954839</v>
      </c>
      <c r="FJ60" s="59">
        <f ca="1">AVERAGE(OFFSET($FI$3,0,0,'Données projet'!$E$16+1,1))-AVERAGE(OFFSET($H$3,0,0,'Données projet'!$E$16+1,1))</f>
        <v>166.27444639635013</v>
      </c>
      <c r="FK60" s="59">
        <f t="shared" si="48"/>
        <v>213.60182977243113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12.403410175701348</v>
      </c>
      <c r="FR60" s="21">
        <f>EXP(-LN(2)/25)*FR59+(1-EXP(-LN(2)/25))/(LN(2)/25)*Calculateur!FM60*Calculateur!FO60*VLOOKUP('Données projet'!$B$16,Paramètres!$A$1:$I$89,3,0)*0.475*44/12</f>
        <v>13.969361691453546</v>
      </c>
      <c r="FS60" s="21">
        <f>EXP(-LN(2)/2)*FS59+(1-EXP(-LN(2)/2))/(LN(2)/2)*FM60*FP60*VLOOKUP('Données projet'!$B$16,Paramètres!$A$1:$I$89,3,0)*0.475*44/12</f>
        <v>0.63266983708511415</v>
      </c>
      <c r="FT60" s="22">
        <f t="shared" si="24"/>
        <v>27.00544170424001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254.19999999999987</v>
      </c>
      <c r="O61" s="13">
        <f>N61*VLOOKUP('Données projet'!$B$9,Paramètres!$A$1:$I$89,3,0)*VLOOKUP('Données projet'!$B$9,Paramètres!$A$1:$I$89,5,0)</f>
        <v>230.00015999999988</v>
      </c>
      <c r="P61" s="13">
        <f t="shared" si="33"/>
        <v>56.282716126880423</v>
      </c>
      <c r="Q61" s="20">
        <f t="shared" si="53"/>
        <v>498.60934258764979</v>
      </c>
      <c r="R61" s="59">
        <f t="shared" si="0"/>
        <v>791.94267592098311</v>
      </c>
      <c r="S61" s="59">
        <f ca="1">AVERAGE(OFFSET($R$3,0,0,'Données projet'!$E$9+1,1))-AVERAGE(OFFSET($H$3,0,0,'Données projet'!$E$9+1,1))</f>
        <v>458.37755197712164</v>
      </c>
      <c r="T61" s="59">
        <f t="shared" si="34"/>
        <v>278.21741231699917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10.036084247018364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10.036084247018364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254.19999999999987</v>
      </c>
      <c r="AJ61" s="13">
        <f>AI61*VLOOKUP('Données projet'!$B$10,Paramètres!$A$1:$I$89,3,0)*VLOOKUP('Données projet'!$B$10,Paramètres!$A$1:$I$89,5,0)</f>
        <v>257.75879999999989</v>
      </c>
      <c r="AK61" s="13">
        <f t="shared" si="35"/>
        <v>62.244404241627407</v>
      </c>
      <c r="AL61" s="20">
        <f t="shared" si="4"/>
        <v>557.3389140541675</v>
      </c>
      <c r="AM61" s="59">
        <f t="shared" si="5"/>
        <v>850.67224738750087</v>
      </c>
      <c r="AN61" s="59">
        <f ca="1">AVERAGE(OFFSET($AM$3,0,0,'Données projet'!$E$10+1,1))-AVERAGE(OFFSET($H$3,0,0,'Données projet'!$E$10+1,1))</f>
        <v>508.60701013958447</v>
      </c>
      <c r="AO61" s="59">
        <f t="shared" si="36"/>
        <v>306.61893266146654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11.247335794072308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11.247335794072308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7.6</v>
      </c>
      <c r="BD61" s="12">
        <f>IF('Données projet'!$A$88&gt;35,BD60+BC61-BL60,IF(A61&lt;'Données projet'!$A$88,$BA$205^A61,IF(A61='Données projet'!$A$88,'Données projet'!$B$88,BD60+BC61-BL60)))</f>
        <v>198.79999999999998</v>
      </c>
      <c r="BE61" s="13">
        <f>BD61*VLOOKUP('Données projet'!$B$11,Paramètres!$A$1:$I$89,3,0)*VLOOKUP('Données projet'!$B$11,Paramètres!$A$1:$I$89,5,0)</f>
        <v>189.17807999999999</v>
      </c>
      <c r="BF61" s="13">
        <f t="shared" si="37"/>
        <v>47.358192185392497</v>
      </c>
      <c r="BG61" s="20">
        <f t="shared" si="7"/>
        <v>411.96734072289183</v>
      </c>
      <c r="BH61" s="59">
        <f t="shared" si="8"/>
        <v>705.30067405622515</v>
      </c>
      <c r="BI61" s="59">
        <f ca="1">AVERAGE(OFFSET($BH$3,0,0,'Données projet'!$E$11+1,1))-AVERAGE(OFFSET($H$3,0,0,'Données projet'!$E$11+1,1))</f>
        <v>291.17074241052887</v>
      </c>
      <c r="BJ61" s="59">
        <f t="shared" si="38"/>
        <v>241.18285512887638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7.9163940396739676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7.9163940396739676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9.4</v>
      </c>
      <c r="BY61" s="12">
        <f>IF('Données projet'!$A$114&gt;35,BY60+BX61-CG60,IF(A61&lt;'Données projet'!$A$114,$BV$205^A61,IF(A61='Données projet'!$A$114,'Données projet'!$B$114,BY60+BX61-CG60)))</f>
        <v>254.19999999999987</v>
      </c>
      <c r="BZ61" s="13">
        <f>BY61*VLOOKUP('Données projet'!$B$12,Paramètres!$A$1:$I$89,3,0)*VLOOKUP('Données projet'!$B$12,Paramètres!$A$1:$I$89,5,0)</f>
        <v>214.13807999999992</v>
      </c>
      <c r="CA61" s="13">
        <f t="shared" si="39"/>
        <v>52.838830759579643</v>
      </c>
      <c r="CB61" s="20">
        <f t="shared" si="10"/>
        <v>464.98478623960096</v>
      </c>
      <c r="CC61" s="59">
        <f t="shared" si="11"/>
        <v>758.31811957293428</v>
      </c>
      <c r="CD61" s="59">
        <f ca="1">AVERAGE(OFFSET($CC$3,0,0,'Données projet'!$E$12+1,1))-AVERAGE(OFFSET($H$3,0,0,'Données projet'!$E$12+1,1))</f>
        <v>429.61977776013185</v>
      </c>
      <c r="CE61" s="59">
        <f t="shared" si="40"/>
        <v>261.95434270986385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9.3439405058446887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9.3439405058446887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5.2</v>
      </c>
      <c r="CT61" s="12">
        <f>IF('Données projet'!$A$140&gt;35,CT60+CS61-DB60,IF(A61&lt;'Données projet'!$A$140,$CQ$205^A61,IF(A61='Données projet'!$A$140,'Données projet'!$B$140,CT60+CS61-DB60)))</f>
        <v>234.59999999999985</v>
      </c>
      <c r="CU61" s="17">
        <f>CT61*VLOOKUP('Données projet'!$B$13,Paramètres!$A$1:$I$89,3,0)*VLOOKUP('Données projet'!$B$13,Paramètres!$A$1:$I$89,5,0)</f>
        <v>153.7099199999999</v>
      </c>
      <c r="CV61" s="13">
        <f t="shared" si="41"/>
        <v>39.420475690379796</v>
      </c>
      <c r="CW61" s="20">
        <f t="shared" si="13"/>
        <v>336.36877249407797</v>
      </c>
      <c r="CX61" s="59">
        <f t="shared" si="14"/>
        <v>629.70210582741129</v>
      </c>
      <c r="CY61" s="59">
        <f ca="1">AVERAGE(OFFSET($CX$3,0,0,'Données projet'!$E$13+1,1))-AVERAGE(OFFSET($H$3,0,0,'Données projet'!$E$13+1,1))</f>
        <v>255.09913504736693</v>
      </c>
      <c r="CZ61" s="59">
        <f t="shared" si="42"/>
        <v>248.42617382406644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6.7979227796274895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6.7979227796274895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7.6</v>
      </c>
      <c r="DO61" s="12">
        <f>IF('Données projet'!$A$166&gt;35,DO60+DN61-DW60,IF(A61&lt;'Données projet'!$A$166,$DL$205^A61,IF(A61='Données projet'!$A$166,'Données projet'!$B$166,DO60+DN61-DW60)))</f>
        <v>198.79999999999998</v>
      </c>
      <c r="DP61" s="17">
        <f>DO61*VLOOKUP('Données projet'!$B$14,Paramètres!$A$1:$I$89,3,0)*VLOOKUP('Données projet'!$B$14,Paramètres!$A$1:$I$89,5,0)</f>
        <v>226.39344</v>
      </c>
      <c r="DQ61" s="13">
        <f t="shared" si="43"/>
        <v>55.502143071135905</v>
      </c>
      <c r="DR61" s="20">
        <f t="shared" si="16"/>
        <v>490.96814051556157</v>
      </c>
      <c r="DS61" s="59">
        <f t="shared" si="17"/>
        <v>784.30147384889483</v>
      </c>
      <c r="DT61" s="59">
        <f ca="1">AVERAGE(OFFSET($DS$3,0,0,'Données projet'!$E$14+1,1))-AVERAGE(OFFSET($H$3,0,0,'Données projet'!$E$14+1,1))</f>
        <v>459.67331926893809</v>
      </c>
      <c r="DU61" s="59">
        <f t="shared" si="44"/>
        <v>280.33242658375497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9.4737174573147502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9.4737174573147502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8.1899999999999977</v>
      </c>
      <c r="EJ61" s="12">
        <f>IF('Données projet'!$A$192&gt;35,EJ60+EI61-ER60,IF(A61&lt;'Données projet'!$A$192,$EG$205^A61,IF(A61='Données projet'!$A$192,'Données projet'!$B$192,EJ60+EI61-ER60)))</f>
        <v>335.88</v>
      </c>
      <c r="EK61" s="17">
        <f>EJ61*VLOOKUP('Données projet'!$B$15,Paramètres!$A$1:$I$89,3,0)*VLOOKUP('Données projet'!$B$15,Paramètres!$A$1:$I$89,5,0)</f>
        <v>200.85624000000004</v>
      </c>
      <c r="EL61" s="13">
        <f t="shared" si="45"/>
        <v>49.932296549166296</v>
      </c>
      <c r="EM61" s="20">
        <f t="shared" si="19"/>
        <v>436.79003448979802</v>
      </c>
      <c r="EN61" s="59">
        <f t="shared" si="20"/>
        <v>730.12336782313128</v>
      </c>
      <c r="EO61" s="59">
        <f ca="1">AVERAGE(OFFSET($EN$3,0,0,'Données projet'!$E$15+1,1))-AVERAGE(OFFSET($H$3,0,0,'Données projet'!$E$15+1,1))</f>
        <v>264.08053957457469</v>
      </c>
      <c r="EP61" s="59">
        <f t="shared" si="46"/>
        <v>284.83300065761051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23.480805318040691</v>
      </c>
      <c r="EW61" s="21">
        <f>EXP(-LN(2)/25)*EW60+(1-EXP(-LN(2)/25))/(LN(2)/25)*Calculateur!ER61*Calculateur!ET61*VLOOKUP('Données projet'!$B$15,Paramètres!$A$1:$I$89,3,0)*0.475*44/12</f>
        <v>12.140680558102757</v>
      </c>
      <c r="EX61" s="21">
        <f>EXP(-LN(2)/2)*EX60+(1-EXP(-LN(2)/2))/(LN(2)/2)*ER61*EU61*VLOOKUP('Données projet'!$B$15,Paramètres!$A$1:$I$89,3,0)*0.475*44/12</f>
        <v>0.21545809175926761</v>
      </c>
      <c r="EY61" s="22">
        <f t="shared" si="21"/>
        <v>35.836943967902712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9.5</v>
      </c>
      <c r="FE61" s="12">
        <f>IF('Données projet'!$A$218&gt;35,FE60+FD61-FM60,IF(A61&lt;'Données projet'!$A$218,$FB$205^A61,IF(A61='Données projet'!$A$218,'Données projet'!$B$218,FE60+FD61-FM60)))</f>
        <v>281</v>
      </c>
      <c r="FF61" s="17">
        <f>FE61*VLOOKUP('Données projet'!$B$16,Paramètres!$A$1:$I$89,3,0)*VLOOKUP('Données projet'!$B$16,Paramètres!$A$1:$I$89,5,0)</f>
        <v>131.50800000000001</v>
      </c>
      <c r="FG61" s="13">
        <f t="shared" si="47"/>
        <v>34.344579617082509</v>
      </c>
      <c r="FH61" s="20">
        <f t="shared" si="22"/>
        <v>288.85990949975201</v>
      </c>
      <c r="FI61" s="59">
        <f t="shared" si="23"/>
        <v>582.19324283308538</v>
      </c>
      <c r="FJ61" s="59">
        <f ca="1">AVERAGE(OFFSET($FI$3,0,0,'Données projet'!$E$16+1,1))-AVERAGE(OFFSET($H$3,0,0,'Données projet'!$E$16+1,1))</f>
        <v>166.27444639635013</v>
      </c>
      <c r="FK61" s="59">
        <f t="shared" si="48"/>
        <v>213.60182977243113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12.160186867489037</v>
      </c>
      <c r="FR61" s="21">
        <f>EXP(-LN(2)/25)*FR60+(1-EXP(-LN(2)/25))/(LN(2)/25)*Calculateur!FM61*Calculateur!FO61*VLOOKUP('Données projet'!$B$16,Paramètres!$A$1:$I$89,3,0)*0.475*44/12</f>
        <v>13.587368761383946</v>
      </c>
      <c r="FS61" s="21">
        <f>EXP(-LN(2)/2)*FS60+(1-EXP(-LN(2)/2))/(LN(2)/2)*FM61*FP61*VLOOKUP('Données projet'!$B$16,Paramètres!$A$1:$I$89,3,0)*0.475*44/12</f>
        <v>0.4473651320550725</v>
      </c>
      <c r="FT61" s="22">
        <f t="shared" si="24"/>
        <v>26.194920760928053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263.59999999999985</v>
      </c>
      <c r="O62" s="13">
        <f>N62*VLOOKUP('Données projet'!$B$9,Paramètres!$A$1:$I$89,3,0)*VLOOKUP('Données projet'!$B$9,Paramètres!$A$1:$I$89,5,0)</f>
        <v>238.50527999999983</v>
      </c>
      <c r="P62" s="13">
        <f t="shared" si="33"/>
        <v>58.117817352909832</v>
      </c>
      <c r="Q62" s="20">
        <f t="shared" si="53"/>
        <v>516.61856122298423</v>
      </c>
      <c r="R62" s="59">
        <f t="shared" si="0"/>
        <v>809.95189455631748</v>
      </c>
      <c r="S62" s="59">
        <f ca="1">AVERAGE(OFFSET($R$3,0,0,'Données projet'!$E$9+1,1))-AVERAGE(OFFSET($H$3,0,0,'Données projet'!$E$9+1,1))</f>
        <v>458.37755197712164</v>
      </c>
      <c r="T62" s="59">
        <f t="shared" si="34"/>
        <v>278.21741231699917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9.8392827563412855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9.8392827563412855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263.59999999999985</v>
      </c>
      <c r="AJ62" s="13">
        <f>AI62*VLOOKUP('Données projet'!$B$10,Paramètres!$A$1:$I$89,3,0)*VLOOKUP('Données projet'!$B$10,Paramètres!$A$1:$I$89,5,0)</f>
        <v>267.29039999999986</v>
      </c>
      <c r="AK62" s="13">
        <f t="shared" si="35"/>
        <v>64.273886654661325</v>
      </c>
      <c r="AL62" s="20">
        <f t="shared" si="4"/>
        <v>577.47446592353492</v>
      </c>
      <c r="AM62" s="59">
        <f t="shared" si="5"/>
        <v>870.80779925686829</v>
      </c>
      <c r="AN62" s="59">
        <f ca="1">AVERAGE(OFFSET($AM$3,0,0,'Données projet'!$E$10+1,1))-AVERAGE(OFFSET($H$3,0,0,'Données projet'!$E$10+1,1))</f>
        <v>508.60701013958447</v>
      </c>
      <c r="AO62" s="59">
        <f t="shared" si="36"/>
        <v>306.61893266146654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11.026782399347995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11.026782399347995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7.6</v>
      </c>
      <c r="BD62" s="12">
        <f>IF('Données projet'!$A$88&gt;35,BD61+BC62-BL61,IF(A62&lt;'Données projet'!$A$88,$BA$205^A62,IF(A62='Données projet'!$A$88,'Données projet'!$B$88,BD61+BC62-BL61)))</f>
        <v>206.39999999999998</v>
      </c>
      <c r="BE62" s="13">
        <f>BD62*VLOOKUP('Données projet'!$B$11,Paramètres!$A$1:$I$89,3,0)*VLOOKUP('Données projet'!$B$11,Paramètres!$A$1:$I$89,5,0)</f>
        <v>196.41023999999999</v>
      </c>
      <c r="BF62" s="13">
        <f t="shared" si="37"/>
        <v>48.954417448783772</v>
      </c>
      <c r="BG62" s="20">
        <f t="shared" si="7"/>
        <v>427.34344505663171</v>
      </c>
      <c r="BH62" s="59">
        <f t="shared" si="8"/>
        <v>720.67677838996497</v>
      </c>
      <c r="BI62" s="59">
        <f ca="1">AVERAGE(OFFSET($BH$3,0,0,'Données projet'!$E$11+1,1))-AVERAGE(OFFSET($H$3,0,0,'Données projet'!$E$11+1,1))</f>
        <v>291.17074241052887</v>
      </c>
      <c r="BJ62" s="59">
        <f t="shared" si="38"/>
        <v>241.18285512887638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7.7611583810795484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7.7611583810795484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9.4</v>
      </c>
      <c r="BY62" s="12">
        <f>IF('Données projet'!$A$114&gt;35,BY61+BX62-CG61,IF(A62&lt;'Données projet'!$A$114,$BV$205^A62,IF(A62='Données projet'!$A$114,'Données projet'!$B$114,BY61+BX62-CG61)))</f>
        <v>263.59999999999985</v>
      </c>
      <c r="BZ62" s="13">
        <f>BY62*VLOOKUP('Données projet'!$B$12,Paramètres!$A$1:$I$89,3,0)*VLOOKUP('Données projet'!$B$12,Paramètres!$A$1:$I$89,5,0)</f>
        <v>222.0566399999999</v>
      </c>
      <c r="CA62" s="13">
        <f t="shared" si="39"/>
        <v>54.561643903321261</v>
      </c>
      <c r="CB62" s="20">
        <f t="shared" si="10"/>
        <v>481.77684446495101</v>
      </c>
      <c r="CC62" s="59">
        <f t="shared" si="11"/>
        <v>775.11017779828433</v>
      </c>
      <c r="CD62" s="59">
        <f ca="1">AVERAGE(OFFSET($CC$3,0,0,'Données projet'!$E$12+1,1))-AVERAGE(OFFSET($H$3,0,0,'Données projet'!$E$12+1,1))</f>
        <v>429.61977776013185</v>
      </c>
      <c r="CE62" s="59">
        <f t="shared" si="40"/>
        <v>261.95434270986385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9.1607115317660295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9.1607115317660295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5.2</v>
      </c>
      <c r="CT62" s="12">
        <f>IF('Données projet'!$A$140&gt;35,CT61+CS62-DB61,IF(A62&lt;'Données projet'!$A$140,$CQ$205^A62,IF(A62='Données projet'!$A$140,'Données projet'!$B$140,CT61+CS62-DB61)))</f>
        <v>239.79999999999984</v>
      </c>
      <c r="CU62" s="17">
        <f>CT62*VLOOKUP('Données projet'!$B$13,Paramètres!$A$1:$I$89,3,0)*VLOOKUP('Données projet'!$B$13,Paramètres!$A$1:$I$89,5,0)</f>
        <v>157.11695999999989</v>
      </c>
      <c r="CV62" s="13">
        <f t="shared" si="41"/>
        <v>40.191551120265821</v>
      </c>
      <c r="CW62" s="20">
        <f t="shared" si="13"/>
        <v>343.64565686779611</v>
      </c>
      <c r="CX62" s="59">
        <f t="shared" si="14"/>
        <v>636.97899020112936</v>
      </c>
      <c r="CY62" s="59">
        <f ca="1">AVERAGE(OFFSET($CX$3,0,0,'Données projet'!$E$13+1,1))-AVERAGE(OFFSET($H$3,0,0,'Données projet'!$E$13+1,1))</f>
        <v>255.09913504736693</v>
      </c>
      <c r="CZ62" s="59">
        <f t="shared" si="42"/>
        <v>248.42617382406644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6.664619660242475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6.664619660242475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7.6</v>
      </c>
      <c r="DO62" s="12">
        <f>IF('Données projet'!$A$166&gt;35,DO61+DN62-DW61,IF(A62&lt;'Données projet'!$A$166,$DL$205^A62,IF(A62='Données projet'!$A$166,'Données projet'!$B$166,DO61+DN62-DW61)))</f>
        <v>206.39999999999998</v>
      </c>
      <c r="DP62" s="17">
        <f>DO62*VLOOKUP('Données projet'!$B$14,Paramètres!$A$1:$I$89,3,0)*VLOOKUP('Données projet'!$B$14,Paramètres!$A$1:$I$89,5,0)</f>
        <v>235.04831999999996</v>
      </c>
      <c r="DQ62" s="13">
        <f t="shared" si="43"/>
        <v>57.372863190596689</v>
      </c>
      <c r="DR62" s="20">
        <f t="shared" si="16"/>
        <v>509.30022739028914</v>
      </c>
      <c r="DS62" s="59">
        <f t="shared" si="17"/>
        <v>802.6335607236224</v>
      </c>
      <c r="DT62" s="59">
        <f ca="1">AVERAGE(OFFSET($DS$3,0,0,'Données projet'!$E$14+1,1))-AVERAGE(OFFSET($H$3,0,0,'Données projet'!$E$14+1,1))</f>
        <v>459.67331926893809</v>
      </c>
      <c r="DU62" s="59">
        <f t="shared" si="44"/>
        <v>280.33242658375497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9.2879436363738872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9.2879436363738872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8.1899999999999977</v>
      </c>
      <c r="EJ62" s="12">
        <f>IF('Données projet'!$A$192&gt;35,EJ61+EI62-ER61,IF(A62&lt;'Données projet'!$A$192,$EG$205^A62,IF(A62='Données projet'!$A$192,'Données projet'!$B$192,EJ61+EI62-ER61)))</f>
        <v>344.07</v>
      </c>
      <c r="EK62" s="17">
        <f>EJ62*VLOOKUP('Données projet'!$B$15,Paramètres!$A$1:$I$89,3,0)*VLOOKUP('Données projet'!$B$15,Paramètres!$A$1:$I$89,5,0)</f>
        <v>205.75386</v>
      </c>
      <c r="EL62" s="13">
        <f t="shared" si="45"/>
        <v>51.006597044446444</v>
      </c>
      <c r="EM62" s="20">
        <f t="shared" si="19"/>
        <v>447.19112935241088</v>
      </c>
      <c r="EN62" s="59">
        <f t="shared" si="20"/>
        <v>740.5244626857442</v>
      </c>
      <c r="EO62" s="59">
        <f ca="1">AVERAGE(OFFSET($EN$3,0,0,'Données projet'!$E$15+1,1))-AVERAGE(OFFSET($H$3,0,0,'Données projet'!$E$15+1,1))</f>
        <v>264.08053957457469</v>
      </c>
      <c r="EP62" s="59">
        <f t="shared" si="46"/>
        <v>284.83300065761051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23.020361047630988</v>
      </c>
      <c r="EW62" s="21">
        <f>EXP(-LN(2)/25)*EW61+(1-EXP(-LN(2)/25))/(LN(2)/25)*Calculateur!ER62*Calculateur!ET62*VLOOKUP('Données projet'!$B$15,Paramètres!$A$1:$I$89,3,0)*0.475*44/12</f>
        <v>11.808693009790794</v>
      </c>
      <c r="EX62" s="21">
        <f>EXP(-LN(2)/2)*EX61+(1-EXP(-LN(2)/2))/(LN(2)/2)*ER62*EU62*VLOOKUP('Données projet'!$B$15,Paramètres!$A$1:$I$89,3,0)*0.475*44/12</f>
        <v>0.15235187774449152</v>
      </c>
      <c r="EY62" s="22">
        <f t="shared" si="21"/>
        <v>34.981405935166279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9.5</v>
      </c>
      <c r="FE62" s="12">
        <f>IF('Données projet'!$A$218&gt;35,FE61+FD62-FM61,IF(A62&lt;'Données projet'!$A$218,$FB$205^A62,IF(A62='Données projet'!$A$218,'Données projet'!$B$218,FE61+FD62-FM61)))</f>
        <v>290.5</v>
      </c>
      <c r="FF62" s="17">
        <f>FE62*VLOOKUP('Données projet'!$B$16,Paramètres!$A$1:$I$89,3,0)*VLOOKUP('Données projet'!$B$16,Paramètres!$A$1:$I$89,5,0)</f>
        <v>135.95400000000001</v>
      </c>
      <c r="FG62" s="13">
        <f t="shared" si="47"/>
        <v>35.368547686628148</v>
      </c>
      <c r="FH62" s="20">
        <f t="shared" si="22"/>
        <v>298.38677055421067</v>
      </c>
      <c r="FI62" s="59">
        <f t="shared" si="23"/>
        <v>591.72010388754393</v>
      </c>
      <c r="FJ62" s="59">
        <f ca="1">AVERAGE(OFFSET($FI$3,0,0,'Données projet'!$E$16+1,1))-AVERAGE(OFFSET($H$3,0,0,'Données projet'!$E$16+1,1))</f>
        <v>166.27444639635013</v>
      </c>
      <c r="FK62" s="59">
        <f t="shared" si="48"/>
        <v>213.60182977243113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11.9217330199992</v>
      </c>
      <c r="FR62" s="21">
        <f>EXP(-LN(2)/25)*FR61+(1-EXP(-LN(2)/25))/(LN(2)/25)*Calculateur!FM62*Calculateur!FO62*VLOOKUP('Données projet'!$B$16,Paramètres!$A$1:$I$89,3,0)*0.475*44/12</f>
        <v>13.215821448075234</v>
      </c>
      <c r="FS62" s="21">
        <f>EXP(-LN(2)/2)*FS61+(1-EXP(-LN(2)/2))/(LN(2)/2)*FM62*FP62*VLOOKUP('Données projet'!$B$16,Paramètres!$A$1:$I$89,3,0)*0.475*44/12</f>
        <v>0.31633491854255713</v>
      </c>
      <c r="FT62" s="22">
        <f t="shared" si="24"/>
        <v>25.453889386616993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272.99999999999983</v>
      </c>
      <c r="O63" s="13">
        <f>N63*VLOOKUP('Données projet'!$B$9,Paramètres!$A$1:$I$89,3,0)*VLOOKUP('Données projet'!$B$9,Paramètres!$A$1:$I$89,5,0)</f>
        <v>247.01039999999983</v>
      </c>
      <c r="P63" s="13">
        <f t="shared" si="33"/>
        <v>59.945315462121762</v>
      </c>
      <c r="Q63" s="20">
        <f t="shared" si="53"/>
        <v>534.61453776319513</v>
      </c>
      <c r="R63" s="59">
        <f t="shared" si="0"/>
        <v>827.94787109652839</v>
      </c>
      <c r="S63" s="59">
        <f ca="1">AVERAGE(OFFSET($R$3,0,0,'Données projet'!$E$9+1,1))-AVERAGE(OFFSET($H$3,0,0,'Données projet'!$E$9+1,1))</f>
        <v>458.37755197712164</v>
      </c>
      <c r="T63" s="59">
        <f t="shared" si="34"/>
        <v>278.21741231699917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0.17200000000000001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14.463446173576536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14.463446173576536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272.99999999999983</v>
      </c>
      <c r="AJ63" s="13">
        <f>AI63*VLOOKUP('Données projet'!$B$10,Paramètres!$A$1:$I$89,3,0)*VLOOKUP('Données projet'!$B$10,Paramètres!$A$1:$I$89,5,0)</f>
        <v>276.82199999999983</v>
      </c>
      <c r="AK63" s="13">
        <f t="shared" si="35"/>
        <v>66.29496059864374</v>
      </c>
      <c r="AL63" s="20">
        <f t="shared" si="4"/>
        <v>597.59537304263756</v>
      </c>
      <c r="AM63" s="59">
        <f t="shared" si="5"/>
        <v>890.92870637597093</v>
      </c>
      <c r="AN63" s="59">
        <f ca="1">AVERAGE(OFFSET($AM$3,0,0,'Données projet'!$E$10+1,1))-AVERAGE(OFFSET($H$3,0,0,'Données projet'!$E$10+1,1))</f>
        <v>508.60701013958447</v>
      </c>
      <c r="AO63" s="59">
        <f t="shared" si="36"/>
        <v>306.61893266146654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0.17200000000000001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16.209034504870257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16.209034504870257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214</v>
      </c>
      <c r="BB63" s="12">
        <f>VLOOKUP(A63,'Données projet'!$A$87:$I$107,9,0)</f>
        <v>7.6</v>
      </c>
      <c r="BC63" s="12">
        <f t="array" ref="BC63">INDEX(BB:BB,MIN(IF(ISNUMBER(BB63:BB259),ROW(BB63:BB259),"")))</f>
        <v>7.6</v>
      </c>
      <c r="BD63" s="12">
        <f>IF('Données projet'!$A$88&gt;35,BD62+BC63-BL62,IF(A63&lt;'Données projet'!$A$88,$BA$205^A63,IF(A63='Données projet'!$A$88,'Données projet'!$B$88,BD62+BC63-BL62)))</f>
        <v>213.99999999999997</v>
      </c>
      <c r="BE63" s="13">
        <f>BD63*VLOOKUP('Données projet'!$B$11,Paramètres!$A$1:$I$89,3,0)*VLOOKUP('Données projet'!$B$11,Paramètres!$A$1:$I$89,5,0)</f>
        <v>203.64239999999998</v>
      </c>
      <c r="BF63" s="13">
        <f t="shared" si="37"/>
        <v>50.543814227115405</v>
      </c>
      <c r="BG63" s="20">
        <f t="shared" si="7"/>
        <v>442.70765644555928</v>
      </c>
      <c r="BH63" s="59">
        <f t="shared" si="8"/>
        <v>736.04098977889259</v>
      </c>
      <c r="BI63" s="59">
        <f ca="1">AVERAGE(OFFSET($BH$3,0,0,'Données projet'!$E$11+1,1))-AVERAGE(OFFSET($H$3,0,0,'Données projet'!$E$11+1,1))</f>
        <v>291.17074241052887</v>
      </c>
      <c r="BJ63" s="59">
        <f t="shared" si="38"/>
        <v>241.18285512887638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0.17200000000000001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11.408666593812526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11.408666593812526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273</v>
      </c>
      <c r="BW63" s="12">
        <f>VLOOKUP(A63,'Données projet'!$A$113:$I$133,9,0)</f>
        <v>9.4</v>
      </c>
      <c r="BX63" s="12">
        <f t="array" ref="BX63">INDEX(BW:BW,MIN(IF(ISNUMBER(BW63:BW259),ROW(BW63:BW259),"")))</f>
        <v>9.4</v>
      </c>
      <c r="BY63" s="12">
        <f>IF('Données projet'!$A$114&gt;35,BY62+BX63-CG62,IF(A63&lt;'Données projet'!$A$114,$BV$205^A63,IF(A63='Données projet'!$A$114,'Données projet'!$B$114,BY62+BX63-CG62)))</f>
        <v>272.99999999999983</v>
      </c>
      <c r="BZ63" s="13">
        <f>BY63*VLOOKUP('Données projet'!$B$12,Paramètres!$A$1:$I$89,3,0)*VLOOKUP('Données projet'!$B$12,Paramètres!$A$1:$I$89,5,0)</f>
        <v>229.97519999999989</v>
      </c>
      <c r="CA63" s="13">
        <f t="shared" si="39"/>
        <v>56.277319157664266</v>
      </c>
      <c r="CB63" s="20">
        <f t="shared" si="10"/>
        <v>498.55647086626504</v>
      </c>
      <c r="CC63" s="59">
        <f t="shared" si="11"/>
        <v>791.8898041995983</v>
      </c>
      <c r="CD63" s="59">
        <f ca="1">AVERAGE(OFFSET($CC$3,0,0,'Données projet'!$E$12+1,1))-AVERAGE(OFFSET($H$3,0,0,'Données projet'!$E$12+1,1))</f>
        <v>429.61977776013185</v>
      </c>
      <c r="CE63" s="59">
        <f t="shared" si="40"/>
        <v>261.95434270986385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28</v>
      </c>
      <c r="CH63" s="16">
        <f>IF(ISNA(VLOOKUP(A63,'Données projet'!$A$113:$I$133,5,0)),0%,VLOOKUP(A63,'Données projet'!$A$113:$I$133,5,0)*VLOOKUP('Données projet'!$B$12,Paramètres!$A$1:$I$89,7,0))</f>
        <v>0.17200000000000001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13.465967127122987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13.465967127122987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245</v>
      </c>
      <c r="CR63" s="12">
        <f>VLOOKUP(A63,'Données projet'!$A$139:$I$159,9,0)</f>
        <v>5.2</v>
      </c>
      <c r="CS63" s="12">
        <f t="array" ref="CS63">INDEX(CR:CR,MIN(IF(ISNUMBER(CR63:CR259),ROW(CR63:CR259),"")))</f>
        <v>5.2</v>
      </c>
      <c r="CT63" s="12">
        <f>IF('Données projet'!$A$140&gt;35,CT62+CS63-DB62,IF(A63&lt;'Données projet'!$A$140,$CQ$205^A63,IF(A63='Données projet'!$A$140,'Données projet'!$B$140,CT62+CS63-DB62)))</f>
        <v>244.99999999999983</v>
      </c>
      <c r="CU63" s="17">
        <f>CT63*VLOOKUP('Données projet'!$B$13,Paramètres!$A$1:$I$89,3,0)*VLOOKUP('Données projet'!$B$13,Paramètres!$A$1:$I$89,5,0)</f>
        <v>160.52399999999989</v>
      </c>
      <c r="CV63" s="13">
        <f t="shared" si="41"/>
        <v>40.960682569221547</v>
      </c>
      <c r="CW63" s="20">
        <f t="shared" si="13"/>
        <v>350.91915547472735</v>
      </c>
      <c r="CX63" s="59">
        <f t="shared" si="14"/>
        <v>644.25248880806066</v>
      </c>
      <c r="CY63" s="59">
        <f ca="1">AVERAGE(OFFSET($CX$3,0,0,'Données projet'!$E$13+1,1))-AVERAGE(OFFSET($H$3,0,0,'Données projet'!$E$13+1,1))</f>
        <v>255.09913504736693</v>
      </c>
      <c r="CZ63" s="59">
        <f t="shared" si="42"/>
        <v>248.42617382406644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12</v>
      </c>
      <c r="DC63" s="16">
        <f>IF(ISNA(VLOOKUP(A63,'Données projet'!$A$139:$I$159,5,0)),0%,VLOOKUP(A63,'Données projet'!$A$139:$I$159,5,0)*VLOOKUP('Données projet'!$B$13,Paramètres!$A$1:$I$89,7,0))</f>
        <v>0.17200000000000001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8.0288943873925831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8.0288943873925831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214</v>
      </c>
      <c r="DM63" s="12">
        <f>VLOOKUP(A63,'Données projet'!$A$165:$I$185,9,0)</f>
        <v>7.6</v>
      </c>
      <c r="DN63" s="12">
        <f t="array" ref="DN63">INDEX(DM:DM,MIN(IF(ISNUMBER(DM63:DM259),ROW(DM63:DM259),"")))</f>
        <v>7.6</v>
      </c>
      <c r="DO63" s="12">
        <f>IF('Données projet'!$A$166&gt;35,DO62+DN63-DW62,IF(A63&lt;'Données projet'!$A$166,$DL$205^A63,IF(A63='Données projet'!$A$166,'Données projet'!$B$166,DO62+DN63-DW62)))</f>
        <v>213.99999999999997</v>
      </c>
      <c r="DP63" s="17">
        <f>DO63*VLOOKUP('Données projet'!$B$14,Paramètres!$A$1:$I$89,3,0)*VLOOKUP('Données projet'!$B$14,Paramètres!$A$1:$I$89,5,0)</f>
        <v>243.70319999999995</v>
      </c>
      <c r="DQ63" s="13">
        <f t="shared" si="43"/>
        <v>59.235580564655876</v>
      </c>
      <c r="DR63" s="20">
        <f t="shared" si="16"/>
        <v>527.61837615010893</v>
      </c>
      <c r="DS63" s="59">
        <f t="shared" si="17"/>
        <v>820.9517094834423</v>
      </c>
      <c r="DT63" s="59">
        <f ca="1">AVERAGE(OFFSET($DS$3,0,0,'Données projet'!$E$14+1,1))-AVERAGE(OFFSET($H$3,0,0,'Données projet'!$E$14+1,1))</f>
        <v>459.67331926893809</v>
      </c>
      <c r="DU63" s="59">
        <f t="shared" si="44"/>
        <v>280.33242658375497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21</v>
      </c>
      <c r="DX63" s="16">
        <f>IF(ISNA(VLOOKUP(A63,'Données projet'!$A$165:$I$185,5,0)),0%,VLOOKUP(A63,'Données projet'!$A$165:$I$185,5,0)*VLOOKUP('Données projet'!$B$14,Paramètres!$A$1:$I$89,7,0))</f>
        <v>0.17200000000000001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13.652994448333022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13.652994448333022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8.1899999999999977</v>
      </c>
      <c r="EJ63" s="12">
        <f>IF('Données projet'!$A$192&gt;35,EJ62+EI63-ER62,IF(A63&lt;'Données projet'!$A$192,$EG$205^A63,IF(A63='Données projet'!$A$192,'Données projet'!$B$192,EJ62+EI63-ER62)))</f>
        <v>352.26</v>
      </c>
      <c r="EK63" s="17">
        <f>EJ63*VLOOKUP('Données projet'!$B$15,Paramètres!$A$1:$I$89,3,0)*VLOOKUP('Données projet'!$B$15,Paramètres!$A$1:$I$89,5,0)</f>
        <v>210.65148000000002</v>
      </c>
      <c r="EL63" s="13">
        <f t="shared" si="45"/>
        <v>52.077924794534553</v>
      </c>
      <c r="EM63" s="20">
        <f t="shared" si="19"/>
        <v>457.58704668381432</v>
      </c>
      <c r="EN63" s="59">
        <f t="shared" si="20"/>
        <v>750.92038001714764</v>
      </c>
      <c r="EO63" s="59">
        <f ca="1">AVERAGE(OFFSET($EN$3,0,0,'Données projet'!$E$15+1,1))-AVERAGE(OFFSET($H$3,0,0,'Données projet'!$E$15+1,1))</f>
        <v>264.08053957457469</v>
      </c>
      <c r="EP63" s="59">
        <f t="shared" si="46"/>
        <v>284.83300065761051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22.568945808520748</v>
      </c>
      <c r="EW63" s="21">
        <f>EXP(-LN(2)/25)*EW62+(1-EXP(-LN(2)/25))/(LN(2)/25)*Calculateur!ER63*Calculateur!ET63*VLOOKUP('Données projet'!$B$15,Paramètres!$A$1:$I$89,3,0)*0.475*44/12</f>
        <v>11.485783678445888</v>
      </c>
      <c r="EX63" s="21">
        <f>EXP(-LN(2)/2)*EX62+(1-EXP(-LN(2)/2))/(LN(2)/2)*ER63*EU63*VLOOKUP('Données projet'!$B$15,Paramètres!$A$1:$I$89,3,0)*0.475*44/12</f>
        <v>0.10772904587963381</v>
      </c>
      <c r="EY63" s="22">
        <f t="shared" si="21"/>
        <v>34.162458532846273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300</v>
      </c>
      <c r="FC63" s="12">
        <f>VLOOKUP(A63,'Données projet'!$A$217:$I$237,9,0)</f>
        <v>9.5</v>
      </c>
      <c r="FD63" s="12">
        <f t="array" ref="FD63">INDEX(FC:FC,MIN(IF(ISNUMBER(FC63:FC259),ROW(FC63:FC259),"")))</f>
        <v>9.5</v>
      </c>
      <c r="FE63" s="12">
        <f>IF('Données projet'!$A$218&gt;35,FE62+FD63-FM62,IF(A63&lt;'Données projet'!$A$218,$FB$205^A63,IF(A63='Données projet'!$A$218,'Données projet'!$B$218,FE62+FD63-FM62)))</f>
        <v>300</v>
      </c>
      <c r="FF63" s="17">
        <f>FE63*VLOOKUP('Données projet'!$B$16,Paramètres!$A$1:$I$89,3,0)*VLOOKUP('Données projet'!$B$16,Paramètres!$A$1:$I$89,5,0)</f>
        <v>140.4</v>
      </c>
      <c r="FG63" s="13">
        <f t="shared" si="47"/>
        <v>36.388624656711201</v>
      </c>
      <c r="FH63" s="20">
        <f t="shared" si="22"/>
        <v>307.90685461043864</v>
      </c>
      <c r="FI63" s="59">
        <f t="shared" si="23"/>
        <v>601.24018794377196</v>
      </c>
      <c r="FJ63" s="59">
        <f ca="1">AVERAGE(OFFSET($FI$3,0,0,'Données projet'!$E$16+1,1))-AVERAGE(OFFSET($H$3,0,0,'Données projet'!$E$16+1,1))</f>
        <v>166.27444639635013</v>
      </c>
      <c r="FK63" s="59">
        <f t="shared" si="48"/>
        <v>213.60182977243113</v>
      </c>
      <c r="FL63" s="15">
        <f>IF(ISNA(VLOOKUP(A63,'Données projet'!$A$217:$I$237,3,0)),0,VLOOKUP(A63,'Données projet'!$A$217:$I$237,3,0))</f>
        <v>4</v>
      </c>
      <c r="FM63" s="15">
        <f>IF(ISNA(VLOOKUP(A63,'Données projet'!$A$217:$I$237,4,0)),0,VLOOKUP(A63,'Données projet'!$A$217:$I$237,4,0))</f>
        <v>50</v>
      </c>
      <c r="FN63" s="16">
        <f>IF(ISNA(VLOOKUP(A63,'Données projet'!$A$217:$I$237,5,0)),0%,VLOOKUP(A63,'Données projet'!$A$217:$I$237,5,0)*VLOOKUP('Données projet'!$B$16,Paramètres!$A$1:$I$89,7,0))</f>
        <v>0.27500000000000002</v>
      </c>
      <c r="FO63" s="16">
        <f>IF(ISNA(VLOOKUP(A63,'Données projet'!$A$217:$I$237,6,0)),0%,VLOOKUP(A63,'Données projet'!$A$217:$I$237,6,0)*VLOOKUP('Données projet'!$B$16,Paramètres!$A$1:$I$89,7,0))</f>
        <v>0.15400000000000003</v>
      </c>
      <c r="FP63" s="16">
        <f>IF(ISNA(VLOOKUP(A63,'Données projet'!$A$217:$I$237,7,0)),0%,VLOOKUP(A63,'Données projet'!$A$217:$I$237,7,0))</f>
        <v>0.22</v>
      </c>
      <c r="FQ63" s="21">
        <f>EXP(-LN(2)/35)*FQ62+(1-EXP(-LN(2)/35))/(LN(2)/35)*FM63*FN63*VLOOKUP('Données projet'!$B$16,Paramètres!$A$1:$I$89,3,0)*0.475*44/12</f>
        <v>20.224397377769595</v>
      </c>
      <c r="FR63" s="21">
        <f>EXP(-LN(2)/25)*FR62+(1-EXP(-LN(2)/25))/(LN(2)/25)*Calculateur!FM63*Calculateur!FO63*VLOOKUP('Données projet'!$B$16,Paramètres!$A$1:$I$89,3,0)*0.475*44/12</f>
        <v>17.616019500728399</v>
      </c>
      <c r="FS63" s="21">
        <f>EXP(-LN(2)/2)*FS62+(1-EXP(-LN(2)/2))/(LN(2)/2)*FM63*FP63*VLOOKUP('Données projet'!$B$16,Paramètres!$A$1:$I$89,3,0)*0.475*44/12</f>
        <v>6.052414433693782</v>
      </c>
      <c r="FT63" s="22">
        <f t="shared" si="24"/>
        <v>43.892831312191774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253.79999999999984</v>
      </c>
      <c r="O64" s="13">
        <f>N64*VLOOKUP('Données projet'!$B$9,Paramètres!$A$1:$I$89,3,0)*VLOOKUP('Données projet'!$B$9,Paramètres!$A$1:$I$89,5,0)</f>
        <v>229.63823999999985</v>
      </c>
      <c r="P64" s="13">
        <f t="shared" si="33"/>
        <v>56.204453396569633</v>
      </c>
      <c r="Q64" s="20">
        <f t="shared" si="53"/>
        <v>497.84269099902514</v>
      </c>
      <c r="R64" s="59">
        <f t="shared" si="0"/>
        <v>791.17602433235845</v>
      </c>
      <c r="S64" s="59">
        <f ca="1">AVERAGE(OFFSET($R$3,0,0,'Données projet'!$E$9+1,1))-AVERAGE(OFFSET($H$3,0,0,'Données projet'!$E$9+1,1))</f>
        <v>458.37755197712164</v>
      </c>
      <c r="T64" s="59">
        <f t="shared" si="34"/>
        <v>278.21741231699917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14.179826815943782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14.179826815943782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253.79999999999984</v>
      </c>
      <c r="AJ64" s="13">
        <f>AI64*VLOOKUP('Données projet'!$B$10,Paramètres!$A$1:$I$89,3,0)*VLOOKUP('Données projet'!$B$10,Paramètres!$A$1:$I$89,5,0)</f>
        <v>257.3531999999999</v>
      </c>
      <c r="AK64" s="13">
        <f t="shared" si="35"/>
        <v>62.157851613080908</v>
      </c>
      <c r="AL64" s="20">
        <f t="shared" si="4"/>
        <v>556.48174822611566</v>
      </c>
      <c r="AM64" s="59">
        <f t="shared" si="5"/>
        <v>849.81508155944903</v>
      </c>
      <c r="AN64" s="59">
        <f ca="1">AVERAGE(OFFSET($AM$3,0,0,'Données projet'!$E$10+1,1))-AVERAGE(OFFSET($H$3,0,0,'Données projet'!$E$10+1,1))</f>
        <v>508.60701013958447</v>
      </c>
      <c r="AO64" s="59">
        <f t="shared" si="36"/>
        <v>306.61893266146654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15.891185224764584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15.891185224764584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7.2</v>
      </c>
      <c r="BD64" s="12">
        <f>IF('Données projet'!$A$88&gt;35,BD63+BC64-BL63,IF(A64&lt;'Données projet'!$A$88,$BA$205^A64,IF(A64='Données projet'!$A$88,'Données projet'!$B$88,BD63+BC64-BL63)))</f>
        <v>200.19999999999996</v>
      </c>
      <c r="BE64" s="13">
        <f>BD64*VLOOKUP('Données projet'!$B$11,Paramètres!$A$1:$I$89,3,0)*VLOOKUP('Données projet'!$B$11,Paramètres!$A$1:$I$89,5,0)</f>
        <v>190.51031999999995</v>
      </c>
      <c r="BF64" s="13">
        <f t="shared" si="37"/>
        <v>47.652759738576151</v>
      </c>
      <c r="BG64" s="20">
        <f t="shared" si="7"/>
        <v>414.80069721135334</v>
      </c>
      <c r="BH64" s="59">
        <f t="shared" si="8"/>
        <v>708.13403054468665</v>
      </c>
      <c r="BI64" s="59">
        <f ca="1">AVERAGE(OFFSET($BH$3,0,0,'Données projet'!$E$11+1,1))-AVERAGE(OFFSET($H$3,0,0,'Données projet'!$E$11+1,1))</f>
        <v>291.17074241052887</v>
      </c>
      <c r="BJ64" s="59">
        <f t="shared" si="38"/>
        <v>241.18285512887638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11.18494960050738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11.18494960050738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8.8000000000000007</v>
      </c>
      <c r="BY64" s="12">
        <f>IF('Données projet'!$A$114&gt;35,BY63+BX64-CG63,IF(A64&lt;'Données projet'!$A$114,$BV$205^A64,IF(A64='Données projet'!$A$114,'Données projet'!$B$114,BY63+BX64-CG63)))</f>
        <v>253.79999999999984</v>
      </c>
      <c r="BZ64" s="13">
        <f>BY64*VLOOKUP('Données projet'!$B$12,Paramètres!$A$1:$I$89,3,0)*VLOOKUP('Données projet'!$B$12,Paramètres!$A$1:$I$89,5,0)</f>
        <v>213.80111999999991</v>
      </c>
      <c r="CA64" s="13">
        <f t="shared" si="39"/>
        <v>52.765356850602878</v>
      </c>
      <c r="CB64" s="20">
        <f t="shared" si="10"/>
        <v>464.26994718146648</v>
      </c>
      <c r="CC64" s="59">
        <f t="shared" si="11"/>
        <v>757.60328051479974</v>
      </c>
      <c r="CD64" s="59">
        <f ca="1">AVERAGE(OFFSET($CC$3,0,0,'Données projet'!$E$12+1,1))-AVERAGE(OFFSET($H$3,0,0,'Données projet'!$E$12+1,1))</f>
        <v>429.61977776013185</v>
      </c>
      <c r="CE64" s="59">
        <f t="shared" si="40"/>
        <v>261.95434270986385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13.201907725189043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13.201907725189043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4.4000000000000004</v>
      </c>
      <c r="CT64" s="12">
        <f>IF('Données projet'!$A$140&gt;35,CT63+CS64-DB63,IF(A64&lt;'Données projet'!$A$140,$CQ$205^A64,IF(A64='Données projet'!$A$140,'Données projet'!$B$140,CT63+CS64-DB63)))</f>
        <v>237.39999999999984</v>
      </c>
      <c r="CU64" s="17">
        <f>CT64*VLOOKUP('Données projet'!$B$13,Paramètres!$A$1:$I$89,3,0)*VLOOKUP('Données projet'!$B$13,Paramètres!$A$1:$I$89,5,0)</f>
        <v>155.54447999999988</v>
      </c>
      <c r="CV64" s="13">
        <f t="shared" si="41"/>
        <v>39.835914576715631</v>
      </c>
      <c r="CW64" s="20">
        <f t="shared" si="13"/>
        <v>340.28752055444613</v>
      </c>
      <c r="CX64" s="59">
        <f t="shared" si="14"/>
        <v>633.6208538877795</v>
      </c>
      <c r="CY64" s="59">
        <f ca="1">AVERAGE(OFFSET($CX$3,0,0,'Données projet'!$E$13+1,1))-AVERAGE(OFFSET($H$3,0,0,'Données projet'!$E$13+1,1))</f>
        <v>255.09913504736693</v>
      </c>
      <c r="CZ64" s="59">
        <f t="shared" si="42"/>
        <v>248.42617382406644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7.8714526655978378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7.8714526655978378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7.2</v>
      </c>
      <c r="DO64" s="12">
        <f>IF('Données projet'!$A$166&gt;35,DO63+DN64-DW63,IF(A64&lt;'Données projet'!$A$166,$DL$205^A64,IF(A64='Données projet'!$A$166,'Données projet'!$B$166,DO63+DN64-DW63)))</f>
        <v>200.19999999999996</v>
      </c>
      <c r="DP64" s="17">
        <f>DO64*VLOOKUP('Données projet'!$B$14,Paramètres!$A$1:$I$89,3,0)*VLOOKUP('Données projet'!$B$14,Paramètres!$A$1:$I$89,5,0)</f>
        <v>227.98775999999995</v>
      </c>
      <c r="DQ64" s="13">
        <f t="shared" si="43"/>
        <v>55.847365929662935</v>
      </c>
      <c r="DR64" s="20">
        <f t="shared" si="16"/>
        <v>494.34617766082943</v>
      </c>
      <c r="DS64" s="59">
        <f t="shared" si="17"/>
        <v>787.67951099416268</v>
      </c>
      <c r="DT64" s="59">
        <f ca="1">AVERAGE(OFFSET($DS$3,0,0,'Données projet'!$E$14+1,1))-AVERAGE(OFFSET($H$3,0,0,'Données projet'!$E$14+1,1))</f>
        <v>459.67331926893809</v>
      </c>
      <c r="DU64" s="59">
        <f t="shared" si="44"/>
        <v>280.33242658375497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13.385267554705552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13.385267554705552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8.1899999999999977</v>
      </c>
      <c r="EJ64" s="12">
        <f>IF('Données projet'!$A$192&gt;35,EJ63+EI64-ER63,IF(A64&lt;'Données projet'!$A$192,$EG$205^A64,IF(A64='Données projet'!$A$192,'Données projet'!$B$192,EJ63+EI64-ER63)))</f>
        <v>360.45</v>
      </c>
      <c r="EK64" s="17">
        <f>EJ64*VLOOKUP('Données projet'!$B$15,Paramètres!$A$1:$I$89,3,0)*VLOOKUP('Données projet'!$B$15,Paramètres!$A$1:$I$89,5,0)</f>
        <v>215.54909999999998</v>
      </c>
      <c r="EL64" s="13">
        <f t="shared" si="45"/>
        <v>53.146356870192008</v>
      </c>
      <c r="EM64" s="20">
        <f t="shared" si="19"/>
        <v>467.97792071558433</v>
      </c>
      <c r="EN64" s="59">
        <f t="shared" si="20"/>
        <v>761.31125404891759</v>
      </c>
      <c r="EO64" s="59">
        <f ca="1">AVERAGE(OFFSET($EN$3,0,0,'Données projet'!$E$15+1,1))-AVERAGE(OFFSET($H$3,0,0,'Données projet'!$E$15+1,1))</f>
        <v>264.08053957457469</v>
      </c>
      <c r="EP64" s="59">
        <f t="shared" si="46"/>
        <v>284.83300065761051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22.126382546913351</v>
      </c>
      <c r="EW64" s="21">
        <f>EXP(-LN(2)/25)*EW63+(1-EXP(-LN(2)/25))/(LN(2)/25)*Calculateur!ER64*Calculateur!ET64*VLOOKUP('Données projet'!$B$15,Paramètres!$A$1:$I$89,3,0)*0.475*44/12</f>
        <v>11.171704319747672</v>
      </c>
      <c r="EX64" s="21">
        <f>EXP(-LN(2)/2)*EX63+(1-EXP(-LN(2)/2))/(LN(2)/2)*ER64*EU64*VLOOKUP('Données projet'!$B$15,Paramètres!$A$1:$I$89,3,0)*0.475*44/12</f>
        <v>7.617593887224576E-2</v>
      </c>
      <c r="EY64" s="22">
        <f t="shared" si="21"/>
        <v>33.37426280553327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18</v>
      </c>
      <c r="FE64" s="12">
        <f>IF('Données projet'!$A$218&gt;35,FE63+FD64-FM63,IF(A64&lt;'Données projet'!$A$218,$FB$205^A64,IF(A64='Données projet'!$A$218,'Données projet'!$B$218,FE63+FD64-FM63)))</f>
        <v>268</v>
      </c>
      <c r="FF64" s="17">
        <f>FE64*VLOOKUP('Données projet'!$B$16,Paramètres!$A$1:$I$89,3,0)*VLOOKUP('Données projet'!$B$16,Paramètres!$A$1:$I$89,5,0)</f>
        <v>125.42399999999999</v>
      </c>
      <c r="FG64" s="13">
        <f t="shared" si="47"/>
        <v>32.936784982132835</v>
      </c>
      <c r="FH64" s="20">
        <f t="shared" si="22"/>
        <v>275.81170051054801</v>
      </c>
      <c r="FI64" s="59">
        <f t="shared" si="23"/>
        <v>569.14503384388127</v>
      </c>
      <c r="FJ64" s="59">
        <f ca="1">AVERAGE(OFFSET($FI$3,0,0,'Données projet'!$E$16+1,1))-AVERAGE(OFFSET($H$3,0,0,'Données projet'!$E$16+1,1))</f>
        <v>166.27444639635013</v>
      </c>
      <c r="FK64" s="59">
        <f t="shared" si="48"/>
        <v>213.60182977243113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19.827809280855888</v>
      </c>
      <c r="FR64" s="21">
        <f>EXP(-LN(2)/25)*FR63+(1-EXP(-LN(2)/25))/(LN(2)/25)*Calculateur!FM64*Calculateur!FO64*VLOOKUP('Données projet'!$B$16,Paramètres!$A$1:$I$89,3,0)*0.475*44/12</f>
        <v>17.134308521094777</v>
      </c>
      <c r="FS64" s="21">
        <f>EXP(-LN(2)/2)*FS63+(1-EXP(-LN(2)/2))/(LN(2)/2)*FM64*FP64*VLOOKUP('Données projet'!$B$16,Paramètres!$A$1:$I$89,3,0)*0.475*44/12</f>
        <v>4.2797032886162114</v>
      </c>
      <c r="FT64" s="22">
        <f t="shared" si="24"/>
        <v>41.24182109056688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262.59999999999985</v>
      </c>
      <c r="O65" s="13">
        <f>N65*VLOOKUP('Données projet'!$B$9,Paramètres!$A$1:$I$89,3,0)*VLOOKUP('Données projet'!$B$9,Paramètres!$A$1:$I$89,5,0)</f>
        <v>237.60047999999986</v>
      </c>
      <c r="P65" s="13">
        <f t="shared" si="33"/>
        <v>57.922960533442058</v>
      </c>
      <c r="Q65" s="20">
        <f t="shared" si="53"/>
        <v>514.70332559574479</v>
      </c>
      <c r="R65" s="59">
        <f t="shared" si="0"/>
        <v>808.03665892907816</v>
      </c>
      <c r="S65" s="59">
        <f ca="1">AVERAGE(OFFSET($R$3,0,0,'Données projet'!$E$9+1,1))-AVERAGE(OFFSET($H$3,0,0,'Données projet'!$E$9+1,1))</f>
        <v>458.37755197712164</v>
      </c>
      <c r="T65" s="59">
        <f t="shared" si="34"/>
        <v>278.21741231699917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13.901769060923479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13.901769060923479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262.59999999999985</v>
      </c>
      <c r="AJ65" s="13">
        <f>AI65*VLOOKUP('Données projet'!$B$10,Paramètres!$A$1:$I$89,3,0)*VLOOKUP('Données projet'!$B$10,Paramètres!$A$1:$I$89,5,0)</f>
        <v>266.27639999999985</v>
      </c>
      <c r="AK65" s="13">
        <f t="shared" si="35"/>
        <v>64.05838982943969</v>
      </c>
      <c r="AL65" s="20">
        <f t="shared" si="4"/>
        <v>575.33309228627388</v>
      </c>
      <c r="AM65" s="59">
        <f t="shared" si="5"/>
        <v>868.66642561960725</v>
      </c>
      <c r="AN65" s="59">
        <f ca="1">AVERAGE(OFFSET($AM$3,0,0,'Données projet'!$E$10+1,1))-AVERAGE(OFFSET($H$3,0,0,'Données projet'!$E$10+1,1))</f>
        <v>508.60701013958447</v>
      </c>
      <c r="AO65" s="59">
        <f t="shared" si="36"/>
        <v>306.61893266146654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15.579568775172866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15.579568775172866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7.2</v>
      </c>
      <c r="BD65" s="12">
        <f>IF('Données projet'!$A$88&gt;35,BD64+BC65-BL64,IF(A65&lt;'Données projet'!$A$88,$BA$205^A65,IF(A65='Données projet'!$A$88,'Données projet'!$B$88,BD64+BC65-BL64)))</f>
        <v>207.39999999999995</v>
      </c>
      <c r="BE65" s="13">
        <f>BD65*VLOOKUP('Données projet'!$B$11,Paramètres!$A$1:$I$89,3,0)*VLOOKUP('Données projet'!$B$11,Paramètres!$A$1:$I$89,5,0)</f>
        <v>197.36183999999994</v>
      </c>
      <c r="BF65" s="13">
        <f t="shared" si="37"/>
        <v>49.163932700585988</v>
      </c>
      <c r="BG65" s="20">
        <f t="shared" si="7"/>
        <v>429.36572078685384</v>
      </c>
      <c r="BH65" s="59">
        <f t="shared" si="8"/>
        <v>722.69905412018716</v>
      </c>
      <c r="BI65" s="59">
        <f ca="1">AVERAGE(OFFSET($BH$3,0,0,'Données projet'!$E$11+1,1))-AVERAGE(OFFSET($H$3,0,0,'Données projet'!$E$11+1,1))</f>
        <v>291.17074241052887</v>
      </c>
      <c r="BJ65" s="59">
        <f t="shared" si="38"/>
        <v>241.18285512887638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10.965619560987056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10.965619560987056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8.8000000000000007</v>
      </c>
      <c r="BY65" s="12">
        <f>IF('Données projet'!$A$114&gt;35,BY64+BX65-CG64,IF(A65&lt;'Données projet'!$A$114,$BV$205^A65,IF(A65='Données projet'!$A$114,'Données projet'!$B$114,BY64+BX65-CG64)))</f>
        <v>262.59999999999985</v>
      </c>
      <c r="BZ65" s="13">
        <f>BY65*VLOOKUP('Données projet'!$B$12,Paramètres!$A$1:$I$89,3,0)*VLOOKUP('Données projet'!$B$12,Paramètres!$A$1:$I$89,5,0)</f>
        <v>221.21423999999988</v>
      </c>
      <c r="CA65" s="13">
        <f t="shared" si="39"/>
        <v>54.378710185570377</v>
      </c>
      <c r="CB65" s="20">
        <f t="shared" si="10"/>
        <v>479.99105490653488</v>
      </c>
      <c r="CC65" s="59">
        <f t="shared" si="11"/>
        <v>773.3243882398682</v>
      </c>
      <c r="CD65" s="59">
        <f ca="1">AVERAGE(OFFSET($CC$3,0,0,'Données projet'!$E$12+1,1))-AVERAGE(OFFSET($H$3,0,0,'Données projet'!$E$12+1,1))</f>
        <v>429.61977776013185</v>
      </c>
      <c r="CE65" s="59">
        <f t="shared" si="40"/>
        <v>261.95434270986385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12.943026367066693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12.943026367066693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4.4000000000000004</v>
      </c>
      <c r="CT65" s="12">
        <f>IF('Données projet'!$A$140&gt;35,CT64+CS65-DB64,IF(A65&lt;'Données projet'!$A$140,$CQ$205^A65,IF(A65='Données projet'!$A$140,'Données projet'!$B$140,CT64+CS65-DB64)))</f>
        <v>241.79999999999984</v>
      </c>
      <c r="CU65" s="17">
        <f>CT65*VLOOKUP('Données projet'!$B$13,Paramètres!$A$1:$I$89,3,0)*VLOOKUP('Données projet'!$B$13,Paramètres!$A$1:$I$89,5,0)</f>
        <v>158.42735999999988</v>
      </c>
      <c r="CV65" s="13">
        <f t="shared" si="41"/>
        <v>40.487598405868212</v>
      </c>
      <c r="CW65" s="20">
        <f t="shared" si="13"/>
        <v>346.44355255688691</v>
      </c>
      <c r="CX65" s="59">
        <f t="shared" si="14"/>
        <v>639.77688589022023</v>
      </c>
      <c r="CY65" s="59">
        <f ca="1">AVERAGE(OFFSET($CX$3,0,0,'Données projet'!$E$13+1,1))-AVERAGE(OFFSET($H$3,0,0,'Données projet'!$E$13+1,1))</f>
        <v>255.09913504736693</v>
      </c>
      <c r="CZ65" s="59">
        <f t="shared" si="42"/>
        <v>248.42617382406644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7.7170982799375194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7.7170982799375194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7.2</v>
      </c>
      <c r="DO65" s="12">
        <f>IF('Données projet'!$A$166&gt;35,DO64+DN65-DW64,IF(A65&lt;'Données projet'!$A$166,$DL$205^A65,IF(A65='Données projet'!$A$166,'Données projet'!$B$166,DO64+DN65-DW64)))</f>
        <v>207.39999999999995</v>
      </c>
      <c r="DP65" s="17">
        <f>DO65*VLOOKUP('Données projet'!$B$14,Paramètres!$A$1:$I$89,3,0)*VLOOKUP('Données projet'!$B$14,Paramètres!$A$1:$I$89,5,0)</f>
        <v>236.18711999999994</v>
      </c>
      <c r="DQ65" s="13">
        <f t="shared" si="43"/>
        <v>57.61840772987285</v>
      </c>
      <c r="DR65" s="20">
        <f t="shared" si="16"/>
        <v>511.71129412952837</v>
      </c>
      <c r="DS65" s="59">
        <f t="shared" si="17"/>
        <v>805.04462746286163</v>
      </c>
      <c r="DT65" s="59">
        <f ca="1">AVERAGE(OFFSET($DS$3,0,0,'Données projet'!$E$14+1,1))-AVERAGE(OFFSET($H$3,0,0,'Données projet'!$E$14+1,1))</f>
        <v>459.67331926893809</v>
      </c>
      <c r="DU65" s="59">
        <f t="shared" si="44"/>
        <v>280.33242658375497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13.122790622164835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13.122790622164835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8.1899999999999977</v>
      </c>
      <c r="EJ65" s="12">
        <f>IF('Données projet'!$A$192&gt;35,EJ64+EI65-ER64,IF(A65&lt;'Données projet'!$A$192,$EG$205^A65,IF(A65='Données projet'!$A$192,'Données projet'!$B$192,EJ64+EI65-ER64)))</f>
        <v>368.64</v>
      </c>
      <c r="EK65" s="17">
        <f>EJ65*VLOOKUP('Données projet'!$B$15,Paramètres!$A$1:$I$89,3,0)*VLOOKUP('Données projet'!$B$15,Paramètres!$A$1:$I$89,5,0)</f>
        <v>220.44672</v>
      </c>
      <c r="EL65" s="13">
        <f t="shared" si="45"/>
        <v>54.211966639941046</v>
      </c>
      <c r="EM65" s="20">
        <f t="shared" si="19"/>
        <v>478.36387923123061</v>
      </c>
      <c r="EN65" s="59">
        <f t="shared" si="20"/>
        <v>771.69721256456387</v>
      </c>
      <c r="EO65" s="59">
        <f ca="1">AVERAGE(OFFSET($EN$3,0,0,'Données projet'!$E$15+1,1))-AVERAGE(OFFSET($H$3,0,0,'Données projet'!$E$15+1,1))</f>
        <v>264.08053957457469</v>
      </c>
      <c r="EP65" s="59">
        <f t="shared" si="46"/>
        <v>284.83300065761051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21.69249768092914</v>
      </c>
      <c r="EW65" s="21">
        <f>EXP(-LN(2)/25)*EW64+(1-EXP(-LN(2)/25))/(LN(2)/25)*Calculateur!ER65*Calculateur!ET65*VLOOKUP('Données projet'!$B$15,Paramètres!$A$1:$I$89,3,0)*0.475*44/12</f>
        <v>10.866213477629776</v>
      </c>
      <c r="EX65" s="21">
        <f>EXP(-LN(2)/2)*EX64+(1-EXP(-LN(2)/2))/(LN(2)/2)*ER65*EU65*VLOOKUP('Données projet'!$B$15,Paramètres!$A$1:$I$89,3,0)*0.475*44/12</f>
        <v>5.3864522939816903E-2</v>
      </c>
      <c r="EY65" s="22">
        <f t="shared" si="21"/>
        <v>32.612575681498733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18</v>
      </c>
      <c r="FE65" s="12">
        <f>IF('Données projet'!$A$218&gt;35,FE64+FD65-FM64,IF(A65&lt;'Données projet'!$A$218,$FB$205^A65,IF(A65='Données projet'!$A$218,'Données projet'!$B$218,FE64+FD65-FM64)))</f>
        <v>286</v>
      </c>
      <c r="FF65" s="17">
        <f>FE65*VLOOKUP('Données projet'!$B$16,Paramètres!$A$1:$I$89,3,0)*VLOOKUP('Données projet'!$B$16,Paramètres!$A$1:$I$89,5,0)</f>
        <v>133.84799999999998</v>
      </c>
      <c r="FG65" s="13">
        <f t="shared" si="47"/>
        <v>34.884003992121656</v>
      </c>
      <c r="FH65" s="20">
        <f t="shared" si="22"/>
        <v>293.8749069529452</v>
      </c>
      <c r="FI65" s="59">
        <f t="shared" si="23"/>
        <v>587.20824028627851</v>
      </c>
      <c r="FJ65" s="59">
        <f ca="1">AVERAGE(OFFSET($FI$3,0,0,'Données projet'!$E$16+1,1))-AVERAGE(OFFSET($H$3,0,0,'Données projet'!$E$16+1,1))</f>
        <v>166.27444639635013</v>
      </c>
      <c r="FK65" s="59">
        <f t="shared" si="48"/>
        <v>213.60182977243113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19.438998034627804</v>
      </c>
      <c r="FR65" s="21">
        <f>EXP(-LN(2)/25)*FR64+(1-EXP(-LN(2)/25))/(LN(2)/25)*Calculateur!FM65*Calculateur!FO65*VLOOKUP('Données projet'!$B$16,Paramètres!$A$1:$I$89,3,0)*0.475*44/12</f>
        <v>16.665769953531317</v>
      </c>
      <c r="FS65" s="21">
        <f>EXP(-LN(2)/2)*FS64+(1-EXP(-LN(2)/2))/(LN(2)/2)*FM65*FP65*VLOOKUP('Données projet'!$B$16,Paramètres!$A$1:$I$89,3,0)*0.475*44/12</f>
        <v>3.0262072168468914</v>
      </c>
      <c r="FT65" s="22">
        <f t="shared" si="24"/>
        <v>39.130975205006017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271.39999999999986</v>
      </c>
      <c r="O66" s="13">
        <f>N66*VLOOKUP('Données projet'!$B$9,Paramètres!$A$1:$I$89,3,0)*VLOOKUP('Données projet'!$B$9,Paramètres!$A$1:$I$89,5,0)</f>
        <v>245.56271999999987</v>
      </c>
      <c r="P66" s="13">
        <f t="shared" si="33"/>
        <v>59.634776048276848</v>
      </c>
      <c r="Q66" s="20">
        <f t="shared" si="53"/>
        <v>531.5523056174153</v>
      </c>
      <c r="R66" s="59">
        <f t="shared" si="0"/>
        <v>824.88563895074867</v>
      </c>
      <c r="S66" s="59">
        <f ca="1">AVERAGE(OFFSET($R$3,0,0,'Données projet'!$E$9+1,1))-AVERAGE(OFFSET($H$3,0,0,'Données projet'!$E$9+1,1))</f>
        <v>458.37755197712164</v>
      </c>
      <c r="T66" s="59">
        <f t="shared" si="34"/>
        <v>278.21741231699917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13.629163848880642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13.629163848880642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271.39999999999986</v>
      </c>
      <c r="AJ66" s="13">
        <f>AI66*VLOOKUP('Données projet'!$B$10,Paramètres!$A$1:$I$89,3,0)*VLOOKUP('Données projet'!$B$10,Paramètres!$A$1:$I$89,5,0)</f>
        <v>275.19959999999986</v>
      </c>
      <c r="AK66" s="13">
        <f t="shared" si="35"/>
        <v>65.951527620662617</v>
      </c>
      <c r="AL66" s="20">
        <f t="shared" si="4"/>
        <v>594.17154727265381</v>
      </c>
      <c r="AM66" s="59">
        <f t="shared" si="5"/>
        <v>887.50488060598718</v>
      </c>
      <c r="AN66" s="59">
        <f ca="1">AVERAGE(OFFSET($AM$3,0,0,'Données projet'!$E$10+1,1))-AVERAGE(OFFSET($H$3,0,0,'Données projet'!$E$10+1,1))</f>
        <v>508.60701013958447</v>
      </c>
      <c r="AO66" s="59">
        <f t="shared" si="36"/>
        <v>306.61893266146654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15.274062934090376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15.274062934090376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7.2</v>
      </c>
      <c r="BD66" s="12">
        <f>IF('Données projet'!$A$88&gt;35,BD65+BC66-BL65,IF(A66&lt;'Données projet'!$A$88,$BA$205^A66,IF(A66='Données projet'!$A$88,'Données projet'!$B$88,BD65+BC66-BL65)))</f>
        <v>214.59999999999994</v>
      </c>
      <c r="BE66" s="13">
        <f>BD66*VLOOKUP('Données projet'!$B$11,Paramètres!$A$1:$I$89,3,0)*VLOOKUP('Données projet'!$B$11,Paramètres!$A$1:$I$89,5,0)</f>
        <v>204.21335999999994</v>
      </c>
      <c r="BF66" s="13">
        <f t="shared" si="37"/>
        <v>50.669010210991836</v>
      </c>
      <c r="BG66" s="20">
        <f t="shared" si="7"/>
        <v>443.9201281174773</v>
      </c>
      <c r="BH66" s="59">
        <f t="shared" si="8"/>
        <v>737.25346145081062</v>
      </c>
      <c r="BI66" s="59">
        <f ca="1">AVERAGE(OFFSET($BH$3,0,0,'Données projet'!$E$11+1,1))-AVERAGE(OFFSET($H$3,0,0,'Données projet'!$E$11+1,1))</f>
        <v>291.17074241052887</v>
      </c>
      <c r="BJ66" s="59">
        <f t="shared" si="38"/>
        <v>241.18285512887638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10.75059044976361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10.75059044976361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8.8000000000000007</v>
      </c>
      <c r="BY66" s="12">
        <f>IF('Données projet'!$A$114&gt;35,BY65+BX66-CG65,IF(A66&lt;'Données projet'!$A$114,$BV$205^A66,IF(A66='Données projet'!$A$114,'Données projet'!$B$114,BY65+BX66-CG65)))</f>
        <v>271.39999999999986</v>
      </c>
      <c r="BZ66" s="13">
        <f>BY66*VLOOKUP('Données projet'!$B$12,Paramètres!$A$1:$I$89,3,0)*VLOOKUP('Données projet'!$B$12,Paramètres!$A$1:$I$89,5,0)</f>
        <v>228.6273599999999</v>
      </c>
      <c r="CA66" s="13">
        <f t="shared" si="39"/>
        <v>55.985781352428646</v>
      </c>
      <c r="CB66" s="20">
        <f t="shared" si="10"/>
        <v>495.70122118881301</v>
      </c>
      <c r="CC66" s="59">
        <f t="shared" si="11"/>
        <v>789.03455452214632</v>
      </c>
      <c r="CD66" s="59">
        <f ca="1">AVERAGE(OFFSET($CC$3,0,0,'Données projet'!$E$12+1,1))-AVERAGE(OFFSET($H$3,0,0,'Données projet'!$E$12+1,1))</f>
        <v>429.61977776013185</v>
      </c>
      <c r="CE66" s="59">
        <f t="shared" si="40"/>
        <v>261.95434270986385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12.689221514475085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12.689221514475085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4.4000000000000004</v>
      </c>
      <c r="CT66" s="12">
        <f>IF('Données projet'!$A$140&gt;35,CT65+CS66-DB65,IF(A66&lt;'Données projet'!$A$140,$CQ$205^A66,IF(A66='Données projet'!$A$140,'Données projet'!$B$140,CT65+CS66-DB65)))</f>
        <v>246.19999999999985</v>
      </c>
      <c r="CU66" s="17">
        <f>CT66*VLOOKUP('Données projet'!$B$13,Paramètres!$A$1:$I$89,3,0)*VLOOKUP('Données projet'!$B$13,Paramètres!$A$1:$I$89,5,0)</f>
        <v>161.31023999999988</v>
      </c>
      <c r="CV66" s="13">
        <f t="shared" si="41"/>
        <v>41.137903274661063</v>
      </c>
      <c r="CW66" s="20">
        <f t="shared" si="13"/>
        <v>352.59718287003443</v>
      </c>
      <c r="CX66" s="59">
        <f t="shared" si="14"/>
        <v>645.93051620336769</v>
      </c>
      <c r="CY66" s="59">
        <f ca="1">AVERAGE(OFFSET($CX$3,0,0,'Données projet'!$E$13+1,1))-AVERAGE(OFFSET($H$3,0,0,'Données projet'!$E$13+1,1))</f>
        <v>255.09913504736693</v>
      </c>
      <c r="CZ66" s="59">
        <f t="shared" si="42"/>
        <v>248.42617382406644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7.5657706896331209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7.5657706896331209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7.2</v>
      </c>
      <c r="DO66" s="12">
        <f>IF('Données projet'!$A$166&gt;35,DO65+DN66-DW65,IF(A66&lt;'Données projet'!$A$166,$DL$205^A66,IF(A66='Données projet'!$A$166,'Données projet'!$B$166,DO65+DN66-DW65)))</f>
        <v>214.59999999999994</v>
      </c>
      <c r="DP66" s="17">
        <f>DO66*VLOOKUP('Données projet'!$B$14,Paramètres!$A$1:$I$89,3,0)*VLOOKUP('Données projet'!$B$14,Paramètres!$A$1:$I$89,5,0)</f>
        <v>244.38647999999995</v>
      </c>
      <c r="DQ66" s="13">
        <f t="shared" si="43"/>
        <v>59.382305874225068</v>
      </c>
      <c r="DR66" s="20">
        <f t="shared" si="16"/>
        <v>529.06396873094195</v>
      </c>
      <c r="DS66" s="59">
        <f t="shared" si="17"/>
        <v>822.39730206427521</v>
      </c>
      <c r="DT66" s="59">
        <f ca="1">AVERAGE(OFFSET($DS$3,0,0,'Données projet'!$E$14+1,1))-AVERAGE(OFFSET($H$3,0,0,'Données projet'!$E$14+1,1))</f>
        <v>459.67331926893809</v>
      </c>
      <c r="DU66" s="59">
        <f t="shared" si="44"/>
        <v>280.33242658375497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12.865460702176122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12.865460702176122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8.1899999999999977</v>
      </c>
      <c r="EJ66" s="12">
        <f>IF('Données projet'!$A$192&gt;35,EJ65+EI66-ER65,IF(A66&lt;'Données projet'!$A$192,$EG$205^A66,IF(A66='Données projet'!$A$192,'Données projet'!$B$192,EJ65+EI66-ER65)))</f>
        <v>376.83</v>
      </c>
      <c r="EK66" s="17">
        <f>EJ66*VLOOKUP('Données projet'!$B$15,Paramètres!$A$1:$I$89,3,0)*VLOOKUP('Données projet'!$B$15,Paramètres!$A$1:$I$89,5,0)</f>
        <v>225.34434000000002</v>
      </c>
      <c r="EL66" s="13">
        <f t="shared" si="45"/>
        <v>55.274824026147428</v>
      </c>
      <c r="EM66" s="20">
        <f t="shared" si="19"/>
        <v>488.74504401220685</v>
      </c>
      <c r="EN66" s="59">
        <f t="shared" si="20"/>
        <v>782.07837734554016</v>
      </c>
      <c r="EO66" s="59">
        <f ca="1">AVERAGE(OFFSET($EN$3,0,0,'Données projet'!$E$15+1,1))-AVERAGE(OFFSET($H$3,0,0,'Données projet'!$E$15+1,1))</f>
        <v>264.08053957457469</v>
      </c>
      <c r="EP66" s="59">
        <f t="shared" si="46"/>
        <v>284.83300065761051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21.267121032523242</v>
      </c>
      <c r="EW66" s="21">
        <f>EXP(-LN(2)/25)*EW65+(1-EXP(-LN(2)/25))/(LN(2)/25)*Calculateur!ER66*Calculateur!ET66*VLOOKUP('Données projet'!$B$15,Paramètres!$A$1:$I$89,3,0)*0.475*44/12</f>
        <v>10.569076298654657</v>
      </c>
      <c r="EX66" s="21">
        <f>EXP(-LN(2)/2)*EX65+(1-EXP(-LN(2)/2))/(LN(2)/2)*ER66*EU66*VLOOKUP('Données projet'!$B$15,Paramètres!$A$1:$I$89,3,0)*0.475*44/12</f>
        <v>3.808796943612288E-2</v>
      </c>
      <c r="EY66" s="22">
        <f t="shared" si="21"/>
        <v>31.874285300614023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18</v>
      </c>
      <c r="FE66" s="12">
        <f>IF('Données projet'!$A$218&gt;35,FE65+FD66-FM65,IF(A66&lt;'Données projet'!$A$218,$FB$205^A66,IF(A66='Données projet'!$A$218,'Données projet'!$B$218,FE65+FD66-FM65)))</f>
        <v>304</v>
      </c>
      <c r="FF66" s="17">
        <f>FE66*VLOOKUP('Données projet'!$B$16,Paramètres!$A$1:$I$89,3,0)*VLOOKUP('Données projet'!$B$16,Paramètres!$A$1:$I$89,5,0)</f>
        <v>142.27199999999999</v>
      </c>
      <c r="FG66" s="13">
        <f t="shared" si="47"/>
        <v>36.817000136193229</v>
      </c>
      <c r="FH66" s="20">
        <f t="shared" si="22"/>
        <v>311.91334190386982</v>
      </c>
      <c r="FI66" s="59">
        <f t="shared" si="23"/>
        <v>605.24667523720314</v>
      </c>
      <c r="FJ66" s="59">
        <f ca="1">AVERAGE(OFFSET($FI$3,0,0,'Données projet'!$E$16+1,1))-AVERAGE(OFFSET($H$3,0,0,'Données projet'!$E$16+1,1))</f>
        <v>166.27444639635013</v>
      </c>
      <c r="FK66" s="59">
        <f t="shared" si="48"/>
        <v>213.60182977243113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19.057811139786811</v>
      </c>
      <c r="FR66" s="21">
        <f>EXP(-LN(2)/25)*FR65+(1-EXP(-LN(2)/25))/(LN(2)/25)*Calculateur!FM66*Calculateur!FO66*VLOOKUP('Données projet'!$B$16,Paramètres!$A$1:$I$89,3,0)*0.475*44/12</f>
        <v>16.210043597737251</v>
      </c>
      <c r="FS66" s="21">
        <f>EXP(-LN(2)/2)*FS65+(1-EXP(-LN(2)/2))/(LN(2)/2)*FM66*FP66*VLOOKUP('Données projet'!$B$16,Paramètres!$A$1:$I$89,3,0)*0.475*44/12</f>
        <v>2.1398516443081061</v>
      </c>
      <c r="FT66" s="22">
        <f t="shared" si="24"/>
        <v>37.40770638183217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280.19999999999987</v>
      </c>
      <c r="O67" s="13">
        <f>N67*VLOOKUP('Données projet'!$B$9,Paramètres!$A$1:$I$89,3,0)*VLOOKUP('Données projet'!$B$9,Paramètres!$A$1:$I$89,5,0)</f>
        <v>253.52495999999985</v>
      </c>
      <c r="P67" s="13">
        <f t="shared" si="33"/>
        <v>61.34014179842216</v>
      </c>
      <c r="Q67" s="20">
        <f t="shared" ref="Q67:Q98" si="54">(O67+P67)*0.475*44/12</f>
        <v>548.39005229891836</v>
      </c>
      <c r="R67" s="59">
        <f t="shared" ref="R67:R130" si="55">Q67+(I67+J67)*44/12</f>
        <v>841.72338563225162</v>
      </c>
      <c r="S67" s="59">
        <f ca="1">AVERAGE(OFFSET($R$3,0,0,'Données projet'!$E$9+1,1))-AVERAGE(OFFSET($H$3,0,0,'Données projet'!$E$9+1,1))</f>
        <v>458.37755197712164</v>
      </c>
      <c r="T67" s="59">
        <f t="shared" si="34"/>
        <v>278.21741231699917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13.361904258773203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13.361904258773203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280.19999999999987</v>
      </c>
      <c r="AJ67" s="13">
        <f>AI67*VLOOKUP('Données projet'!$B$10,Paramètres!$A$1:$I$89,3,0)*VLOOKUP('Données projet'!$B$10,Paramètres!$A$1:$I$89,5,0)</f>
        <v>284.12279999999993</v>
      </c>
      <c r="AK67" s="13">
        <f t="shared" si="35"/>
        <v>67.837532462585557</v>
      </c>
      <c r="AL67" s="20">
        <f t="shared" si="4"/>
        <v>612.99757903900297</v>
      </c>
      <c r="AM67" s="59">
        <f t="shared" si="5"/>
        <v>906.33091237233634</v>
      </c>
      <c r="AN67" s="59">
        <f ca="1">AVERAGE(OFFSET($AM$3,0,0,'Données projet'!$E$10+1,1))-AVERAGE(OFFSET($H$3,0,0,'Données projet'!$E$10+1,1))</f>
        <v>508.60701013958447</v>
      </c>
      <c r="AO67" s="59">
        <f t="shared" si="36"/>
        <v>306.61893266146654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14.974547876211348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14.974547876211348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</v>
      </c>
      <c r="BD67" s="12">
        <f>IF('Données projet'!$A$88&gt;35,BD66+BC67-BL66,IF(A67&lt;'Données projet'!$A$88,$BA$205^A67,IF(A67='Données projet'!$A$88,'Données projet'!$B$88,BD66+BC67-BL66)))</f>
        <v>221.79999999999993</v>
      </c>
      <c r="BE67" s="13">
        <f>BD67*VLOOKUP('Données projet'!$B$11,Paramètres!$A$1:$I$89,3,0)*VLOOKUP('Données projet'!$B$11,Paramètres!$A$1:$I$89,5,0)</f>
        <v>211.06487999999993</v>
      </c>
      <c r="BF67" s="13">
        <f t="shared" si="37"/>
        <v>52.168220223304395</v>
      </c>
      <c r="BG67" s="20">
        <f t="shared" si="7"/>
        <v>458.46431622225504</v>
      </c>
      <c r="BH67" s="59">
        <f t="shared" si="8"/>
        <v>751.79764955558835</v>
      </c>
      <c r="BI67" s="59">
        <f ca="1">AVERAGE(OFFSET($BH$3,0,0,'Données projet'!$E$11+1,1))-AVERAGE(OFFSET($H$3,0,0,'Données projet'!$E$11+1,1))</f>
        <v>291.17074241052887</v>
      </c>
      <c r="BJ67" s="59">
        <f t="shared" si="38"/>
        <v>241.18285512887638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10.539777928256449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10.539777928256449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8.8000000000000007</v>
      </c>
      <c r="BY67" s="12">
        <f>IF('Données projet'!$A$114&gt;35,BY66+BX67-CG66,IF(A67&lt;'Données projet'!$A$114,$BV$205^A67,IF(A67='Données projet'!$A$114,'Données projet'!$B$114,BY66+BX67-CG66)))</f>
        <v>280.19999999999987</v>
      </c>
      <c r="BZ67" s="13">
        <f>BY67*VLOOKUP('Données projet'!$B$12,Paramètres!$A$1:$I$89,3,0)*VLOOKUP('Données projet'!$B$12,Paramètres!$A$1:$I$89,5,0)</f>
        <v>236.04047999999992</v>
      </c>
      <c r="CA67" s="13">
        <f t="shared" si="39"/>
        <v>57.586797409506879</v>
      </c>
      <c r="CB67" s="20">
        <f t="shared" si="10"/>
        <v>511.40084148822433</v>
      </c>
      <c r="CC67" s="59">
        <f t="shared" si="11"/>
        <v>804.73417482155764</v>
      </c>
      <c r="CD67" s="59">
        <f ca="1">AVERAGE(OFFSET($CC$3,0,0,'Données projet'!$E$12+1,1))-AVERAGE(OFFSET($H$3,0,0,'Données projet'!$E$12+1,1))</f>
        <v>429.61977776013185</v>
      </c>
      <c r="CE67" s="59">
        <f t="shared" si="40"/>
        <v>261.95434270986385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12.440393620237124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12.440393620237124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4.4000000000000004</v>
      </c>
      <c r="CT67" s="12">
        <f>IF('Données projet'!$A$140&gt;35,CT66+CS67-DB66,IF(A67&lt;'Données projet'!$A$140,$CQ$205^A67,IF(A67='Données projet'!$A$140,'Données projet'!$B$140,CT66+CS67-DB66)))</f>
        <v>250.59999999999985</v>
      </c>
      <c r="CU67" s="17">
        <f>CT67*VLOOKUP('Données projet'!$B$13,Paramètres!$A$1:$I$89,3,0)*VLOOKUP('Données projet'!$B$13,Paramètres!$A$1:$I$89,5,0)</f>
        <v>164.19311999999991</v>
      </c>
      <c r="CV67" s="13">
        <f t="shared" si="41"/>
        <v>41.786856670339013</v>
      </c>
      <c r="CW67" s="20">
        <f t="shared" si="13"/>
        <v>358.74845936750694</v>
      </c>
      <c r="CX67" s="59">
        <f t="shared" si="14"/>
        <v>652.0817927008402</v>
      </c>
      <c r="CY67" s="59">
        <f ca="1">AVERAGE(OFFSET($CX$3,0,0,'Données projet'!$E$13+1,1))-AVERAGE(OFFSET($H$3,0,0,'Données projet'!$E$13+1,1))</f>
        <v>255.09913504736693</v>
      </c>
      <c r="CZ67" s="59">
        <f t="shared" si="42"/>
        <v>248.42617382406644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7.4174105410738758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7.4174105410738758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7.2</v>
      </c>
      <c r="DO67" s="12">
        <f>IF('Données projet'!$A$166&gt;35,DO66+DN67-DW66,IF(A67&lt;'Données projet'!$A$166,$DL$205^A67,IF(A67='Données projet'!$A$166,'Données projet'!$B$166,DO66+DN67-DW66)))</f>
        <v>221.79999999999993</v>
      </c>
      <c r="DP67" s="17">
        <f>DO67*VLOOKUP('Données projet'!$B$14,Paramètres!$A$1:$I$89,3,0)*VLOOKUP('Données projet'!$B$14,Paramètres!$A$1:$I$89,5,0)</f>
        <v>252.58583999999991</v>
      </c>
      <c r="DQ67" s="13">
        <f t="shared" si="43"/>
        <v>61.139327516253012</v>
      </c>
      <c r="DR67" s="20">
        <f t="shared" si="16"/>
        <v>546.40466675747382</v>
      </c>
      <c r="DS67" s="59">
        <f t="shared" si="17"/>
        <v>839.73800009080719</v>
      </c>
      <c r="DT67" s="59">
        <f ca="1">AVERAGE(OFFSET($DS$3,0,0,'Données projet'!$E$14+1,1))-AVERAGE(OFFSET($H$3,0,0,'Données projet'!$E$14+1,1))</f>
        <v>459.67331926893809</v>
      </c>
      <c r="DU67" s="59">
        <f t="shared" si="44"/>
        <v>280.33242658375497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12.613176864962634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12.613176864962634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8.1899999999999977</v>
      </c>
      <c r="EJ67" s="12">
        <f>IF('Données projet'!$A$192&gt;35,EJ66+EI67-ER66,IF(A67&lt;'Données projet'!$A$192,$EG$205^A67,IF(A67='Données projet'!$A$192,'Données projet'!$B$192,EJ66+EI67-ER66)))</f>
        <v>385.02</v>
      </c>
      <c r="EK67" s="17">
        <f>EJ67*VLOOKUP('Données projet'!$B$15,Paramètres!$A$1:$I$89,3,0)*VLOOKUP('Données projet'!$B$15,Paramètres!$A$1:$I$89,5,0)</f>
        <v>230.24195999999998</v>
      </c>
      <c r="EL67" s="13">
        <f t="shared" si="45"/>
        <v>56.334995738213458</v>
      </c>
      <c r="EM67" s="20">
        <f t="shared" si="19"/>
        <v>499.12153124405501</v>
      </c>
      <c r="EN67" s="59">
        <f t="shared" si="20"/>
        <v>792.45486457738832</v>
      </c>
      <c r="EO67" s="59">
        <f ca="1">AVERAGE(OFFSET($EN$3,0,0,'Données projet'!$E$15+1,1))-AVERAGE(OFFSET($H$3,0,0,'Données projet'!$E$15+1,1))</f>
        <v>264.08053957457469</v>
      </c>
      <c r="EP67" s="59">
        <f t="shared" si="46"/>
        <v>284.83300065761051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20.850085760738445</v>
      </c>
      <c r="EW67" s="21">
        <f>EXP(-LN(2)/25)*EW66+(1-EXP(-LN(2)/25))/(LN(2)/25)*Calculateur!ER67*Calculateur!ET67*VLOOKUP('Données projet'!$B$15,Paramètres!$A$1:$I$89,3,0)*0.475*44/12</f>
        <v>10.280064351464379</v>
      </c>
      <c r="EX67" s="21">
        <f>EXP(-LN(2)/2)*EX66+(1-EXP(-LN(2)/2))/(LN(2)/2)*ER67*EU67*VLOOKUP('Données projet'!$B$15,Paramètres!$A$1:$I$89,3,0)*0.475*44/12</f>
        <v>2.6932261469908451E-2</v>
      </c>
      <c r="EY67" s="22">
        <f t="shared" si="21"/>
        <v>31.157082373672733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18</v>
      </c>
      <c r="FE67" s="12">
        <f>IF('Données projet'!$A$218&gt;35,FE66+FD67-FM66,IF(A67&lt;'Données projet'!$A$218,$FB$205^A67,IF(A67='Données projet'!$A$218,'Données projet'!$B$218,FE66+FD67-FM66)))</f>
        <v>322</v>
      </c>
      <c r="FF67" s="17">
        <f>FE67*VLOOKUP('Données projet'!$B$16,Paramètres!$A$1:$I$89,3,0)*VLOOKUP('Données projet'!$B$16,Paramètres!$A$1:$I$89,5,0)</f>
        <v>150.696</v>
      </c>
      <c r="FG67" s="13">
        <f t="shared" si="47"/>
        <v>38.736711478840633</v>
      </c>
      <c r="FH67" s="20">
        <f t="shared" si="22"/>
        <v>329.92863915898073</v>
      </c>
      <c r="FI67" s="59">
        <f t="shared" si="23"/>
        <v>623.26197249231404</v>
      </c>
      <c r="FJ67" s="59">
        <f ca="1">AVERAGE(OFFSET($FI$3,0,0,'Données projet'!$E$16+1,1))-AVERAGE(OFFSET($H$3,0,0,'Données projet'!$E$16+1,1))</f>
        <v>166.27444639635013</v>
      </c>
      <c r="FK67" s="59">
        <f t="shared" si="48"/>
        <v>213.60182977243113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18.684099087452601</v>
      </c>
      <c r="FR67" s="21">
        <f>EXP(-LN(2)/25)*FR66+(1-EXP(-LN(2)/25))/(LN(2)/25)*Calculateur!FM67*Calculateur!FO67*VLOOKUP('Données projet'!$B$16,Paramètres!$A$1:$I$89,3,0)*0.475*44/12</f>
        <v>15.76677910310798</v>
      </c>
      <c r="FS67" s="21">
        <f>EXP(-LN(2)/2)*FS66+(1-EXP(-LN(2)/2))/(LN(2)/2)*FM67*FP67*VLOOKUP('Données projet'!$B$16,Paramètres!$A$1:$I$89,3,0)*0.475*44/12</f>
        <v>1.5131036084234459</v>
      </c>
      <c r="FT67" s="22">
        <f t="shared" si="24"/>
        <v>35.963981798984022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288.99999999999989</v>
      </c>
      <c r="O68" s="13">
        <f>N68*VLOOKUP('Données projet'!$B$9,Paramètres!$A$1:$I$89,3,0)*VLOOKUP('Données projet'!$B$9,Paramètres!$A$1:$I$89,5,0)</f>
        <v>261.48719999999986</v>
      </c>
      <c r="P68" s="13">
        <f t="shared" si="33"/>
        <v>63.039283586802334</v>
      </c>
      <c r="Q68" s="20">
        <f t="shared" si="54"/>
        <v>565.21695891368051</v>
      </c>
      <c r="R68" s="59">
        <f t="shared" si="55"/>
        <v>858.55029224701389</v>
      </c>
      <c r="S68" s="59">
        <f ca="1">AVERAGE(OFFSET($R$3,0,0,'Données projet'!$E$9+1,1))-AVERAGE(OFFSET($H$3,0,0,'Données projet'!$E$9+1,1))</f>
        <v>458.37755197712164</v>
      </c>
      <c r="T68" s="59">
        <f t="shared" si="34"/>
        <v>278.21741231699917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0.17200000000000001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17.916991216932722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17.916991216932722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288.99999999999989</v>
      </c>
      <c r="AJ68" s="13">
        <f>AI68*VLOOKUP('Données projet'!$B$10,Paramètres!$A$1:$I$89,3,0)*VLOOKUP('Données projet'!$B$10,Paramètres!$A$1:$I$89,5,0)</f>
        <v>293.04599999999994</v>
      </c>
      <c r="AK68" s="13">
        <f t="shared" si="35"/>
        <v>69.716654076072615</v>
      </c>
      <c r="AL68" s="20">
        <f t="shared" ref="AL68:AL131" si="58">(AJ68+AK68)*0.475*44/12</f>
        <v>631.81162251582634</v>
      </c>
      <c r="AM68" s="59">
        <f t="shared" ref="AM68:AM131" si="59">AL68+(AD68+AE68)*44/12</f>
        <v>925.14495584915971</v>
      </c>
      <c r="AN68" s="59">
        <f ca="1">AVERAGE(OFFSET($AM$3,0,0,'Données projet'!$E$10+1,1))-AVERAGE(OFFSET($H$3,0,0,'Données projet'!$E$10+1,1))</f>
        <v>508.60701013958447</v>
      </c>
      <c r="AO68" s="59">
        <f t="shared" si="36"/>
        <v>306.61893266146654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0.17200000000000001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20.0793867086315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20.0793867086315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229</v>
      </c>
      <c r="BB68" s="12">
        <f>VLOOKUP(A68,'Données projet'!$A$87:$I$107,9,0)</f>
        <v>7.2</v>
      </c>
      <c r="BC68" s="12">
        <f t="array" ref="BC68">INDEX(BB:BB,MIN(IF(ISNUMBER(BB68:BB264),ROW(BB68:BB264),"")))</f>
        <v>7.2</v>
      </c>
      <c r="BD68" s="12">
        <f>IF('Données projet'!$A$88&gt;35,BD67+BC68-BL67,IF(A68&lt;'Données projet'!$A$88,$BA$205^A68,IF(A68='Données projet'!$A$88,'Données projet'!$B$88,BD67+BC68-BL67)))</f>
        <v>228.99999999999991</v>
      </c>
      <c r="BE68" s="13">
        <f>BD68*VLOOKUP('Données projet'!$B$11,Paramètres!$A$1:$I$89,3,0)*VLOOKUP('Données projet'!$B$11,Paramètres!$A$1:$I$89,5,0)</f>
        <v>217.91639999999992</v>
      </c>
      <c r="BF68" s="13">
        <f t="shared" si="37"/>
        <v>53.661775051402536</v>
      </c>
      <c r="BG68" s="20">
        <f t="shared" ref="BG68:BG131" si="61">(BE68+BF68)*0.475*44/12</f>
        <v>472.99865488119258</v>
      </c>
      <c r="BH68" s="59">
        <f t="shared" ref="BH68:BH131" si="62">BG68+(AY68+AZ68)*44/12</f>
        <v>766.33198821452584</v>
      </c>
      <c r="BI68" s="59">
        <f ca="1">AVERAGE(OFFSET($BH$3,0,0,'Données projet'!$E$11+1,1))-AVERAGE(OFFSET($H$3,0,0,'Données projet'!$E$11+1,1))</f>
        <v>291.17074241052887</v>
      </c>
      <c r="BJ68" s="59">
        <f t="shared" si="38"/>
        <v>241.18285512887638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21</v>
      </c>
      <c r="BM68" s="16">
        <f>IF(ISNA(VLOOKUP(A68,'Données projet'!$A$87:$I$107,5,0)),0%,VLOOKUP(A68,'Données projet'!$A$87:$I$107,5,0)*VLOOKUP('Données projet'!$B$11,Paramètres!$A$1:$I$89,7,0))</f>
        <v>0.17200000000000001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14.132799106459863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14.132799106459863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289</v>
      </c>
      <c r="BW68" s="12">
        <f>VLOOKUP(A68,'Données projet'!$A$113:$I$133,9,0)</f>
        <v>8.8000000000000007</v>
      </c>
      <c r="BX68" s="12">
        <f t="array" ref="BX68">INDEX(BW:BW,MIN(IF(ISNUMBER(BW68:BW264),ROW(BW68:BW264),"")))</f>
        <v>8.8000000000000007</v>
      </c>
      <c r="BY68" s="12">
        <f>IF('Données projet'!$A$114&gt;35,BY67+BX68-CG67,IF(A68&lt;'Données projet'!$A$114,$BV$205^A68,IF(A68='Données projet'!$A$114,'Données projet'!$B$114,BY67+BX68-CG67)))</f>
        <v>288.99999999999989</v>
      </c>
      <c r="BZ68" s="13">
        <f>BY68*VLOOKUP('Données projet'!$B$12,Paramètres!$A$1:$I$89,3,0)*VLOOKUP('Données projet'!$B$12,Paramètres!$A$1:$I$89,5,0)</f>
        <v>243.45359999999991</v>
      </c>
      <c r="CA68" s="13">
        <f t="shared" si="39"/>
        <v>59.181970343065267</v>
      </c>
      <c r="CB68" s="20">
        <f t="shared" ref="CB68:CB131" si="64">(BZ68+CA68)*0.475*44/12</f>
        <v>527.09028501417185</v>
      </c>
      <c r="CC68" s="59">
        <f t="shared" ref="CC68:CC131" si="65">CB68+(BT68+BU68)*44/12</f>
        <v>820.42361834750523</v>
      </c>
      <c r="CD68" s="59">
        <f ca="1">AVERAGE(OFFSET($CC$3,0,0,'Données projet'!$E$12+1,1))-AVERAGE(OFFSET($H$3,0,0,'Données projet'!$E$12+1,1))</f>
        <v>429.61977776013185</v>
      </c>
      <c r="CE68" s="59">
        <f t="shared" si="40"/>
        <v>261.95434270986385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28</v>
      </c>
      <c r="CH68" s="16">
        <f>IF(ISNA(VLOOKUP(A68,'Données projet'!$A$113:$I$133,5,0)),0%,VLOOKUP(A68,'Données projet'!$A$113:$I$133,5,0)*VLOOKUP('Données projet'!$B$12,Paramètres!$A$1:$I$89,7,0))</f>
        <v>0.17200000000000001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16.681336650247715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16.681336650247715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255</v>
      </c>
      <c r="CR68" s="12">
        <f>VLOOKUP(A68,'Données projet'!$A$139:$I$159,9,0)</f>
        <v>4.4000000000000004</v>
      </c>
      <c r="CS68" s="12">
        <f t="array" ref="CS68">INDEX(CR:CR,MIN(IF(ISNUMBER(CR68:CR264),ROW(CR68:CR264),"")))</f>
        <v>4.4000000000000004</v>
      </c>
      <c r="CT68" s="12">
        <f>IF('Données projet'!$A$140&gt;35,CT67+CS68-DB67,IF(A68&lt;'Données projet'!$A$140,$CQ$205^A68,IF(A68='Données projet'!$A$140,'Données projet'!$B$140,CT67+CS68-DB67)))</f>
        <v>254.99999999999986</v>
      </c>
      <c r="CU68" s="17">
        <f>CT68*VLOOKUP('Données projet'!$B$13,Paramètres!$A$1:$I$89,3,0)*VLOOKUP('Données projet'!$B$13,Paramètres!$A$1:$I$89,5,0)</f>
        <v>167.07599999999991</v>
      </c>
      <c r="CV68" s="13">
        <f t="shared" si="41"/>
        <v>42.434485059621636</v>
      </c>
      <c r="CW68" s="20">
        <f t="shared" ref="CW68:CW131" si="67">(CU68+CV68)*0.475*44/12</f>
        <v>364.89742814550755</v>
      </c>
      <c r="CX68" s="59">
        <f t="shared" ref="CX68:CX131" si="68">CW68+(CO68+CP68)*44/12</f>
        <v>658.2307614788408</v>
      </c>
      <c r="CY68" s="59">
        <f ca="1">AVERAGE(OFFSET($CX$3,0,0,'Données projet'!$E$13+1,1))-AVERAGE(OFFSET($H$3,0,0,'Données projet'!$E$13+1,1))</f>
        <v>255.09913504736693</v>
      </c>
      <c r="CZ68" s="59">
        <f t="shared" si="42"/>
        <v>248.42617382406644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11</v>
      </c>
      <c r="DC68" s="16">
        <f>IF(ISNA(VLOOKUP(A68,'Données projet'!$A$139:$I$159,5,0)),0%,VLOOKUP(A68,'Données projet'!$A$139:$I$159,5,0)*VLOOKUP('Données projet'!$B$13,Paramètres!$A$1:$I$89,7,0))</f>
        <v>0.215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8.984939060201647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8.984939060201647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229</v>
      </c>
      <c r="DM68" s="12">
        <f>VLOOKUP(A68,'Données projet'!$A$165:$I$185,9,0)</f>
        <v>7.2</v>
      </c>
      <c r="DN68" s="12">
        <f t="array" ref="DN68">INDEX(DM:DM,MIN(IF(ISNUMBER(DM68:DM264),ROW(DM68:DM264),"")))</f>
        <v>7.2</v>
      </c>
      <c r="DO68" s="12">
        <f>IF('Données projet'!$A$166&gt;35,DO67+DN68-DW67,IF(A68&lt;'Données projet'!$A$166,$DL$205^A68,IF(A68='Données projet'!$A$166,'Données projet'!$B$166,DO67+DN68-DW67)))</f>
        <v>228.99999999999991</v>
      </c>
      <c r="DP68" s="17">
        <f>DO68*VLOOKUP('Données projet'!$B$14,Paramètres!$A$1:$I$89,3,0)*VLOOKUP('Données projet'!$B$14,Paramètres!$A$1:$I$89,5,0)</f>
        <v>260.78519999999992</v>
      </c>
      <c r="DQ68" s="13">
        <f t="shared" si="43"/>
        <v>62.889721480388644</v>
      </c>
      <c r="DR68" s="20">
        <f t="shared" ref="DR68:DR131" si="70">(DP68+DQ68)*0.475*44/12</f>
        <v>563.7338215783434</v>
      </c>
      <c r="DS68" s="59">
        <f t="shared" ref="DS68:DS131" si="71">DR68+(DJ68+DK68)*44/12</f>
        <v>857.06715491167665</v>
      </c>
      <c r="DT68" s="59">
        <f ca="1">AVERAGE(OFFSET($DS$3,0,0,'Données projet'!$E$14+1,1))-AVERAGE(OFFSET($H$3,0,0,'Données projet'!$E$14+1,1))</f>
        <v>459.67331926893809</v>
      </c>
      <c r="DU68" s="59">
        <f t="shared" si="44"/>
        <v>280.33242658375497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21</v>
      </c>
      <c r="DX68" s="16">
        <f>IF(ISNA(VLOOKUP(A68,'Données projet'!$A$165:$I$185,5,0)),0%,VLOOKUP(A68,'Données projet'!$A$165:$I$185,5,0)*VLOOKUP('Données projet'!$B$14,Paramètres!$A$1:$I$89,7,0))</f>
        <v>0.17200000000000001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16.913021881501148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16.913021881501148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393.21</v>
      </c>
      <c r="EH68" s="12">
        <f>VLOOKUP(A68,'Données projet'!$A$191:$I$211,9,0)</f>
        <v>8.1899999999999977</v>
      </c>
      <c r="EI68" s="12">
        <f t="array" ref="EI68">INDEX(EH:EH,MIN(IF(ISNUMBER(EH68:EH264),ROW(EH68:EH264),"")))</f>
        <v>8.1899999999999977</v>
      </c>
      <c r="EJ68" s="12">
        <f>IF('Données projet'!$A$192&gt;35,EJ67+EI68-ER67,IF(A68&lt;'Données projet'!$A$192,$EG$205^A68,IF(A68='Données projet'!$A$192,'Données projet'!$B$192,EJ67+EI68-ER67)))</f>
        <v>393.21</v>
      </c>
      <c r="EK68" s="17">
        <f>EJ68*VLOOKUP('Données projet'!$B$15,Paramètres!$A$1:$I$89,3,0)*VLOOKUP('Données projet'!$B$15,Paramètres!$A$1:$I$89,5,0)</f>
        <v>235.13958</v>
      </c>
      <c r="EL68" s="13">
        <f t="shared" si="45"/>
        <v>57.392545485368743</v>
      </c>
      <c r="EM68" s="20">
        <f t="shared" ref="EM68:EM131" si="73">(EK68+EL68)*0.475*44/12</f>
        <v>509.49345188701722</v>
      </c>
      <c r="EN68" s="59">
        <f t="shared" ref="EN68:EN131" si="74">EM68+(EE68+EF68)*44/12</f>
        <v>802.82678522035053</v>
      </c>
      <c r="EO68" s="59">
        <f ca="1">AVERAGE(OFFSET($EN$3,0,0,'Données projet'!$E$15+1,1))-AVERAGE(OFFSET($H$3,0,0,'Données projet'!$E$15+1,1))</f>
        <v>264.08053957457469</v>
      </c>
      <c r="EP68" s="59">
        <f t="shared" si="46"/>
        <v>284.83300065761051</v>
      </c>
      <c r="EQ68" s="15">
        <f>IF(ISNA(VLOOKUP(A68,'Données projet'!$A$191:$I$211,3,0)),0,VLOOKUP(A68,'Données projet'!$A$191:$I$211,3,0))</f>
        <v>7</v>
      </c>
      <c r="ER68" s="15">
        <f>IF(ISNA(VLOOKUP(A68,'Données projet'!$A$191:$I$211,4,0)),0,VLOOKUP(A68,'Données projet'!$A$191:$I$211,4,0))</f>
        <v>393.21</v>
      </c>
      <c r="ES68" s="16">
        <f>IF(ISNA(VLOOKUP(A68,'Données projet'!$A$191:$I$211,5,0)),0%,VLOOKUP(A68,'Données projet'!$A$191:$I$211,5,0)*VLOOKUP('Données projet'!$B$15,Paramètres!$A$1:$I$89,7,0))</f>
        <v>0.40500000000000003</v>
      </c>
      <c r="ET68" s="16">
        <f>IF(ISNA(VLOOKUP(A68,'Données projet'!$A$191:$I$211,6,0)),0%,VLOOKUP(A68,'Données projet'!$A$191:$I$211,6,0)*VLOOKUP('Données projet'!$B$15,Paramètres!$A$1:$I$89,7,0))</f>
        <v>2.7E-2</v>
      </c>
      <c r="EU68" s="16">
        <f>IF(ISNA(VLOOKUP(A68,'Données projet'!$A$191:$I$211,7,0)),0%,VLOOKUP(A68,'Données projet'!$A$191:$I$211,7,0))</f>
        <v>0.04</v>
      </c>
      <c r="EV68" s="21">
        <f>EXP(-LN(2)/35)*EV67+(1-EXP(-LN(2)/35))/(LN(2)/35)*ER68*ES68*VLOOKUP('Données projet'!$B$15,Paramètres!$A$1:$I$89,3,0)*0.475*44/12</f>
        <v>146.77199089873474</v>
      </c>
      <c r="EW68" s="21">
        <f>EXP(-LN(2)/25)*EW67+(1-EXP(-LN(2)/25))/(LN(2)/25)*Calculateur!ER68*Calculateur!ET68*VLOOKUP('Données projet'!$B$15,Paramètres!$A$1:$I$89,3,0)*0.475*44/12</f>
        <v>18.387845468122332</v>
      </c>
      <c r="EX68" s="21">
        <f>EXP(-LN(2)/2)*EX67+(1-EXP(-LN(2)/2))/(LN(2)/2)*ER68*EU68*VLOOKUP('Données projet'!$B$15,Paramètres!$A$1:$I$89,3,0)*0.475*44/12</f>
        <v>10.668349060830391</v>
      </c>
      <c r="EY68" s="22">
        <f t="shared" ref="EY68:EY131" si="75">SUM(EV68:EX68)</f>
        <v>175.82818542768746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340</v>
      </c>
      <c r="FC68" s="12">
        <f>VLOOKUP(A68,'Données projet'!$A$217:$I$237,9,0)</f>
        <v>18</v>
      </c>
      <c r="FD68" s="12">
        <f t="array" ref="FD68">INDEX(FC:FC,MIN(IF(ISNUMBER(FC68:FC264),ROW(FC68:FC264),"")))</f>
        <v>18</v>
      </c>
      <c r="FE68" s="12">
        <f>IF('Données projet'!$A$218&gt;35,FE67+FD68-FM67,IF(A68&lt;'Données projet'!$A$218,$FB$205^A68,IF(A68='Données projet'!$A$218,'Données projet'!$B$218,FE67+FD68-FM67)))</f>
        <v>340</v>
      </c>
      <c r="FF68" s="17">
        <f>FE68*VLOOKUP('Données projet'!$B$16,Paramètres!$A$1:$I$89,3,0)*VLOOKUP('Données projet'!$B$16,Paramètres!$A$1:$I$89,5,0)</f>
        <v>159.12</v>
      </c>
      <c r="FG68" s="13">
        <f t="shared" si="47"/>
        <v>40.643965284387697</v>
      </c>
      <c r="FH68" s="20">
        <f t="shared" ref="FH68:FH131" si="76">(FF68+FG68)*0.475*44/12</f>
        <v>347.92223953697521</v>
      </c>
      <c r="FI68" s="59">
        <f t="shared" ref="FI68:FI131" si="77">FH68+(EZ68+FA68)*44/12</f>
        <v>641.25557287030847</v>
      </c>
      <c r="FJ68" s="59">
        <f ca="1">AVERAGE(OFFSET($FI$3,0,0,'Données projet'!$E$16+1,1))-AVERAGE(OFFSET($H$3,0,0,'Données projet'!$E$16+1,1))</f>
        <v>166.27444639635013</v>
      </c>
      <c r="FK68" s="59">
        <f t="shared" si="48"/>
        <v>213.60182977243113</v>
      </c>
      <c r="FL68" s="15">
        <f>IF(ISNA(VLOOKUP(A68,'Données projet'!$A$217:$I$237,3,0)),0,VLOOKUP(A68,'Données projet'!$A$217:$I$237,3,0))</f>
        <v>5</v>
      </c>
      <c r="FM68" s="15">
        <f>IF(ISNA(VLOOKUP(A68,'Données projet'!$A$217:$I$237,4,0)),0,VLOOKUP(A68,'Données projet'!$A$217:$I$237,4,0))</f>
        <v>340</v>
      </c>
      <c r="FN68" s="16">
        <f>IF(ISNA(VLOOKUP(A68,'Données projet'!$A$217:$I$237,5,0)),0%,VLOOKUP(A68,'Données projet'!$A$217:$I$237,5,0)*VLOOKUP('Données projet'!$B$16,Paramètres!$A$1:$I$89,7,0))</f>
        <v>0.33</v>
      </c>
      <c r="FO68" s="16">
        <f>IF(ISNA(VLOOKUP(A68,'Données projet'!$A$217:$I$237,6,0)),0%,VLOOKUP(A68,'Données projet'!$A$217:$I$237,6,0)*VLOOKUP('Données projet'!$B$16,Paramètres!$A$1:$I$89,7,0))</f>
        <v>0.12100000000000001</v>
      </c>
      <c r="FP68" s="16">
        <f>IF(ISNA(VLOOKUP(A68,'Données projet'!$A$217:$I$237,7,0)),0%,VLOOKUP(A68,'Données projet'!$A$217:$I$237,7,0))</f>
        <v>0.18</v>
      </c>
      <c r="FQ68" s="21">
        <f>EXP(-LN(2)/35)*FQ67+(1-EXP(-LN(2)/35))/(LN(2)/35)*FM68*FN68*VLOOKUP('Données projet'!$B$16,Paramètres!$A$1:$I$89,3,0)*0.475*44/12</f>
        <v>87.975084229870887</v>
      </c>
      <c r="FR68" s="21">
        <f>EXP(-LN(2)/25)*FR67+(1-EXP(-LN(2)/25))/(LN(2)/25)*Calculateur!FM68*Calculateur!FO68*VLOOKUP('Données projet'!$B$16,Paramètres!$A$1:$I$89,3,0)*0.475*44/12</f>
        <v>40.776106185717396</v>
      </c>
      <c r="FS68" s="21">
        <f>EXP(-LN(2)/2)*FS67+(1-EXP(-LN(2)/2))/(LN(2)/2)*FM68*FP68*VLOOKUP('Données projet'!$B$16,Paramètres!$A$1:$I$89,3,0)*0.475*44/12</f>
        <v>33.498870394988074</v>
      </c>
      <c r="FT68" s="22">
        <f t="shared" ref="FT68:FT131" si="78">SUM(FQ68:FS68)</f>
        <v>162.25006081057634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269.19999999999987</v>
      </c>
      <c r="O69" s="13">
        <f>N69*VLOOKUP('Données projet'!$B$9,Paramètres!$A$1:$I$89,3,0)*VLOOKUP('Données projet'!$B$9,Paramètres!$A$1:$I$89,5,0)</f>
        <v>243.57215999999985</v>
      </c>
      <c r="P69" s="13">
        <f t="shared" ref="P69:P132" si="87">EXP(-1.0587+0.8836*LN(O69)+0.284)</f>
        <v>59.207435995642292</v>
      </c>
      <c r="Q69" s="20">
        <f t="shared" si="54"/>
        <v>527.34112969240994</v>
      </c>
      <c r="R69" s="59">
        <f t="shared" si="55"/>
        <v>820.67446302574331</v>
      </c>
      <c r="S69" s="59">
        <f ca="1">AVERAGE(OFFSET($R$3,0,0,'Données projet'!$E$9+1,1))-AVERAGE(OFFSET($H$3,0,0,'Données projet'!$E$9+1,1))</f>
        <v>458.37755197712164</v>
      </c>
      <c r="T69" s="59">
        <f t="shared" ref="T69:T132" si="88">$T$3</f>
        <v>278.21741231699917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17.565649947454236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17.565649947454236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269.19999999999987</v>
      </c>
      <c r="AJ69" s="13">
        <f>AI69*VLOOKUP('Données projet'!$B$10,Paramètres!$A$1:$I$89,3,0)*VLOOKUP('Données projet'!$B$10,Paramètres!$A$1:$I$89,5,0)</f>
        <v>272.96879999999993</v>
      </c>
      <c r="AK69" s="13">
        <f t="shared" ref="AK69:AK132" si="89">EXP(-1.0587+0.8836*LN(AJ69)+0.284)</f>
        <v>65.478922017818945</v>
      </c>
      <c r="AL69" s="20">
        <f t="shared" si="58"/>
        <v>589.46311584770126</v>
      </c>
      <c r="AM69" s="59">
        <f t="shared" si="59"/>
        <v>882.79644918103463</v>
      </c>
      <c r="AN69" s="59">
        <f ca="1">AVERAGE(OFFSET($AM$3,0,0,'Données projet'!$E$10+1,1))-AVERAGE(OFFSET($H$3,0,0,'Données projet'!$E$10+1,1))</f>
        <v>508.60701013958447</v>
      </c>
      <c r="AO69" s="59">
        <f t="shared" ref="AO69:AO132" si="90">$AO$3</f>
        <v>306.61893266146654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19.685642182491815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19.685642182491815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214.79999999999993</v>
      </c>
      <c r="BE69" s="13">
        <f>BD69*VLOOKUP('Données projet'!$B$11,Paramètres!$A$1:$I$89,3,0)*VLOOKUP('Données projet'!$B$11,Paramètres!$A$1:$I$89,5,0)</f>
        <v>204.40367999999995</v>
      </c>
      <c r="BF69" s="13">
        <f t="shared" ref="BF69:BF132" si="91">EXP(-1.0587+0.8836*LN(BE69)+0.284)</f>
        <v>50.710733146553501</v>
      </c>
      <c r="BG69" s="20">
        <f t="shared" si="61"/>
        <v>444.32426956358057</v>
      </c>
      <c r="BH69" s="59">
        <f t="shared" si="62"/>
        <v>737.65760289691389</v>
      </c>
      <c r="BI69" s="59">
        <f ca="1">AVERAGE(OFFSET($BH$3,0,0,'Données projet'!$E$11+1,1))-AVERAGE(OFFSET($H$3,0,0,'Données projet'!$E$11+1,1))</f>
        <v>291.17074241052887</v>
      </c>
      <c r="BJ69" s="59">
        <f t="shared" ref="BJ69:BJ132" si="92">$BJ$3</f>
        <v>241.18285512887638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13.85566353613847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13.85566353613847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8.1999999999999993</v>
      </c>
      <c r="BY69" s="12">
        <f>IF('Données projet'!$A$114&gt;35,BY68+BX69-CG68,IF(A69&lt;'Données projet'!$A$114,$BV$205^A69,IF(A69='Données projet'!$A$114,'Données projet'!$B$114,BY68+BX69-CG68)))</f>
        <v>269.19999999999987</v>
      </c>
      <c r="BZ69" s="13">
        <f>BY69*VLOOKUP('Données projet'!$B$12,Paramètres!$A$1:$I$89,3,0)*VLOOKUP('Données projet'!$B$12,Paramètres!$A$1:$I$89,5,0)</f>
        <v>226.77407999999991</v>
      </c>
      <c r="CA69" s="13">
        <f t="shared" ref="CA69:CA132" si="93">EXP(-1.0587+0.8836*LN(BZ69)+0.284)</f>
        <v>55.584589827360034</v>
      </c>
      <c r="CB69" s="20">
        <f t="shared" si="64"/>
        <v>491.77468328265189</v>
      </c>
      <c r="CC69" s="59">
        <f t="shared" si="65"/>
        <v>785.10801661598521</v>
      </c>
      <c r="CD69" s="59">
        <f ca="1">AVERAGE(OFFSET($CC$3,0,0,'Données projet'!$E$12+1,1))-AVERAGE(OFFSET($H$3,0,0,'Données projet'!$E$12+1,1))</f>
        <v>429.61977776013185</v>
      </c>
      <c r="CE69" s="59">
        <f t="shared" ref="CE69:CE132" si="94">$CE$3</f>
        <v>261.95434270986385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16.354225813147053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16.354225813147053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3.8</v>
      </c>
      <c r="CT69" s="12">
        <f>IF('Données projet'!$A$140&gt;35,CT68+CS69-DB68,IF(A69&lt;'Données projet'!$A$140,$CQ$205^A69,IF(A69='Données projet'!$A$140,'Données projet'!$B$140,CT68+CS69-DB68)))</f>
        <v>247.79999999999984</v>
      </c>
      <c r="CU69" s="17">
        <f>CT69*VLOOKUP('Données projet'!$B$13,Paramètres!$A$1:$I$89,3,0)*VLOOKUP('Données projet'!$B$13,Paramètres!$A$1:$I$89,5,0)</f>
        <v>162.3585599999999</v>
      </c>
      <c r="CV69" s="13">
        <f t="shared" ref="CV69:CV132" si="95">EXP(-1.0587+0.8836*LN(CU69)+0.284)</f>
        <v>41.374041283105406</v>
      </c>
      <c r="CW69" s="20">
        <f t="shared" si="67"/>
        <v>354.83428056807503</v>
      </c>
      <c r="CX69" s="59">
        <f t="shared" si="68"/>
        <v>648.16761390140834</v>
      </c>
      <c r="CY69" s="59">
        <f ca="1">AVERAGE(OFFSET($CX$3,0,0,'Données projet'!$E$13+1,1))-AVERAGE(OFFSET($H$3,0,0,'Données projet'!$E$13+1,1))</f>
        <v>255.09913504736693</v>
      </c>
      <c r="CZ69" s="59">
        <f t="shared" ref="CZ69:CZ132" si="96">$CZ$3</f>
        <v>248.42617382406644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8.8087498855027881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8.8087498855027881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6.8</v>
      </c>
      <c r="DO69" s="12">
        <f>IF('Données projet'!$A$166&gt;35,DO68+DN69-DW68,IF(A69&lt;'Données projet'!$A$166,$DL$205^A69,IF(A69='Données projet'!$A$166,'Données projet'!$B$166,DO68+DN69-DW68)))</f>
        <v>214.79999999999993</v>
      </c>
      <c r="DP69" s="17">
        <f>DO69*VLOOKUP('Données projet'!$B$14,Paramètres!$A$1:$I$89,3,0)*VLOOKUP('Données projet'!$B$14,Paramètres!$A$1:$I$89,5,0)</f>
        <v>244.61423999999991</v>
      </c>
      <c r="DQ69" s="13">
        <f t="shared" ref="DQ69:DQ132" si="97">EXP(-1.0587+0.8836*LN(DP69)+0.284)</f>
        <v>59.431203693842598</v>
      </c>
      <c r="DR69" s="20">
        <f t="shared" si="70"/>
        <v>529.54581443344239</v>
      </c>
      <c r="DS69" s="59">
        <f t="shared" si="71"/>
        <v>822.87914776677576</v>
      </c>
      <c r="DT69" s="59">
        <f ca="1">AVERAGE(OFFSET($DS$3,0,0,'Données projet'!$E$14+1,1))-AVERAGE(OFFSET($H$3,0,0,'Données projet'!$E$14+1,1))</f>
        <v>459.67331926893809</v>
      </c>
      <c r="DU69" s="59">
        <f t="shared" ref="DU69:DU132" si="98">$DU$3</f>
        <v>280.33242658375497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16.581367838329644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16.581367838329644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>
        <f>EJ69*VLOOKUP('Données projet'!$B$15,Paramètres!$A$1:$I$89,3,0)*VLOOKUP('Données projet'!$B$15,Paramètres!$A$1:$I$89,5,0)</f>
        <v>0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264.08053957457469</v>
      </c>
      <c r="EP69" s="59">
        <f t="shared" ref="EP69:EP132" si="100">$EP$3</f>
        <v>284.83300065761051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143.89388167928544</v>
      </c>
      <c r="EW69" s="21">
        <f>EXP(-LN(2)/25)*EW68+(1-EXP(-LN(2)/25))/(LN(2)/25)*Calculateur!ER69*Calculateur!ET69*VLOOKUP('Données projet'!$B$15,Paramètres!$A$1:$I$89,3,0)*0.475*44/12</f>
        <v>17.885028866821759</v>
      </c>
      <c r="EX69" s="21">
        <f>EXP(-LN(2)/2)*EX68+(1-EXP(-LN(2)/2))/(LN(2)/2)*ER69*EU69*VLOOKUP('Données projet'!$B$15,Paramètres!$A$1:$I$89,3,0)*0.475*44/12</f>
        <v>7.5436619649783054</v>
      </c>
      <c r="EY69" s="22">
        <f t="shared" si="75"/>
        <v>169.3225725110855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>
        <f>FE69*VLOOKUP('Données projet'!$B$16,Paramètres!$A$1:$I$89,3,0)*VLOOKUP('Données projet'!$B$16,Paramètres!$A$1:$I$89,5,0)</f>
        <v>0</v>
      </c>
      <c r="FG69" s="13" t="e">
        <f t="shared" ref="FG69:FG132" si="101">EXP(-1.0587+0.8836*LN(FF69)+0.284)</f>
        <v>#NUM!</v>
      </c>
      <c r="FH69" s="20" t="e">
        <f t="shared" si="76"/>
        <v>#NUM!</v>
      </c>
      <c r="FI69" s="59" t="e">
        <f t="shared" si="77"/>
        <v>#NUM!</v>
      </c>
      <c r="FJ69" s="59">
        <f ca="1">AVERAGE(OFFSET($FI$3,0,0,'Données projet'!$E$16+1,1))-AVERAGE(OFFSET($H$3,0,0,'Données projet'!$E$16+1,1))</f>
        <v>166.27444639635013</v>
      </c>
      <c r="FK69" s="59">
        <f t="shared" ref="FK69:FK132" si="102">$FK$3</f>
        <v>213.60182977243113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86.249946487626062</v>
      </c>
      <c r="FR69" s="21">
        <f>EXP(-LN(2)/25)*FR68+(1-EXP(-LN(2)/25))/(LN(2)/25)*Calculateur!FM69*Calculateur!FO69*VLOOKUP('Données projet'!$B$16,Paramètres!$A$1:$I$89,3,0)*0.475*44/12</f>
        <v>39.661081417746722</v>
      </c>
      <c r="FS69" s="21">
        <f>EXP(-LN(2)/2)*FS68+(1-EXP(-LN(2)/2))/(LN(2)/2)*FM69*FP69*VLOOKUP('Données projet'!$B$16,Paramètres!$A$1:$I$89,3,0)*0.475*44/12</f>
        <v>23.68727841838535</v>
      </c>
      <c r="FT69" s="22">
        <f t="shared" si="78"/>
        <v>149.59830632375812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277.39999999999986</v>
      </c>
      <c r="O70" s="13">
        <f>N70*VLOOKUP('Données projet'!$B$9,Paramètres!$A$1:$I$89,3,0)*VLOOKUP('Données projet'!$B$9,Paramètres!$A$1:$I$89,5,0)</f>
        <v>250.99151999999987</v>
      </c>
      <c r="P70" s="13">
        <f t="shared" si="87"/>
        <v>60.798211000769349</v>
      </c>
      <c r="Q70" s="20">
        <f t="shared" si="54"/>
        <v>543.03378149300636</v>
      </c>
      <c r="R70" s="59">
        <f t="shared" si="55"/>
        <v>836.36711482633973</v>
      </c>
      <c r="S70" s="59">
        <f ca="1">AVERAGE(OFFSET($R$3,0,0,'Données projet'!$E$9+1,1))-AVERAGE(OFFSET($H$3,0,0,'Données projet'!$E$9+1,1))</f>
        <v>458.37755197712164</v>
      </c>
      <c r="T70" s="59">
        <f t="shared" si="88"/>
        <v>278.21741231699917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17.221198265973207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17.221198265973207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277.39999999999986</v>
      </c>
      <c r="AJ70" s="13">
        <f>AI70*VLOOKUP('Données projet'!$B$10,Paramètres!$A$1:$I$89,3,0)*VLOOKUP('Données projet'!$B$10,Paramètres!$A$1:$I$89,5,0)</f>
        <v>281.28359999999986</v>
      </c>
      <c r="AK70" s="13">
        <f t="shared" si="89"/>
        <v>67.238198209347871</v>
      </c>
      <c r="AL70" s="20">
        <f t="shared" si="58"/>
        <v>607.00879854794721</v>
      </c>
      <c r="AM70" s="59">
        <f t="shared" si="59"/>
        <v>900.34213188128047</v>
      </c>
      <c r="AN70" s="59">
        <f ca="1">AVERAGE(OFFSET($AM$3,0,0,'Données projet'!$E$10+1,1))-AVERAGE(OFFSET($H$3,0,0,'Données projet'!$E$10+1,1))</f>
        <v>508.60701013958447</v>
      </c>
      <c r="AO70" s="59">
        <f t="shared" si="90"/>
        <v>306.61893266146654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19.299618746349285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19.299618746349285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221.59999999999994</v>
      </c>
      <c r="BE70" s="13">
        <f>BD70*VLOOKUP('Données projet'!$B$11,Paramètres!$A$1:$I$89,3,0)*VLOOKUP('Données projet'!$B$11,Paramètres!$A$1:$I$89,5,0)</f>
        <v>210.87455999999995</v>
      </c>
      <c r="BF70" s="13">
        <f t="shared" si="91"/>
        <v>52.126652811854591</v>
      </c>
      <c r="BG70" s="20">
        <f t="shared" si="61"/>
        <v>458.06044564731332</v>
      </c>
      <c r="BH70" s="59">
        <f t="shared" si="62"/>
        <v>751.39377898064663</v>
      </c>
      <c r="BI70" s="59">
        <f ca="1">AVERAGE(OFFSET($BH$3,0,0,'Données projet'!$E$11+1,1))-AVERAGE(OFFSET($H$3,0,0,'Données projet'!$E$11+1,1))</f>
        <v>291.17074241052887</v>
      </c>
      <c r="BJ70" s="59">
        <f t="shared" si="92"/>
        <v>241.18285512887638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13.583962425315073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13.583962425315073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8.1999999999999993</v>
      </c>
      <c r="BY70" s="12">
        <f>IF('Données projet'!$A$114&gt;35,BY69+BX70-CG69,IF(A70&lt;'Données projet'!$A$114,$BV$205^A70,IF(A70='Données projet'!$A$114,'Données projet'!$B$114,BY69+BX70-CG69)))</f>
        <v>277.39999999999986</v>
      </c>
      <c r="BZ70" s="13">
        <f>BY70*VLOOKUP('Données projet'!$B$12,Paramètres!$A$1:$I$89,3,0)*VLOOKUP('Données projet'!$B$12,Paramètres!$A$1:$I$89,5,0)</f>
        <v>233.68175999999991</v>
      </c>
      <c r="CA70" s="13">
        <f t="shared" si="93"/>
        <v>57.078026837098335</v>
      </c>
      <c r="CB70" s="20">
        <f t="shared" si="64"/>
        <v>506.40662874127946</v>
      </c>
      <c r="CC70" s="59">
        <f t="shared" si="65"/>
        <v>799.73996207461278</v>
      </c>
      <c r="CD70" s="59">
        <f ca="1">AVERAGE(OFFSET($CC$3,0,0,'Données projet'!$E$12+1,1))-AVERAGE(OFFSET($H$3,0,0,'Données projet'!$E$12+1,1))</f>
        <v>429.61977776013185</v>
      </c>
      <c r="CE70" s="59">
        <f t="shared" si="94"/>
        <v>261.95434270986385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16.033529420044026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16.033529420044026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3.8</v>
      </c>
      <c r="CT70" s="12">
        <f>IF('Données projet'!$A$140&gt;35,CT69+CS70-DB69,IF(A70&lt;'Données projet'!$A$140,$CQ$205^A70,IF(A70='Données projet'!$A$140,'Données projet'!$B$140,CT69+CS70-DB69)))</f>
        <v>251.59999999999985</v>
      </c>
      <c r="CU70" s="17">
        <f>CT70*VLOOKUP('Données projet'!$B$13,Paramètres!$A$1:$I$89,3,0)*VLOOKUP('Données projet'!$B$13,Paramètres!$A$1:$I$89,5,0)</f>
        <v>164.84831999999992</v>
      </c>
      <c r="CV70" s="13">
        <f t="shared" si="95"/>
        <v>41.934160358278397</v>
      </c>
      <c r="CW70" s="20">
        <f t="shared" si="67"/>
        <v>360.14615329066805</v>
      </c>
      <c r="CX70" s="59">
        <f t="shared" si="68"/>
        <v>653.47948662400131</v>
      </c>
      <c r="CY70" s="59">
        <f ca="1">AVERAGE(OFFSET($CX$3,0,0,'Données projet'!$E$13+1,1))-AVERAGE(OFFSET($H$3,0,0,'Données projet'!$E$13+1,1))</f>
        <v>255.09913504736693</v>
      </c>
      <c r="CZ70" s="59">
        <f t="shared" si="96"/>
        <v>248.42617382406644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8.6360156730549882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8.6360156730549882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6.8</v>
      </c>
      <c r="DO70" s="12">
        <f>IF('Données projet'!$A$166&gt;35,DO69+DN70-DW69,IF(A70&lt;'Données projet'!$A$166,$DL$205^A70,IF(A70='Données projet'!$A$166,'Données projet'!$B$166,DO69+DN70-DW69)))</f>
        <v>221.59999999999994</v>
      </c>
      <c r="DP70" s="17">
        <f>DO70*VLOOKUP('Données projet'!$B$14,Paramètres!$A$1:$I$89,3,0)*VLOOKUP('Données projet'!$B$14,Paramètres!$A$1:$I$89,5,0)</f>
        <v>252.35807999999992</v>
      </c>
      <c r="DQ70" s="13">
        <f t="shared" si="97"/>
        <v>61.09061196544927</v>
      </c>
      <c r="DR70" s="20">
        <f t="shared" si="70"/>
        <v>545.92313850649077</v>
      </c>
      <c r="DS70" s="59">
        <f t="shared" si="71"/>
        <v>839.25647183982414</v>
      </c>
      <c r="DT70" s="59">
        <f ca="1">AVERAGE(OFFSET($DS$3,0,0,'Données projet'!$E$14+1,1))-AVERAGE(OFFSET($H$3,0,0,'Données projet'!$E$14+1,1))</f>
        <v>459.67331926893809</v>
      </c>
      <c r="DU70" s="59">
        <f t="shared" si="98"/>
        <v>280.33242658375497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16.256217328655744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16.256217328655744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>
        <f>EJ70*VLOOKUP('Données projet'!$B$15,Paramètres!$A$1:$I$89,3,0)*VLOOKUP('Données projet'!$B$15,Paramètres!$A$1:$I$89,5,0)</f>
        <v>0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264.08053957457469</v>
      </c>
      <c r="EP70" s="59">
        <f t="shared" si="100"/>
        <v>284.83300065761051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141.07221042615626</v>
      </c>
      <c r="EW70" s="21">
        <f>EXP(-LN(2)/25)*EW69+(1-EXP(-LN(2)/25))/(LN(2)/25)*Calculateur!ER70*Calculateur!ET70*VLOOKUP('Données projet'!$B$15,Paramètres!$A$1:$I$89,3,0)*0.475*44/12</f>
        <v>17.395961811925726</v>
      </c>
      <c r="EX70" s="21">
        <f>EXP(-LN(2)/2)*EX69+(1-EXP(-LN(2)/2))/(LN(2)/2)*ER70*EU70*VLOOKUP('Données projet'!$B$15,Paramètres!$A$1:$I$89,3,0)*0.475*44/12</f>
        <v>5.3341745304151962</v>
      </c>
      <c r="EY70" s="22">
        <f t="shared" si="75"/>
        <v>163.80234676849719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>
        <f>FE70*VLOOKUP('Données projet'!$B$16,Paramètres!$A$1:$I$89,3,0)*VLOOKUP('Données projet'!$B$16,Paramètres!$A$1:$I$89,5,0)</f>
        <v>0</v>
      </c>
      <c r="FG70" s="13" t="e">
        <f t="shared" si="101"/>
        <v>#NUM!</v>
      </c>
      <c r="FH70" s="20" t="e">
        <f t="shared" si="76"/>
        <v>#NUM!</v>
      </c>
      <c r="FI70" s="59" t="e">
        <f t="shared" si="77"/>
        <v>#NUM!</v>
      </c>
      <c r="FJ70" s="59">
        <f ca="1">AVERAGE(OFFSET($FI$3,0,0,'Données projet'!$E$16+1,1))-AVERAGE(OFFSET($H$3,0,0,'Données projet'!$E$16+1,1))</f>
        <v>166.27444639635013</v>
      </c>
      <c r="FK70" s="59">
        <f t="shared" si="102"/>
        <v>213.60182977243113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84.55863764427653</v>
      </c>
      <c r="FR70" s="21">
        <f>EXP(-LN(2)/25)*FR69+(1-EXP(-LN(2)/25))/(LN(2)/25)*Calculateur!FM70*Calculateur!FO70*VLOOKUP('Données projet'!$B$16,Paramètres!$A$1:$I$89,3,0)*0.475*44/12</f>
        <v>38.57654706069281</v>
      </c>
      <c r="FS70" s="21">
        <f>EXP(-LN(2)/2)*FS69+(1-EXP(-LN(2)/2))/(LN(2)/2)*FM70*FP70*VLOOKUP('Données projet'!$B$16,Paramètres!$A$1:$I$89,3,0)*0.475*44/12</f>
        <v>16.749435197494041</v>
      </c>
      <c r="FT70" s="22">
        <f t="shared" si="78"/>
        <v>139.88461990246338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285.59999999999985</v>
      </c>
      <c r="O71" s="13">
        <f>N71*VLOOKUP('Données projet'!$B$9,Paramètres!$A$1:$I$89,3,0)*VLOOKUP('Données projet'!$B$9,Paramètres!$A$1:$I$89,5,0)</f>
        <v>258.41087999999985</v>
      </c>
      <c r="P71" s="13">
        <f t="shared" si="87"/>
        <v>62.383521020316756</v>
      </c>
      <c r="Q71" s="20">
        <f t="shared" si="54"/>
        <v>558.71691511038478</v>
      </c>
      <c r="R71" s="59">
        <f t="shared" si="55"/>
        <v>852.05024844371815</v>
      </c>
      <c r="S71" s="59">
        <f ca="1">AVERAGE(OFFSET($R$3,0,0,'Données projet'!$E$9+1,1))-AVERAGE(OFFSET($H$3,0,0,'Données projet'!$E$9+1,1))</f>
        <v>458.37755197712164</v>
      </c>
      <c r="T71" s="59">
        <f t="shared" si="88"/>
        <v>278.21741231699917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16.88350107187124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16.88350107187124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285.59999999999985</v>
      </c>
      <c r="AJ71" s="13">
        <f>AI71*VLOOKUP('Données projet'!$B$10,Paramètres!$A$1:$I$89,3,0)*VLOOKUP('Données projet'!$B$10,Paramètres!$A$1:$I$89,5,0)</f>
        <v>289.59839999999986</v>
      </c>
      <c r="AK71" s="13">
        <f t="shared" si="89"/>
        <v>68.991430542388798</v>
      </c>
      <c r="AL71" s="20">
        <f t="shared" si="58"/>
        <v>624.54395486132682</v>
      </c>
      <c r="AM71" s="59">
        <f t="shared" si="59"/>
        <v>917.8772881946602</v>
      </c>
      <c r="AN71" s="59">
        <f ca="1">AVERAGE(OFFSET($AM$3,0,0,'Données projet'!$E$10+1,1))-AVERAGE(OFFSET($H$3,0,0,'Données projet'!$E$10+1,1))</f>
        <v>508.60701013958447</v>
      </c>
      <c r="AO71" s="59">
        <f t="shared" si="90"/>
        <v>306.61893266146654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18.921164994338461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18.921164994338461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228.39999999999995</v>
      </c>
      <c r="BE71" s="13">
        <f>BD71*VLOOKUP('Données projet'!$B$11,Paramètres!$A$1:$I$89,3,0)*VLOOKUP('Données projet'!$B$11,Paramètres!$A$1:$I$89,5,0)</f>
        <v>217.34543999999994</v>
      </c>
      <c r="BF71" s="13">
        <f t="shared" si="91"/>
        <v>53.537523221233471</v>
      </c>
      <c r="BG71" s="20">
        <f t="shared" si="61"/>
        <v>471.78782761031488</v>
      </c>
      <c r="BH71" s="59">
        <f t="shared" si="62"/>
        <v>765.12116094364819</v>
      </c>
      <c r="BI71" s="59">
        <f ca="1">AVERAGE(OFFSET($BH$3,0,0,'Données projet'!$E$11+1,1))-AVERAGE(OFFSET($H$3,0,0,'Données projet'!$E$11+1,1))</f>
        <v>291.17074241052887</v>
      </c>
      <c r="BJ71" s="59">
        <f t="shared" si="92"/>
        <v>241.18285512887638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13.31758920755361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13.31758920755361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8.1999999999999993</v>
      </c>
      <c r="BY71" s="12">
        <f>IF('Données projet'!$A$114&gt;35,BY70+BX71-CG70,IF(A71&lt;'Données projet'!$A$114,$BV$205^A71,IF(A71='Données projet'!$A$114,'Données projet'!$B$114,BY70+BX71-CG70)))</f>
        <v>285.59999999999985</v>
      </c>
      <c r="BZ71" s="13">
        <f>BY71*VLOOKUP('Données projet'!$B$12,Paramètres!$A$1:$I$89,3,0)*VLOOKUP('Données projet'!$B$12,Paramètres!$A$1:$I$89,5,0)</f>
        <v>240.58943999999991</v>
      </c>
      <c r="CA71" s="13">
        <f t="shared" si="93"/>
        <v>58.56633325847811</v>
      </c>
      <c r="CB71" s="20">
        <f t="shared" si="64"/>
        <v>521.0296384251825</v>
      </c>
      <c r="CC71" s="59">
        <f t="shared" si="65"/>
        <v>814.36297175851587</v>
      </c>
      <c r="CD71" s="59">
        <f ca="1">AVERAGE(OFFSET($CC$3,0,0,'Données projet'!$E$12+1,1))-AVERAGE(OFFSET($H$3,0,0,'Données projet'!$E$12+1,1))</f>
        <v>429.61977776013185</v>
      </c>
      <c r="CE71" s="59">
        <f t="shared" si="94"/>
        <v>261.95434270986385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15.719121687604265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15.719121687604265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3.8</v>
      </c>
      <c r="CT71" s="12">
        <f>IF('Données projet'!$A$140&gt;35,CT70+CS71-DB70,IF(A71&lt;'Données projet'!$A$140,$CQ$205^A71,IF(A71='Données projet'!$A$140,'Données projet'!$B$140,CT70+CS71-DB70)))</f>
        <v>255.39999999999986</v>
      </c>
      <c r="CU71" s="17">
        <f>CT71*VLOOKUP('Données projet'!$B$13,Paramètres!$A$1:$I$89,3,0)*VLOOKUP('Données projet'!$B$13,Paramètres!$A$1:$I$89,5,0)</f>
        <v>167.33807999999991</v>
      </c>
      <c r="CV71" s="13">
        <f t="shared" si="95"/>
        <v>42.493295553601477</v>
      </c>
      <c r="CW71" s="20">
        <f t="shared" si="67"/>
        <v>365.45631242252239</v>
      </c>
      <c r="CX71" s="59">
        <f t="shared" si="68"/>
        <v>658.78964575585564</v>
      </c>
      <c r="CY71" s="59">
        <f ca="1">AVERAGE(OFFSET($CX$3,0,0,'Données projet'!$E$13+1,1))-AVERAGE(OFFSET($H$3,0,0,'Données projet'!$E$13+1,1))</f>
        <v>255.09913504736693</v>
      </c>
      <c r="CZ71" s="59">
        <f t="shared" si="96"/>
        <v>248.42617382406644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8.4666686731558229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8.4666686731558229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6.8</v>
      </c>
      <c r="DO71" s="12">
        <f>IF('Données projet'!$A$166&gt;35,DO70+DN71-DW70,IF(A71&lt;'Données projet'!$A$166,$DL$205^A71,IF(A71='Données projet'!$A$166,'Données projet'!$B$166,DO70+DN71-DW70)))</f>
        <v>228.39999999999995</v>
      </c>
      <c r="DP71" s="17">
        <f>DO71*VLOOKUP('Données projet'!$B$14,Paramètres!$A$1:$I$89,3,0)*VLOOKUP('Données projet'!$B$14,Paramètres!$A$1:$I$89,5,0)</f>
        <v>260.10191999999995</v>
      </c>
      <c r="DQ71" s="13">
        <f t="shared" si="97"/>
        <v>62.74410268590654</v>
      </c>
      <c r="DR71" s="20">
        <f t="shared" si="70"/>
        <v>562.2901561779538</v>
      </c>
      <c r="DS71" s="59">
        <f t="shared" si="71"/>
        <v>855.62348951128706</v>
      </c>
      <c r="DT71" s="59">
        <f ca="1">AVERAGE(OFFSET($DS$3,0,0,'Données projet'!$E$14+1,1))-AVERAGE(OFFSET($H$3,0,0,'Données projet'!$E$14+1,1))</f>
        <v>459.67331926893809</v>
      </c>
      <c r="DU71" s="59">
        <f t="shared" si="98"/>
        <v>280.33242658375497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15.937442822154319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15.937442822154319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>
        <f>EJ71*VLOOKUP('Données projet'!$B$15,Paramètres!$A$1:$I$89,3,0)*VLOOKUP('Données projet'!$B$15,Paramètres!$A$1:$I$89,5,0)</f>
        <v>0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264.08053957457469</v>
      </c>
      <c r="EP71" s="59">
        <f t="shared" si="100"/>
        <v>284.83300065761051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138.30587042525141</v>
      </c>
      <c r="EW71" s="21">
        <f>EXP(-LN(2)/25)*EW70+(1-EXP(-LN(2)/25))/(LN(2)/25)*Calculateur!ER71*Calculateur!ET71*VLOOKUP('Données projet'!$B$15,Paramètres!$A$1:$I$89,3,0)*0.475*44/12</f>
        <v>16.920268321364745</v>
      </c>
      <c r="EX71" s="21">
        <f>EXP(-LN(2)/2)*EX70+(1-EXP(-LN(2)/2))/(LN(2)/2)*ER71*EU71*VLOOKUP('Données projet'!$B$15,Paramètres!$A$1:$I$89,3,0)*0.475*44/12</f>
        <v>3.7718309824891532</v>
      </c>
      <c r="EY71" s="22">
        <f t="shared" si="75"/>
        <v>158.99796972910531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>
        <f>FE71*VLOOKUP('Données projet'!$B$16,Paramètres!$A$1:$I$89,3,0)*VLOOKUP('Données projet'!$B$16,Paramètres!$A$1:$I$89,5,0)</f>
        <v>0</v>
      </c>
      <c r="FG71" s="13" t="e">
        <f t="shared" si="101"/>
        <v>#NUM!</v>
      </c>
      <c r="FH71" s="20" t="e">
        <f t="shared" si="76"/>
        <v>#NUM!</v>
      </c>
      <c r="FI71" s="59" t="e">
        <f t="shared" si="77"/>
        <v>#NUM!</v>
      </c>
      <c r="FJ71" s="59">
        <f ca="1">AVERAGE(OFFSET($FI$3,0,0,'Données projet'!$E$16+1,1))-AVERAGE(OFFSET($H$3,0,0,'Données projet'!$E$16+1,1))</f>
        <v>166.27444639635013</v>
      </c>
      <c r="FK71" s="59">
        <f t="shared" si="102"/>
        <v>213.60182977243113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82.900494335748562</v>
      </c>
      <c r="FR71" s="21">
        <f>EXP(-LN(2)/25)*FR70+(1-EXP(-LN(2)/25))/(LN(2)/25)*Calculateur!FM71*Calculateur!FO71*VLOOKUP('Données projet'!$B$16,Paramètres!$A$1:$I$89,3,0)*0.475*44/12</f>
        <v>37.521669352665725</v>
      </c>
      <c r="FS71" s="21">
        <f>EXP(-LN(2)/2)*FS70+(1-EXP(-LN(2)/2))/(LN(2)/2)*FM71*FP71*VLOOKUP('Données projet'!$B$16,Paramètres!$A$1:$I$89,3,0)*0.475*44/12</f>
        <v>11.843639209192677</v>
      </c>
      <c r="FT71" s="22">
        <f t="shared" si="78"/>
        <v>132.26580289760696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293.79999999999984</v>
      </c>
      <c r="O72" s="13">
        <f>N72*VLOOKUP('Données projet'!$B$9,Paramètres!$A$1:$I$89,3,0)*VLOOKUP('Données projet'!$B$9,Paramètres!$A$1:$I$89,5,0)</f>
        <v>265.83023999999983</v>
      </c>
      <c r="P72" s="13">
        <f t="shared" si="87"/>
        <v>63.963540982526439</v>
      </c>
      <c r="Q72" s="20">
        <f t="shared" si="54"/>
        <v>574.39083521123325</v>
      </c>
      <c r="R72" s="59">
        <f t="shared" si="55"/>
        <v>867.72416854456651</v>
      </c>
      <c r="S72" s="59">
        <f ca="1">AVERAGE(OFFSET($R$3,0,0,'Données projet'!$E$9+1,1))-AVERAGE(OFFSET($H$3,0,0,'Données projet'!$E$9+1,1))</f>
        <v>458.37755197712164</v>
      </c>
      <c r="T72" s="59">
        <f t="shared" si="88"/>
        <v>278.21741231699917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16.552425913770666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16.552425913770666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293.79999999999984</v>
      </c>
      <c r="AJ72" s="13">
        <f>AI72*VLOOKUP('Données projet'!$B$10,Paramètres!$A$1:$I$89,3,0)*VLOOKUP('Données projet'!$B$10,Paramètres!$A$1:$I$89,5,0)</f>
        <v>297.91319999999985</v>
      </c>
      <c r="AK72" s="13">
        <f t="shared" si="89"/>
        <v>70.73881247427552</v>
      </c>
      <c r="AL72" s="20">
        <f t="shared" si="58"/>
        <v>642.06892172602954</v>
      </c>
      <c r="AM72" s="59">
        <f t="shared" si="59"/>
        <v>935.40225505936291</v>
      </c>
      <c r="AN72" s="59">
        <f ca="1">AVERAGE(OFFSET($AM$3,0,0,'Données projet'!$E$10+1,1))-AVERAGE(OFFSET($H$3,0,0,'Données projet'!$E$10+1,1))</f>
        <v>508.60701013958447</v>
      </c>
      <c r="AO72" s="59">
        <f t="shared" si="90"/>
        <v>306.61893266146654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18.550132489570576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18.550132489570576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235.19999999999996</v>
      </c>
      <c r="BE72" s="13">
        <f>BD72*VLOOKUP('Données projet'!$B$11,Paramètres!$A$1:$I$89,3,0)*VLOOKUP('Données projet'!$B$11,Paramètres!$A$1:$I$89,5,0)</f>
        <v>223.81631999999999</v>
      </c>
      <c r="BF72" s="13">
        <f t="shared" si="91"/>
        <v>54.94351196072666</v>
      </c>
      <c r="BG72" s="20">
        <f t="shared" si="61"/>
        <v>485.50670733159899</v>
      </c>
      <c r="BH72" s="59">
        <f t="shared" si="62"/>
        <v>778.8400406649323</v>
      </c>
      <c r="BI72" s="59">
        <f ca="1">AVERAGE(OFFSET($BH$3,0,0,'Données projet'!$E$11+1,1))-AVERAGE(OFFSET($H$3,0,0,'Données projet'!$E$11+1,1))</f>
        <v>291.17074241052887</v>
      </c>
      <c r="BJ72" s="59">
        <f t="shared" si="92"/>
        <v>241.18285512887638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13.056439406120827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13.056439406120827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8.1999999999999993</v>
      </c>
      <c r="BY72" s="12">
        <f>IF('Données projet'!$A$114&gt;35,BY71+BX72-CG71,IF(A72&lt;'Données projet'!$A$114,$BV$205^A72,IF(A72='Données projet'!$A$114,'Données projet'!$B$114,BY71+BX72-CG71)))</f>
        <v>293.79999999999984</v>
      </c>
      <c r="BZ72" s="13">
        <f>BY72*VLOOKUP('Données projet'!$B$12,Paramètres!$A$1:$I$89,3,0)*VLOOKUP('Données projet'!$B$12,Paramètres!$A$1:$I$89,5,0)</f>
        <v>247.49711999999991</v>
      </c>
      <c r="CA72" s="13">
        <f t="shared" si="93"/>
        <v>60.049673316050104</v>
      </c>
      <c r="CB72" s="20">
        <f t="shared" si="64"/>
        <v>535.64399835878703</v>
      </c>
      <c r="CC72" s="59">
        <f t="shared" si="65"/>
        <v>828.97733169212029</v>
      </c>
      <c r="CD72" s="59">
        <f ca="1">AVERAGE(OFFSET($CC$3,0,0,'Données projet'!$E$12+1,1))-AVERAGE(OFFSET($H$3,0,0,'Données projet'!$E$12+1,1))</f>
        <v>429.61977776013185</v>
      </c>
      <c r="CE72" s="59">
        <f t="shared" si="94"/>
        <v>261.95434270986385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15.410879299027865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15.410879299027865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3.8</v>
      </c>
      <c r="CT72" s="12">
        <f>IF('Données projet'!$A$140&gt;35,CT71+CS72-DB71,IF(A72&lt;'Données projet'!$A$140,$CQ$205^A72,IF(A72='Données projet'!$A$140,'Données projet'!$B$140,CT71+CS72-DB71)))</f>
        <v>259.19999999999987</v>
      </c>
      <c r="CU72" s="17">
        <f>CT72*VLOOKUP('Données projet'!$B$13,Paramètres!$A$1:$I$89,3,0)*VLOOKUP('Données projet'!$B$13,Paramètres!$A$1:$I$89,5,0)</f>
        <v>169.82783999999992</v>
      </c>
      <c r="CV72" s="13">
        <f t="shared" si="95"/>
        <v>43.051463198873776</v>
      </c>
      <c r="CW72" s="20">
        <f t="shared" si="67"/>
        <v>370.76478640470503</v>
      </c>
      <c r="CX72" s="59">
        <f t="shared" si="68"/>
        <v>664.09811973803835</v>
      </c>
      <c r="CY72" s="59">
        <f ca="1">AVERAGE(OFFSET($CX$3,0,0,'Données projet'!$E$13+1,1))-AVERAGE(OFFSET($H$3,0,0,'Données projet'!$E$13+1,1))</f>
        <v>255.09913504736693</v>
      </c>
      <c r="CZ72" s="59">
        <f t="shared" si="96"/>
        <v>248.42617382406644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8.30064246463321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8.30064246463321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6.8</v>
      </c>
      <c r="DO72" s="12">
        <f>IF('Données projet'!$A$166&gt;35,DO71+DN72-DW71,IF(A72&lt;'Données projet'!$A$166,$DL$205^A72,IF(A72='Données projet'!$A$166,'Données projet'!$B$166,DO71+DN72-DW71)))</f>
        <v>235.19999999999996</v>
      </c>
      <c r="DP72" s="17">
        <f>DO72*VLOOKUP('Données projet'!$B$14,Paramètres!$A$1:$I$89,3,0)*VLOOKUP('Données projet'!$B$14,Paramètres!$A$1:$I$89,5,0)</f>
        <v>267.84575999999998</v>
      </c>
      <c r="DQ72" s="13">
        <f t="shared" si="97"/>
        <v>64.391872260181472</v>
      </c>
      <c r="DR72" s="20">
        <f t="shared" si="70"/>
        <v>578.64720951981599</v>
      </c>
      <c r="DS72" s="59">
        <f t="shared" si="71"/>
        <v>871.98054285314925</v>
      </c>
      <c r="DT72" s="59">
        <f ca="1">AVERAGE(OFFSET($DS$3,0,0,'Données projet'!$E$14+1,1))-AVERAGE(OFFSET($H$3,0,0,'Données projet'!$E$14+1,1))</f>
        <v>459.67331926893809</v>
      </c>
      <c r="DU72" s="59">
        <f t="shared" si="98"/>
        <v>280.33242658375497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15.624919289292137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15.624919289292137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>
        <f>EJ72*VLOOKUP('Données projet'!$B$15,Paramètres!$A$1:$I$89,3,0)*VLOOKUP('Données projet'!$B$15,Paramètres!$A$1:$I$89,5,0)</f>
        <v>0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264.08053957457469</v>
      </c>
      <c r="EP72" s="59">
        <f t="shared" si="100"/>
        <v>284.83300065761051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135.59377666446352</v>
      </c>
      <c r="EW72" s="21">
        <f>EXP(-LN(2)/25)*EW71+(1-EXP(-LN(2)/25))/(LN(2)/25)*Calculateur!ER72*Calculateur!ET72*VLOOKUP('Données projet'!$B$15,Paramètres!$A$1:$I$89,3,0)*0.475*44/12</f>
        <v>16.457582694318788</v>
      </c>
      <c r="EX72" s="21">
        <f>EXP(-LN(2)/2)*EX71+(1-EXP(-LN(2)/2))/(LN(2)/2)*ER72*EU72*VLOOKUP('Données projet'!$B$15,Paramètres!$A$1:$I$89,3,0)*0.475*44/12</f>
        <v>2.6670872652075985</v>
      </c>
      <c r="EY72" s="22">
        <f t="shared" si="75"/>
        <v>154.71844662398991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>
        <f>FE72*VLOOKUP('Données projet'!$B$16,Paramètres!$A$1:$I$89,3,0)*VLOOKUP('Données projet'!$B$16,Paramètres!$A$1:$I$89,5,0)</f>
        <v>0</v>
      </c>
      <c r="FG72" s="13" t="e">
        <f t="shared" si="101"/>
        <v>#NUM!</v>
      </c>
      <c r="FH72" s="20" t="e">
        <f t="shared" si="76"/>
        <v>#NUM!</v>
      </c>
      <c r="FI72" s="59" t="e">
        <f t="shared" si="77"/>
        <v>#NUM!</v>
      </c>
      <c r="FJ72" s="59">
        <f ca="1">AVERAGE(OFFSET($FI$3,0,0,'Données projet'!$E$16+1,1))-AVERAGE(OFFSET($H$3,0,0,'Données projet'!$E$16+1,1))</f>
        <v>166.27444639635013</v>
      </c>
      <c r="FK72" s="59">
        <f t="shared" si="102"/>
        <v>213.60182977243113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81.274866206133268</v>
      </c>
      <c r="FR72" s="21">
        <f>EXP(-LN(2)/25)*FR71+(1-EXP(-LN(2)/25))/(LN(2)/25)*Calculateur!FM72*Calculateur!FO72*VLOOKUP('Données projet'!$B$16,Paramètres!$A$1:$I$89,3,0)*0.475*44/12</f>
        <v>36.495637331038246</v>
      </c>
      <c r="FS72" s="21">
        <f>EXP(-LN(2)/2)*FS71+(1-EXP(-LN(2)/2))/(LN(2)/2)*FM72*FP72*VLOOKUP('Données projet'!$B$16,Paramètres!$A$1:$I$89,3,0)*0.475*44/12</f>
        <v>8.3747175987470222</v>
      </c>
      <c r="FT72" s="22">
        <f t="shared" si="78"/>
        <v>126.14522113591855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301.99999999999983</v>
      </c>
      <c r="O73" s="13">
        <f>N73*VLOOKUP('Données projet'!$B$9,Paramètres!$A$1:$I$89,3,0)*VLOOKUP('Données projet'!$B$9,Paramètres!$A$1:$I$89,5,0)</f>
        <v>273.24959999999982</v>
      </c>
      <c r="P73" s="13">
        <f t="shared" si="87"/>
        <v>65.538435495514264</v>
      </c>
      <c r="Q73" s="20">
        <f t="shared" si="54"/>
        <v>590.05582848802032</v>
      </c>
      <c r="R73" s="59">
        <f t="shared" si="55"/>
        <v>883.38916182135358</v>
      </c>
      <c r="S73" s="59">
        <f ca="1">AVERAGE(OFFSET($R$3,0,0,'Données projet'!$E$9+1,1))-AVERAGE(OFFSET($H$3,0,0,'Données projet'!$E$9+1,1))</f>
        <v>458.37755197712164</v>
      </c>
      <c r="T73" s="59">
        <f t="shared" si="88"/>
        <v>278.21741231699917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0.215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22.249225125981042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22.249225125981042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301.99999999999983</v>
      </c>
      <c r="AJ73" s="13">
        <f>AI73*VLOOKUP('Données projet'!$B$10,Paramètres!$A$1:$I$89,3,0)*VLOOKUP('Données projet'!$B$10,Paramètres!$A$1:$I$89,5,0)</f>
        <v>306.22799999999984</v>
      </c>
      <c r="AK73" s="13">
        <f t="shared" si="89"/>
        <v>72.480526049067294</v>
      </c>
      <c r="AL73" s="20">
        <f t="shared" si="58"/>
        <v>659.58401620212521</v>
      </c>
      <c r="AM73" s="59">
        <f t="shared" si="59"/>
        <v>952.91734953545847</v>
      </c>
      <c r="AN73" s="59">
        <f ca="1">AVERAGE(OFFSET($AM$3,0,0,'Données projet'!$E$10+1,1))-AVERAGE(OFFSET($H$3,0,0,'Données projet'!$E$10+1,1))</f>
        <v>508.60701013958447</v>
      </c>
      <c r="AO73" s="59">
        <f t="shared" si="90"/>
        <v>306.61893266146654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0.215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24.934476434289103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24.934476434289103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242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241.99999999999997</v>
      </c>
      <c r="BE73" s="13">
        <f>BD73*VLOOKUP('Données projet'!$B$11,Paramètres!$A$1:$I$89,3,0)*VLOOKUP('Données projet'!$B$11,Paramètres!$A$1:$I$89,5,0)</f>
        <v>230.28719999999998</v>
      </c>
      <c r="BF73" s="13">
        <f t="shared" si="91"/>
        <v>56.344776374959956</v>
      </c>
      <c r="BG73" s="20">
        <f t="shared" si="61"/>
        <v>499.2173588530552</v>
      </c>
      <c r="BH73" s="59">
        <f t="shared" si="62"/>
        <v>792.55069218638846</v>
      </c>
      <c r="BI73" s="59">
        <f ca="1">AVERAGE(OFFSET($BH$3,0,0,'Données projet'!$E$11+1,1))-AVERAGE(OFFSET($H$3,0,0,'Données projet'!$E$11+1,1))</f>
        <v>291.17074241052887</v>
      </c>
      <c r="BJ73" s="59">
        <f t="shared" si="92"/>
        <v>241.18285512887638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21</v>
      </c>
      <c r="BM73" s="16">
        <f>IF(ISNA(VLOOKUP(A73,'Données projet'!$A$87:$I$107,5,0)),0%,VLOOKUP(A73,'Données projet'!$A$87:$I$107,5,0)*VLOOKUP('Données projet'!$B$11,Paramètres!$A$1:$I$89,7,0))</f>
        <v>0.215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17.550035336441944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17.550035336441944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302</v>
      </c>
      <c r="BW73" s="12">
        <f>VLOOKUP(A73,'Données projet'!$A$113:$I$133,9,0)</f>
        <v>8.1999999999999993</v>
      </c>
      <c r="BX73" s="12">
        <f t="array" ref="BX73">INDEX(BW:BW,MIN(IF(ISNUMBER(BW73:BW269),ROW(BW73:BW269),"")))</f>
        <v>8.1999999999999993</v>
      </c>
      <c r="BY73" s="12">
        <f>IF('Données projet'!$A$114&gt;35,BY72+BX73-CG72,IF(A73&lt;'Données projet'!$A$114,$BV$205^A73,IF(A73='Données projet'!$A$114,'Données projet'!$B$114,BY72+BX73-CG72)))</f>
        <v>301.99999999999983</v>
      </c>
      <c r="BZ73" s="13">
        <f>BY73*VLOOKUP('Données projet'!$B$12,Paramètres!$A$1:$I$89,3,0)*VLOOKUP('Données projet'!$B$12,Paramètres!$A$1:$I$89,5,0)</f>
        <v>254.40479999999991</v>
      </c>
      <c r="CA73" s="13">
        <f t="shared" si="93"/>
        <v>61.528201545717593</v>
      </c>
      <c r="CB73" s="20">
        <f t="shared" si="64"/>
        <v>550.24997769212462</v>
      </c>
      <c r="CC73" s="59">
        <f t="shared" si="65"/>
        <v>843.58331102545799</v>
      </c>
      <c r="CD73" s="59">
        <f ca="1">AVERAGE(OFFSET($CC$3,0,0,'Données projet'!$E$12+1,1))-AVERAGE(OFFSET($H$3,0,0,'Données projet'!$E$12+1,1))</f>
        <v>429.61977776013185</v>
      </c>
      <c r="CE73" s="59">
        <f t="shared" si="94"/>
        <v>261.95434270986385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0.215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20.714795806947869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20.714795806947869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263</v>
      </c>
      <c r="CR73" s="12">
        <f>VLOOKUP(A73,'Données projet'!$A$139:$I$159,9,0)</f>
        <v>3.8</v>
      </c>
      <c r="CS73" s="12">
        <f t="array" ref="CS73">INDEX(CR:CR,MIN(IF(ISNUMBER(CR73:CR269),ROW(CR73:CR269),"")))</f>
        <v>3.8</v>
      </c>
      <c r="CT73" s="12">
        <f>IF('Données projet'!$A$140&gt;35,CT72+CS73-DB72,IF(A73&lt;'Données projet'!$A$140,$CQ$205^A73,IF(A73='Données projet'!$A$140,'Données projet'!$B$140,CT72+CS73-DB72)))</f>
        <v>262.99999999999989</v>
      </c>
      <c r="CU73" s="17">
        <f>CT73*VLOOKUP('Données projet'!$B$13,Paramètres!$A$1:$I$89,3,0)*VLOOKUP('Données projet'!$B$13,Paramètres!$A$1:$I$89,5,0)</f>
        <v>172.31759999999994</v>
      </c>
      <c r="CV73" s="13">
        <f t="shared" si="95"/>
        <v>43.608679117600254</v>
      </c>
      <c r="CW73" s="20">
        <f t="shared" si="67"/>
        <v>376.07160279648701</v>
      </c>
      <c r="CX73" s="59">
        <f t="shared" si="68"/>
        <v>669.40493612982027</v>
      </c>
      <c r="CY73" s="59">
        <f ca="1">AVERAGE(OFFSET($CX$3,0,0,'Données projet'!$E$13+1,1))-AVERAGE(OFFSET($H$3,0,0,'Données projet'!$E$13+1,1))</f>
        <v>255.09913504736693</v>
      </c>
      <c r="CZ73" s="59">
        <f t="shared" si="96"/>
        <v>248.42617382406644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10</v>
      </c>
      <c r="DC73" s="16">
        <f>IF(ISNA(VLOOKUP(A73,'Données projet'!$A$139:$I$159,5,0)),0%,VLOOKUP(A73,'Données projet'!$A$139:$I$159,5,0)*VLOOKUP('Données projet'!$B$13,Paramètres!$A$1:$I$89,7,0))</f>
        <v>0.215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9.6951259430342134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9.6951259430342134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242</v>
      </c>
      <c r="DM73" s="12">
        <f>VLOOKUP(A73,'Données projet'!$A$165:$I$185,9,0)</f>
        <v>6.8</v>
      </c>
      <c r="DN73" s="12">
        <f t="array" ref="DN73">INDEX(DM:DM,MIN(IF(ISNUMBER(DM73:DM269),ROW(DM73:DM269),"")))</f>
        <v>6.8</v>
      </c>
      <c r="DO73" s="12">
        <f>IF('Données projet'!$A$166&gt;35,DO72+DN73-DW72,IF(A73&lt;'Données projet'!$A$166,$DL$205^A73,IF(A73='Données projet'!$A$166,'Données projet'!$B$166,DO72+DN73-DW72)))</f>
        <v>241.99999999999997</v>
      </c>
      <c r="DP73" s="17">
        <f>DO73*VLOOKUP('Données projet'!$B$14,Paramètres!$A$1:$I$89,3,0)*VLOOKUP('Données projet'!$B$14,Paramètres!$A$1:$I$89,5,0)</f>
        <v>275.58959999999996</v>
      </c>
      <c r="DQ73" s="13">
        <f t="shared" si="97"/>
        <v>66.034105090666486</v>
      </c>
      <c r="DR73" s="20">
        <f t="shared" si="70"/>
        <v>594.99461969957736</v>
      </c>
      <c r="DS73" s="59">
        <f t="shared" si="71"/>
        <v>888.32795303291073</v>
      </c>
      <c r="DT73" s="59">
        <f ca="1">AVERAGE(OFFSET($DS$3,0,0,'Données projet'!$E$14+1,1))-AVERAGE(OFFSET($H$3,0,0,'Données projet'!$E$14+1,1))</f>
        <v>459.67331926893809</v>
      </c>
      <c r="DU73" s="59">
        <f t="shared" si="98"/>
        <v>280.33242658375497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21</v>
      </c>
      <c r="DX73" s="16">
        <f>IF(ISNA(VLOOKUP(A73,'Données projet'!$A$165:$I$185,5,0)),0%,VLOOKUP(A73,'Données projet'!$A$165:$I$185,5,0)*VLOOKUP('Données projet'!$B$14,Paramètres!$A$1:$I$89,7,0))</f>
        <v>0.215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21.002501304266588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21.002501304266588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>
        <f>EJ73*VLOOKUP('Données projet'!$B$15,Paramètres!$A$1:$I$89,3,0)*VLOOKUP('Données projet'!$B$15,Paramètres!$A$1:$I$89,5,0)</f>
        <v>0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264.08053957457469</v>
      </c>
      <c r="EP73" s="59">
        <f t="shared" si="100"/>
        <v>284.83300065761051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132.9348654081108</v>
      </c>
      <c r="EW73" s="21">
        <f>EXP(-LN(2)/25)*EW72+(1-EXP(-LN(2)/25))/(LN(2)/25)*Calculateur!ER73*Calculateur!ET73*VLOOKUP('Données projet'!$B$15,Paramètres!$A$1:$I$89,3,0)*0.475*44/12</f>
        <v>16.007549230075981</v>
      </c>
      <c r="EX73" s="21">
        <f>EXP(-LN(2)/2)*EX72+(1-EXP(-LN(2)/2))/(LN(2)/2)*ER73*EU73*VLOOKUP('Données projet'!$B$15,Paramètres!$A$1:$I$89,3,0)*0.475*44/12</f>
        <v>1.885915491244577</v>
      </c>
      <c r="EY73" s="22">
        <f t="shared" si="75"/>
        <v>150.82833012943138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>
        <f>FE73*VLOOKUP('Données projet'!$B$16,Paramètres!$A$1:$I$89,3,0)*VLOOKUP('Données projet'!$B$16,Paramètres!$A$1:$I$89,5,0)</f>
        <v>0</v>
      </c>
      <c r="FG73" s="13" t="e">
        <f t="shared" si="101"/>
        <v>#NUM!</v>
      </c>
      <c r="FH73" s="20" t="e">
        <f t="shared" si="76"/>
        <v>#NUM!</v>
      </c>
      <c r="FI73" s="59" t="e">
        <f t="shared" si="77"/>
        <v>#NUM!</v>
      </c>
      <c r="FJ73" s="59">
        <f ca="1">AVERAGE(OFFSET($FI$3,0,0,'Données projet'!$E$16+1,1))-AVERAGE(OFFSET($H$3,0,0,'Données projet'!$E$16+1,1))</f>
        <v>166.27444639635013</v>
      </c>
      <c r="FK73" s="59">
        <f t="shared" si="102"/>
        <v>213.60182977243113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79.681115652604475</v>
      </c>
      <c r="FR73" s="21">
        <f>EXP(-LN(2)/25)*FR72+(1-EXP(-LN(2)/25))/(LN(2)/25)*Calculateur!FM73*Calculateur!FO73*VLOOKUP('Données projet'!$B$16,Paramètres!$A$1:$I$89,3,0)*0.475*44/12</f>
        <v>35.497662208998847</v>
      </c>
      <c r="FS73" s="21">
        <f>EXP(-LN(2)/2)*FS72+(1-EXP(-LN(2)/2))/(LN(2)/2)*FM73*FP73*VLOOKUP('Données projet'!$B$16,Paramètres!$A$1:$I$89,3,0)*0.475*44/12</f>
        <v>5.9218196045963394</v>
      </c>
      <c r="FT73" s="22">
        <f t="shared" si="78"/>
        <v>121.10059746619966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281.59999999999985</v>
      </c>
      <c r="O74" s="13">
        <f>N74*VLOOKUP('Données projet'!$B$9,Paramètres!$A$1:$I$89,3,0)*VLOOKUP('Données projet'!$B$9,Paramètres!$A$1:$I$89,5,0)</f>
        <v>254.79167999999984</v>
      </c>
      <c r="P74" s="13">
        <f t="shared" si="87"/>
        <v>61.610870508448471</v>
      </c>
      <c r="Q74" s="20">
        <f t="shared" si="54"/>
        <v>551.06777546888077</v>
      </c>
      <c r="R74" s="59">
        <f t="shared" si="55"/>
        <v>844.40110880221414</v>
      </c>
      <c r="S74" s="59">
        <f ca="1">AVERAGE(OFFSET($R$3,0,0,'Données projet'!$E$9+1,1))-AVERAGE(OFFSET($H$3,0,0,'Données projet'!$E$9+1,1))</f>
        <v>458.37755197712164</v>
      </c>
      <c r="T74" s="59">
        <f t="shared" si="88"/>
        <v>278.21741231699917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21.812931391947885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21.812931391947885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281.59999999999985</v>
      </c>
      <c r="AJ74" s="13">
        <f>AI74*VLOOKUP('Données projet'!$B$10,Paramètres!$A$1:$I$89,3,0)*VLOOKUP('Données projet'!$B$10,Paramètres!$A$1:$I$89,5,0)</f>
        <v>285.54239999999987</v>
      </c>
      <c r="AK74" s="13">
        <f t="shared" si="89"/>
        <v>68.136937829389467</v>
      </c>
      <c r="AL74" s="20">
        <f t="shared" si="58"/>
        <v>615.9915133861864</v>
      </c>
      <c r="AM74" s="59">
        <f t="shared" si="59"/>
        <v>909.32484671951966</v>
      </c>
      <c r="AN74" s="59">
        <f ca="1">AVERAGE(OFFSET($AM$3,0,0,'Données projet'!$E$10+1,1))-AVERAGE(OFFSET($H$3,0,0,'Données projet'!$E$10+1,1))</f>
        <v>508.60701013958447</v>
      </c>
      <c r="AO74" s="59">
        <f t="shared" si="90"/>
        <v>306.61893266146654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24.445526559941602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24.445526559941602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6.2</v>
      </c>
      <c r="BD74" s="12">
        <f>IF('Données projet'!$A$88&gt;35,BD73+BC74-BL73,IF(A74&lt;'Données projet'!$A$88,$BA$205^A74,IF(A74='Données projet'!$A$88,'Données projet'!$B$88,BD73+BC74-BL73)))</f>
        <v>227.19999999999996</v>
      </c>
      <c r="BE74" s="13">
        <f>BD74*VLOOKUP('Données projet'!$B$11,Paramètres!$A$1:$I$89,3,0)*VLOOKUP('Données projet'!$B$11,Paramètres!$A$1:$I$89,5,0)</f>
        <v>216.20351999999997</v>
      </c>
      <c r="BF74" s="13">
        <f t="shared" si="91"/>
        <v>53.288905450648613</v>
      </c>
      <c r="BG74" s="20">
        <f t="shared" si="61"/>
        <v>469.36597432654622</v>
      </c>
      <c r="BH74" s="59">
        <f t="shared" si="62"/>
        <v>762.69930765987954</v>
      </c>
      <c r="BI74" s="59">
        <f ca="1">AVERAGE(OFFSET($BH$3,0,0,'Données projet'!$E$11+1,1))-AVERAGE(OFFSET($H$3,0,0,'Données projet'!$E$11+1,1))</f>
        <v>291.17074241052887</v>
      </c>
      <c r="BJ74" s="59">
        <f t="shared" si="92"/>
        <v>241.18285512887638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17.205889847958893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17.205889847958893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7.6</v>
      </c>
      <c r="BY74" s="12">
        <f>IF('Données projet'!$A$114&gt;35,BY73+BX74-CG73,IF(A74&lt;'Données projet'!$A$114,$BV$205^A74,IF(A74='Données projet'!$A$114,'Données projet'!$B$114,BY73+BX74-CG73)))</f>
        <v>281.59999999999985</v>
      </c>
      <c r="BZ74" s="13">
        <f>BY74*VLOOKUP('Données projet'!$B$12,Paramètres!$A$1:$I$89,3,0)*VLOOKUP('Données projet'!$B$12,Paramètres!$A$1:$I$89,5,0)</f>
        <v>237.21983999999992</v>
      </c>
      <c r="CA74" s="13">
        <f t="shared" si="93"/>
        <v>57.840960489671517</v>
      </c>
      <c r="CB74" s="20">
        <f t="shared" si="64"/>
        <v>513.89756085284444</v>
      </c>
      <c r="CC74" s="59">
        <f t="shared" si="65"/>
        <v>807.23089418617769</v>
      </c>
      <c r="CD74" s="59">
        <f ca="1">AVERAGE(OFFSET($CC$3,0,0,'Données projet'!$E$12+1,1))-AVERAGE(OFFSET($H$3,0,0,'Données projet'!$E$12+1,1))</f>
        <v>429.61977776013185</v>
      </c>
      <c r="CE74" s="59">
        <f t="shared" si="94"/>
        <v>261.95434270986385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20.308591295951484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20.308591295951484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3.4</v>
      </c>
      <c r="CT74" s="12">
        <f>IF('Données projet'!$A$140&gt;35,CT73+CS74-DB73,IF(A74&lt;'Données projet'!$A$140,$CQ$205^A74,IF(A74='Données projet'!$A$140,'Données projet'!$B$140,CT73+CS74-DB73)))</f>
        <v>256.39999999999986</v>
      </c>
      <c r="CU74" s="17">
        <f>CT74*VLOOKUP('Données projet'!$B$13,Paramètres!$A$1:$I$89,3,0)*VLOOKUP('Données projet'!$B$13,Paramètres!$A$1:$I$89,5,0)</f>
        <v>167.99327999999991</v>
      </c>
      <c r="CV74" s="13">
        <f t="shared" si="95"/>
        <v>42.640274928095231</v>
      </c>
      <c r="CW74" s="20">
        <f t="shared" si="67"/>
        <v>366.85344149976572</v>
      </c>
      <c r="CX74" s="59">
        <f t="shared" si="68"/>
        <v>660.18677483309898</v>
      </c>
      <c r="CY74" s="59">
        <f ca="1">AVERAGE(OFFSET($CX$3,0,0,'Données projet'!$E$13+1,1))-AVERAGE(OFFSET($H$3,0,0,'Données projet'!$E$13+1,1))</f>
        <v>255.09913504736693</v>
      </c>
      <c r="CZ74" s="59">
        <f t="shared" si="96"/>
        <v>248.42617382406644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9.5050104367342332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9.5050104367342332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6.2</v>
      </c>
      <c r="DO74" s="12">
        <f>IF('Données projet'!$A$166&gt;35,DO73+DN74-DW73,IF(A74&lt;'Données projet'!$A$166,$DL$205^A74,IF(A74='Données projet'!$A$166,'Données projet'!$B$166,DO73+DN74-DW73)))</f>
        <v>227.19999999999996</v>
      </c>
      <c r="DP74" s="17">
        <f>DO74*VLOOKUP('Données projet'!$B$14,Paramètres!$A$1:$I$89,3,0)*VLOOKUP('Données projet'!$B$14,Paramètres!$A$1:$I$89,5,0)</f>
        <v>258.73535999999996</v>
      </c>
      <c r="DQ74" s="13">
        <f t="shared" si="97"/>
        <v>62.452731363728276</v>
      </c>
      <c r="DR74" s="20">
        <f t="shared" si="70"/>
        <v>559.40259245849336</v>
      </c>
      <c r="DS74" s="59">
        <f t="shared" si="71"/>
        <v>852.73592579182673</v>
      </c>
      <c r="DT74" s="59">
        <f ca="1">AVERAGE(OFFSET($DS$3,0,0,'Données projet'!$E$14+1,1))-AVERAGE(OFFSET($H$3,0,0,'Données projet'!$E$14+1,1))</f>
        <v>459.67331926893809</v>
      </c>
      <c r="DU74" s="59">
        <f t="shared" si="98"/>
        <v>280.33242658375497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20.590655063950805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20.590655063950805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264.08053957457469</v>
      </c>
      <c r="EP74" s="59">
        <f t="shared" si="100"/>
        <v>284.83300065761051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130.32809377971944</v>
      </c>
      <c r="EW74" s="21">
        <f>EXP(-LN(2)/25)*EW73+(1-EXP(-LN(2)/25))/(LN(2)/25)*Calculateur!ER74*Calculateur!ET74*VLOOKUP('Données projet'!$B$15,Paramètres!$A$1:$I$89,3,0)*0.475*44/12</f>
        <v>15.569821954579124</v>
      </c>
      <c r="EX74" s="21">
        <f>EXP(-LN(2)/2)*EX73+(1-EXP(-LN(2)/2))/(LN(2)/2)*ER74*EU74*VLOOKUP('Données projet'!$B$15,Paramètres!$A$1:$I$89,3,0)*0.475*44/12</f>
        <v>1.3335436326037995</v>
      </c>
      <c r="EY74" s="22">
        <f t="shared" si="75"/>
        <v>147.23145936690236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>
        <f>FE74*VLOOKUP('Données projet'!$B$16,Paramètres!$A$1:$I$89,3,0)*VLOOKUP('Données projet'!$B$16,Paramètres!$A$1:$I$89,5,0)</f>
        <v>0</v>
      </c>
      <c r="FG74" s="13" t="e">
        <f t="shared" si="101"/>
        <v>#NUM!</v>
      </c>
      <c r="FH74" s="20" t="e">
        <f t="shared" si="76"/>
        <v>#NUM!</v>
      </c>
      <c r="FI74" s="59" t="e">
        <f t="shared" si="77"/>
        <v>#NUM!</v>
      </c>
      <c r="FJ74" s="59">
        <f ca="1">AVERAGE(OFFSET($FI$3,0,0,'Données projet'!$E$16+1,1))-AVERAGE(OFFSET($H$3,0,0,'Données projet'!$E$16+1,1))</f>
        <v>166.27444639635013</v>
      </c>
      <c r="FK74" s="59">
        <f t="shared" si="102"/>
        <v>213.60182977243113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78.118617575338533</v>
      </c>
      <c r="FR74" s="21">
        <f>EXP(-LN(2)/25)*FR73+(1-EXP(-LN(2)/25))/(LN(2)/25)*Calculateur!FM74*Calculateur!FO74*VLOOKUP('Données projet'!$B$16,Paramètres!$A$1:$I$89,3,0)*0.475*44/12</f>
        <v>34.526976769152846</v>
      </c>
      <c r="FS74" s="21">
        <f>EXP(-LN(2)/2)*FS73+(1-EXP(-LN(2)/2))/(LN(2)/2)*FM74*FP74*VLOOKUP('Données projet'!$B$16,Paramètres!$A$1:$I$89,3,0)*0.475*44/12</f>
        <v>4.1873587993735111</v>
      </c>
      <c r="FT74" s="22">
        <f t="shared" si="78"/>
        <v>116.83295314386488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289.19999999999987</v>
      </c>
      <c r="O75" s="13">
        <f>N75*VLOOKUP('Données projet'!$B$9,Paramètres!$A$1:$I$89,3,0)*VLOOKUP('Données projet'!$B$9,Paramètres!$A$1:$I$89,5,0)</f>
        <v>261.66815999999989</v>
      </c>
      <c r="P75" s="13">
        <f t="shared" si="87"/>
        <v>63.077829793082856</v>
      </c>
      <c r="Q75" s="20">
        <f t="shared" si="54"/>
        <v>565.59926555628579</v>
      </c>
      <c r="R75" s="59">
        <f t="shared" si="55"/>
        <v>858.93259888961916</v>
      </c>
      <c r="S75" s="59">
        <f ca="1">AVERAGE(OFFSET($R$3,0,0,'Données projet'!$E$9+1,1))-AVERAGE(OFFSET($H$3,0,0,'Données projet'!$E$9+1,1))</f>
        <v>458.37755197712164</v>
      </c>
      <c r="T75" s="59">
        <f t="shared" si="88"/>
        <v>278.21741231699917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21.385193111926217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21.385193111926217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289.19999999999987</v>
      </c>
      <c r="AJ75" s="13">
        <f>AI75*VLOOKUP('Données projet'!$B$10,Paramètres!$A$1:$I$89,3,0)*VLOOKUP('Données projet'!$B$10,Paramètres!$A$1:$I$89,5,0)</f>
        <v>293.2487999999999</v>
      </c>
      <c r="AK75" s="13">
        <f t="shared" si="89"/>
        <v>69.759283249126327</v>
      </c>
      <c r="AL75" s="20">
        <f t="shared" si="58"/>
        <v>632.23907832556154</v>
      </c>
      <c r="AM75" s="59">
        <f t="shared" si="59"/>
        <v>925.57241165889491</v>
      </c>
      <c r="AN75" s="59">
        <f ca="1">AVERAGE(OFFSET($AM$3,0,0,'Données projet'!$E$10+1,1))-AVERAGE(OFFSET($H$3,0,0,'Données projet'!$E$10+1,1))</f>
        <v>508.60701013958447</v>
      </c>
      <c r="AO75" s="59">
        <f t="shared" si="90"/>
        <v>306.61893266146654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23.966164694400078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23.966164694400078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6.2</v>
      </c>
      <c r="BD75" s="12">
        <f>IF('Données projet'!$A$88&gt;35,BD74+BC75-BL74,IF(A75&lt;'Données projet'!$A$88,$BA$205^A75,IF(A75='Données projet'!$A$88,'Données projet'!$B$88,BD74+BC75-BL74)))</f>
        <v>233.39999999999995</v>
      </c>
      <c r="BE75" s="13">
        <f>BD75*VLOOKUP('Données projet'!$B$11,Paramètres!$A$1:$I$89,3,0)*VLOOKUP('Données projet'!$B$11,Paramètres!$A$1:$I$89,5,0)</f>
        <v>222.10343999999995</v>
      </c>
      <c r="BF75" s="13">
        <f t="shared" si="91"/>
        <v>54.571804516465022</v>
      </c>
      <c r="BG75" s="20">
        <f t="shared" si="61"/>
        <v>481.87605086617651</v>
      </c>
      <c r="BH75" s="59">
        <f t="shared" si="62"/>
        <v>775.20938419950983</v>
      </c>
      <c r="BI75" s="59">
        <f ca="1">AVERAGE(OFFSET($BH$3,0,0,'Données projet'!$E$11+1,1))-AVERAGE(OFFSET($H$3,0,0,'Données projet'!$E$11+1,1))</f>
        <v>291.17074241052887</v>
      </c>
      <c r="BJ75" s="59">
        <f t="shared" si="92"/>
        <v>241.18285512887638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16.868492842596975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16.868492842596975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7.6</v>
      </c>
      <c r="BY75" s="12">
        <f>IF('Données projet'!$A$114&gt;35,BY74+BX75-CG74,IF(A75&lt;'Données projet'!$A$114,$BV$205^A75,IF(A75='Données projet'!$A$114,'Données projet'!$B$114,BY74+BX75-CG74)))</f>
        <v>289.19999999999987</v>
      </c>
      <c r="BZ75" s="13">
        <f>BY75*VLOOKUP('Données projet'!$B$12,Paramètres!$A$1:$I$89,3,0)*VLOOKUP('Données projet'!$B$12,Paramètres!$A$1:$I$89,5,0)</f>
        <v>243.62207999999993</v>
      </c>
      <c r="CA75" s="13">
        <f t="shared" si="93"/>
        <v>59.218157943988537</v>
      </c>
      <c r="CB75" s="20">
        <f t="shared" si="64"/>
        <v>527.44674775244664</v>
      </c>
      <c r="CC75" s="59">
        <f t="shared" si="65"/>
        <v>820.78008108578001</v>
      </c>
      <c r="CD75" s="59">
        <f ca="1">AVERAGE(OFFSET($CC$3,0,0,'Données projet'!$E$12+1,1))-AVERAGE(OFFSET($H$3,0,0,'Données projet'!$E$12+1,1))</f>
        <v>429.61977776013185</v>
      </c>
      <c r="CE75" s="59">
        <f t="shared" si="94"/>
        <v>261.95434270986385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19.91035220765545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19.91035220765545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3.4</v>
      </c>
      <c r="CT75" s="12">
        <f>IF('Données projet'!$A$140&gt;35,CT74+CS75-DB74,IF(A75&lt;'Données projet'!$A$140,$CQ$205^A75,IF(A75='Données projet'!$A$140,'Données projet'!$B$140,CT74+CS75-DB74)))</f>
        <v>259.79999999999984</v>
      </c>
      <c r="CU75" s="17">
        <f>CT75*VLOOKUP('Données projet'!$B$13,Paramètres!$A$1:$I$89,3,0)*VLOOKUP('Données projet'!$B$13,Paramètres!$A$1:$I$89,5,0)</f>
        <v>170.22095999999991</v>
      </c>
      <c r="CV75" s="13">
        <f t="shared" si="95"/>
        <v>43.13950753318327</v>
      </c>
      <c r="CW75" s="20">
        <f t="shared" si="67"/>
        <v>371.60281428696067</v>
      </c>
      <c r="CX75" s="59">
        <f t="shared" si="68"/>
        <v>664.93614762029392</v>
      </c>
      <c r="CY75" s="59">
        <f ca="1">AVERAGE(OFFSET($CX$3,0,0,'Données projet'!$E$13+1,1))-AVERAGE(OFFSET($H$3,0,0,'Données projet'!$E$13+1,1))</f>
        <v>255.09913504736693</v>
      </c>
      <c r="CZ75" s="59">
        <f t="shared" si="96"/>
        <v>248.42617382406644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9.3186229795537869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9.3186229795537869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6.2</v>
      </c>
      <c r="DO75" s="12">
        <f>IF('Données projet'!$A$166&gt;35,DO74+DN75-DW74,IF(A75&lt;'Données projet'!$A$166,$DL$205^A75,IF(A75='Données projet'!$A$166,'Données projet'!$B$166,DO74+DN75-DW74)))</f>
        <v>233.39999999999995</v>
      </c>
      <c r="DP75" s="17">
        <f>DO75*VLOOKUP('Données projet'!$B$14,Paramètres!$A$1:$I$89,3,0)*VLOOKUP('Données projet'!$B$14,Paramètres!$A$1:$I$89,5,0)</f>
        <v>265.79591999999991</v>
      </c>
      <c r="DQ75" s="13">
        <f t="shared" si="97"/>
        <v>63.95624415023898</v>
      </c>
      <c r="DR75" s="20">
        <f t="shared" si="70"/>
        <v>574.31835256166607</v>
      </c>
      <c r="DS75" s="59">
        <f t="shared" si="71"/>
        <v>867.65168589499945</v>
      </c>
      <c r="DT75" s="59">
        <f ca="1">AVERAGE(OFFSET($DS$3,0,0,'Données projet'!$E$14+1,1))-AVERAGE(OFFSET($H$3,0,0,'Données projet'!$E$14+1,1))</f>
        <v>459.67331926893809</v>
      </c>
      <c r="DU75" s="59">
        <f t="shared" si="98"/>
        <v>280.33242658375497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20.186884877206214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20.186884877206214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264.08053957457469</v>
      </c>
      <c r="EP75" s="59">
        <f t="shared" si="100"/>
        <v>284.83300065761051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127.77243935298713</v>
      </c>
      <c r="EW75" s="21">
        <f>EXP(-LN(2)/25)*EW74+(1-EXP(-LN(2)/25))/(LN(2)/25)*Calculateur!ER75*Calculateur!ET75*VLOOKUP('Données projet'!$B$15,Paramètres!$A$1:$I$89,3,0)*0.475*44/12</f>
        <v>15.144064354449807</v>
      </c>
      <c r="EX75" s="21">
        <f>EXP(-LN(2)/2)*EX74+(1-EXP(-LN(2)/2))/(LN(2)/2)*ER75*EU75*VLOOKUP('Données projet'!$B$15,Paramètres!$A$1:$I$89,3,0)*0.475*44/12</f>
        <v>0.94295774562228862</v>
      </c>
      <c r="EY75" s="22">
        <f t="shared" si="75"/>
        <v>143.85946145305923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>
        <f>FE75*VLOOKUP('Données projet'!$B$16,Paramètres!$A$1:$I$89,3,0)*VLOOKUP('Données projet'!$B$16,Paramètres!$A$1:$I$89,5,0)</f>
        <v>0</v>
      </c>
      <c r="FG75" s="13" t="e">
        <f t="shared" si="101"/>
        <v>#NUM!</v>
      </c>
      <c r="FH75" s="20" t="e">
        <f t="shared" si="76"/>
        <v>#NUM!</v>
      </c>
      <c r="FI75" s="59" t="e">
        <f t="shared" si="77"/>
        <v>#NUM!</v>
      </c>
      <c r="FJ75" s="59">
        <f ca="1">AVERAGE(OFFSET($FI$3,0,0,'Données projet'!$E$16+1,1))-AVERAGE(OFFSET($H$3,0,0,'Données projet'!$E$16+1,1))</f>
        <v>166.27444639635013</v>
      </c>
      <c r="FK75" s="59">
        <f t="shared" si="102"/>
        <v>213.60182977243113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76.586759132338045</v>
      </c>
      <c r="FR75" s="21">
        <f>EXP(-LN(2)/25)*FR74+(1-EXP(-LN(2)/25))/(LN(2)/25)*Calculateur!FM75*Calculateur!FO75*VLOOKUP('Données projet'!$B$16,Paramètres!$A$1:$I$89,3,0)*0.475*44/12</f>
        <v>33.582834773705564</v>
      </c>
      <c r="FS75" s="21">
        <f>EXP(-LN(2)/2)*FS74+(1-EXP(-LN(2)/2))/(LN(2)/2)*FM75*FP75*VLOOKUP('Données projet'!$B$16,Paramètres!$A$1:$I$89,3,0)*0.475*44/12</f>
        <v>2.9609098022981697</v>
      </c>
      <c r="FT75" s="22">
        <f t="shared" si="78"/>
        <v>113.13050370834179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296.7999999999999</v>
      </c>
      <c r="O76" s="13">
        <f>N76*VLOOKUP('Données projet'!$B$9,Paramètres!$A$1:$I$89,3,0)*VLOOKUP('Données projet'!$B$9,Paramètres!$A$1:$I$89,5,0)</f>
        <v>268.5446399999999</v>
      </c>
      <c r="P76" s="13">
        <f t="shared" si="87"/>
        <v>64.54030807605065</v>
      </c>
      <c r="Q76" s="20">
        <f t="shared" si="54"/>
        <v>580.12295123245474</v>
      </c>
      <c r="R76" s="59">
        <f t="shared" si="55"/>
        <v>873.45628456578811</v>
      </c>
      <c r="S76" s="59">
        <f ca="1">AVERAGE(OFFSET($R$3,0,0,'Données projet'!$E$9+1,1))-AVERAGE(OFFSET($H$3,0,0,'Données projet'!$E$9+1,1))</f>
        <v>458.37755197712164</v>
      </c>
      <c r="T76" s="59">
        <f t="shared" si="88"/>
        <v>278.21741231699917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20.965842518681185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20.965842518681185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296.7999999999999</v>
      </c>
      <c r="AJ76" s="13">
        <f>AI76*VLOOKUP('Données projet'!$B$10,Paramètres!$A$1:$I$89,3,0)*VLOOKUP('Données projet'!$B$10,Paramètres!$A$1:$I$89,5,0)</f>
        <v>300.95519999999988</v>
      </c>
      <c r="AK76" s="13">
        <f t="shared" si="89"/>
        <v>71.376673021759785</v>
      </c>
      <c r="AL76" s="20">
        <f t="shared" si="58"/>
        <v>648.47801217956464</v>
      </c>
      <c r="AM76" s="59">
        <f t="shared" si="59"/>
        <v>941.81134551289801</v>
      </c>
      <c r="AN76" s="59">
        <f ca="1">AVERAGE(OFFSET($AM$3,0,0,'Données projet'!$E$10+1,1))-AVERAGE(OFFSET($H$3,0,0,'Données projet'!$E$10+1,1))</f>
        <v>508.60701013958447</v>
      </c>
      <c r="AO76" s="59">
        <f t="shared" si="90"/>
        <v>306.61893266146654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23.496202822659956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23.496202822659956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6.2</v>
      </c>
      <c r="BD76" s="12">
        <f>IF('Données projet'!$A$88&gt;35,BD75+BC76-BL75,IF(A76&lt;'Données projet'!$A$88,$BA$205^A76,IF(A76='Données projet'!$A$88,'Données projet'!$B$88,BD75+BC76-BL75)))</f>
        <v>239.59999999999994</v>
      </c>
      <c r="BE76" s="13">
        <f>BD76*VLOOKUP('Données projet'!$B$11,Paramètres!$A$1:$I$89,3,0)*VLOOKUP('Données projet'!$B$11,Paramètres!$A$1:$I$89,5,0)</f>
        <v>228.00335999999993</v>
      </c>
      <c r="BF76" s="13">
        <f t="shared" si="91"/>
        <v>55.850742452867522</v>
      </c>
      <c r="BG76" s="20">
        <f t="shared" si="61"/>
        <v>494.37922843874412</v>
      </c>
      <c r="BH76" s="59">
        <f t="shared" si="62"/>
        <v>787.71256177207738</v>
      </c>
      <c r="BI76" s="59">
        <f ca="1">AVERAGE(OFFSET($BH$3,0,0,'Données projet'!$E$11+1,1))-AVERAGE(OFFSET($H$3,0,0,'Données projet'!$E$11+1,1))</f>
        <v>291.17074241052887</v>
      </c>
      <c r="BJ76" s="59">
        <f t="shared" si="92"/>
        <v>241.18285512887638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16.53771198671835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16.53771198671835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7.6</v>
      </c>
      <c r="BY76" s="12">
        <f>IF('Données projet'!$A$114&gt;35,BY75+BX76-CG75,IF(A76&lt;'Données projet'!$A$114,$BV$205^A76,IF(A76='Données projet'!$A$114,'Données projet'!$B$114,BY75+BX76-CG75)))</f>
        <v>296.7999999999999</v>
      </c>
      <c r="BZ76" s="13">
        <f>BY76*VLOOKUP('Données projet'!$B$12,Paramètres!$A$1:$I$89,3,0)*VLOOKUP('Données projet'!$B$12,Paramètres!$A$1:$I$89,5,0)</f>
        <v>250.02431999999996</v>
      </c>
      <c r="CA76" s="13">
        <f t="shared" si="93"/>
        <v>60.591148584829206</v>
      </c>
      <c r="CB76" s="20">
        <f t="shared" si="64"/>
        <v>540.98860778524408</v>
      </c>
      <c r="CC76" s="59">
        <f t="shared" si="65"/>
        <v>834.32194111857734</v>
      </c>
      <c r="CD76" s="59">
        <f ca="1">AVERAGE(OFFSET($CC$3,0,0,'Données projet'!$E$12+1,1))-AVERAGE(OFFSET($H$3,0,0,'Données projet'!$E$12+1,1))</f>
        <v>429.61977776013185</v>
      </c>
      <c r="CE76" s="59">
        <f t="shared" si="94"/>
        <v>261.95434270986385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19.51992234497904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19.51992234497904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3.4</v>
      </c>
      <c r="CT76" s="12">
        <f>IF('Données projet'!$A$140&gt;35,CT75+CS76-DB75,IF(A76&lt;'Données projet'!$A$140,$CQ$205^A76,IF(A76='Données projet'!$A$140,'Données projet'!$B$140,CT75+CS76-DB75)))</f>
        <v>263.19999999999982</v>
      </c>
      <c r="CU76" s="17">
        <f>CT76*VLOOKUP('Données projet'!$B$13,Paramètres!$A$1:$I$89,3,0)*VLOOKUP('Données projet'!$B$13,Paramètres!$A$1:$I$89,5,0)</f>
        <v>172.4486399999999</v>
      </c>
      <c r="CV76" s="13">
        <f t="shared" si="95"/>
        <v>43.637980200453676</v>
      </c>
      <c r="CW76" s="20">
        <f t="shared" si="67"/>
        <v>376.35086351579002</v>
      </c>
      <c r="CX76" s="59">
        <f t="shared" si="68"/>
        <v>669.68419684912328</v>
      </c>
      <c r="CY76" s="59">
        <f ca="1">AVERAGE(OFFSET($CX$3,0,0,'Données projet'!$E$13+1,1))-AVERAGE(OFFSET($H$3,0,0,'Données projet'!$E$13+1,1))</f>
        <v>255.09913504736693</v>
      </c>
      <c r="CZ76" s="59">
        <f t="shared" si="96"/>
        <v>248.42617382406644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9.1358904667235254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9.1358904667235254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6.2</v>
      </c>
      <c r="DO76" s="12">
        <f>IF('Données projet'!$A$166&gt;35,DO75+DN76-DW75,IF(A76&lt;'Données projet'!$A$166,$DL$205^A76,IF(A76='Données projet'!$A$166,'Données projet'!$B$166,DO75+DN76-DW75)))</f>
        <v>239.59999999999994</v>
      </c>
      <c r="DP76" s="17">
        <f>DO76*VLOOKUP('Données projet'!$B$14,Paramètres!$A$1:$I$89,3,0)*VLOOKUP('Données projet'!$B$14,Paramètres!$A$1:$I$89,5,0)</f>
        <v>272.85647999999992</v>
      </c>
      <c r="DQ76" s="13">
        <f t="shared" si="97"/>
        <v>65.455114631769092</v>
      </c>
      <c r="DR76" s="20">
        <f t="shared" si="70"/>
        <v>589.2260273169976</v>
      </c>
      <c r="DS76" s="59">
        <f t="shared" si="71"/>
        <v>882.55936065033097</v>
      </c>
      <c r="DT76" s="59">
        <f ca="1">AVERAGE(OFFSET($DS$3,0,0,'Données projet'!$E$14+1,1))-AVERAGE(OFFSET($H$3,0,0,'Données projet'!$E$14+1,1))</f>
        <v>459.67331926893809</v>
      </c>
      <c r="DU76" s="59">
        <f t="shared" si="98"/>
        <v>280.33242658375497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19.791032377548188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19.791032377548188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264.08053957457469</v>
      </c>
      <c r="EP76" s="59">
        <f t="shared" si="100"/>
        <v>284.83300065761051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125.26689975076776</v>
      </c>
      <c r="EW76" s="21">
        <f>EXP(-LN(2)/25)*EW75+(1-EXP(-LN(2)/25))/(LN(2)/25)*Calculateur!ER76*Calculateur!ET76*VLOOKUP('Données projet'!$B$15,Paramètres!$A$1:$I$89,3,0)*0.475*44/12</f>
        <v>14.729949118285644</v>
      </c>
      <c r="EX76" s="21">
        <f>EXP(-LN(2)/2)*EX75+(1-EXP(-LN(2)/2))/(LN(2)/2)*ER76*EU76*VLOOKUP('Données projet'!$B$15,Paramètres!$A$1:$I$89,3,0)*0.475*44/12</f>
        <v>0.66677181630189986</v>
      </c>
      <c r="EY76" s="22">
        <f t="shared" si="75"/>
        <v>140.66362068535528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>
        <f>FE76*VLOOKUP('Données projet'!$B$16,Paramètres!$A$1:$I$89,3,0)*VLOOKUP('Données projet'!$B$16,Paramètres!$A$1:$I$89,5,0)</f>
        <v>0</v>
      </c>
      <c r="FG76" s="13" t="e">
        <f t="shared" si="101"/>
        <v>#NUM!</v>
      </c>
      <c r="FH76" s="20" t="e">
        <f t="shared" si="76"/>
        <v>#NUM!</v>
      </c>
      <c r="FI76" s="59" t="e">
        <f t="shared" si="77"/>
        <v>#NUM!</v>
      </c>
      <c r="FJ76" s="59">
        <f ca="1">AVERAGE(OFFSET($FI$3,0,0,'Données projet'!$E$16+1,1))-AVERAGE(OFFSET($H$3,0,0,'Données projet'!$E$16+1,1))</f>
        <v>166.27444639635013</v>
      </c>
      <c r="FK76" s="59">
        <f t="shared" si="102"/>
        <v>213.60182977243113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75.08493949906341</v>
      </c>
      <c r="FR76" s="21">
        <f>EXP(-LN(2)/25)*FR75+(1-EXP(-LN(2)/25))/(LN(2)/25)*Calculateur!FM76*Calculateur!FO76*VLOOKUP('Données projet'!$B$16,Paramètres!$A$1:$I$89,3,0)*0.475*44/12</f>
        <v>32.664510390774062</v>
      </c>
      <c r="FS76" s="21">
        <f>EXP(-LN(2)/2)*FS75+(1-EXP(-LN(2)/2))/(LN(2)/2)*FM76*FP76*VLOOKUP('Données projet'!$B$16,Paramètres!$A$1:$I$89,3,0)*0.475*44/12</f>
        <v>2.0936793996867555</v>
      </c>
      <c r="FT76" s="22">
        <f t="shared" si="78"/>
        <v>109.84312928952423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304.39999999999992</v>
      </c>
      <c r="O77" s="13">
        <f>N77*VLOOKUP('Données projet'!$B$9,Paramètres!$A$1:$I$89,3,0)*VLOOKUP('Données projet'!$B$9,Paramètres!$A$1:$I$89,5,0)</f>
        <v>275.42111999999992</v>
      </c>
      <c r="P77" s="13">
        <f t="shared" si="87"/>
        <v>65.998433293601067</v>
      </c>
      <c r="Q77" s="20">
        <f t="shared" si="54"/>
        <v>594.63905531968828</v>
      </c>
      <c r="R77" s="59">
        <f t="shared" si="55"/>
        <v>887.97238865302165</v>
      </c>
      <c r="S77" s="59">
        <f ca="1">AVERAGE(OFFSET($R$3,0,0,'Données projet'!$E$9+1,1))-AVERAGE(OFFSET($H$3,0,0,'Données projet'!$E$9+1,1))</f>
        <v>458.37755197712164</v>
      </c>
      <c r="T77" s="59">
        <f t="shared" si="88"/>
        <v>278.21741231699917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20.554715134791085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20.554715134791085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304.39999999999992</v>
      </c>
      <c r="AJ77" s="13">
        <f>AI77*VLOOKUP('Données projet'!$B$10,Paramètres!$A$1:$I$89,3,0)*VLOOKUP('Données projet'!$B$10,Paramètres!$A$1:$I$89,5,0)</f>
        <v>308.66159999999996</v>
      </c>
      <c r="AK77" s="13">
        <f t="shared" si="89"/>
        <v>72.98924863505313</v>
      </c>
      <c r="AL77" s="20">
        <f t="shared" si="58"/>
        <v>664.70856137271744</v>
      </c>
      <c r="AM77" s="59">
        <f t="shared" si="59"/>
        <v>958.0418947060507</v>
      </c>
      <c r="AN77" s="59">
        <f ca="1">AVERAGE(OFFSET($AM$3,0,0,'Données projet'!$E$10+1,1))-AVERAGE(OFFSET($H$3,0,0,'Données projet'!$E$10+1,1))</f>
        <v>508.60701013958447</v>
      </c>
      <c r="AO77" s="59">
        <f t="shared" si="90"/>
        <v>306.61893266146654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23.035456616576223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23.035456616576223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6.2</v>
      </c>
      <c r="BD77" s="12">
        <f>IF('Données projet'!$A$88&gt;35,BD76+BC77-BL76,IF(A77&lt;'Données projet'!$A$88,$BA$205^A77,IF(A77='Données projet'!$A$88,'Données projet'!$B$88,BD76+BC77-BL76)))</f>
        <v>245.79999999999993</v>
      </c>
      <c r="BE77" s="13">
        <f>BD77*VLOOKUP('Données projet'!$B$11,Paramètres!$A$1:$I$89,3,0)*VLOOKUP('Données projet'!$B$11,Paramètres!$A$1:$I$89,5,0)</f>
        <v>233.90327999999994</v>
      </c>
      <c r="BF77" s="13">
        <f t="shared" si="91"/>
        <v>57.125833544518095</v>
      </c>
      <c r="BG77" s="20">
        <f t="shared" si="61"/>
        <v>506.87570609003552</v>
      </c>
      <c r="BH77" s="59">
        <f t="shared" si="62"/>
        <v>800.20903942336884</v>
      </c>
      <c r="BI77" s="59">
        <f ca="1">AVERAGE(OFFSET($BH$3,0,0,'Données projet'!$E$11+1,1))-AVERAGE(OFFSET($H$3,0,0,'Données projet'!$E$11+1,1))</f>
        <v>291.17074241052887</v>
      </c>
      <c r="BJ77" s="59">
        <f t="shared" si="92"/>
        <v>241.18285512887638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16.213417541667106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16.213417541667106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7.6</v>
      </c>
      <c r="BY77" s="12">
        <f>IF('Données projet'!$A$114&gt;35,BY76+BX77-CG76,IF(A77&lt;'Données projet'!$A$114,$BV$205^A77,IF(A77='Données projet'!$A$114,'Données projet'!$B$114,BY76+BX77-CG76)))</f>
        <v>304.39999999999992</v>
      </c>
      <c r="BZ77" s="13">
        <f>BY77*VLOOKUP('Données projet'!$B$12,Paramètres!$A$1:$I$89,3,0)*VLOOKUP('Données projet'!$B$12,Paramètres!$A$1:$I$89,5,0)</f>
        <v>256.42655999999999</v>
      </c>
      <c r="CA77" s="13">
        <f t="shared" si="93"/>
        <v>61.960052520146306</v>
      </c>
      <c r="CB77" s="20">
        <f t="shared" si="64"/>
        <v>554.52335013925483</v>
      </c>
      <c r="CC77" s="59">
        <f t="shared" si="65"/>
        <v>847.8566834725882</v>
      </c>
      <c r="CD77" s="59">
        <f ca="1">AVERAGE(OFFSET($CC$3,0,0,'Données projet'!$E$12+1,1))-AVERAGE(OFFSET($H$3,0,0,'Données projet'!$E$12+1,1))</f>
        <v>429.61977776013185</v>
      </c>
      <c r="CE77" s="59">
        <f t="shared" si="94"/>
        <v>261.95434270986385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19.137148573771015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19.137148573771015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3.4</v>
      </c>
      <c r="CT77" s="12">
        <f>IF('Données projet'!$A$140&gt;35,CT76+CS77-DB76,IF(A77&lt;'Données projet'!$A$140,$CQ$205^A77,IF(A77='Données projet'!$A$140,'Données projet'!$B$140,CT76+CS77-DB76)))</f>
        <v>266.5999999999998</v>
      </c>
      <c r="CU77" s="17">
        <f>CT77*VLOOKUP('Données projet'!$B$13,Paramètres!$A$1:$I$89,3,0)*VLOOKUP('Données projet'!$B$13,Paramètres!$A$1:$I$89,5,0)</f>
        <v>174.67631999999986</v>
      </c>
      <c r="CV77" s="13">
        <f t="shared" si="95"/>
        <v>44.135703881788075</v>
      </c>
      <c r="CW77" s="20">
        <f t="shared" si="67"/>
        <v>381.09760826078065</v>
      </c>
      <c r="CX77" s="59">
        <f t="shared" si="68"/>
        <v>674.43094159411396</v>
      </c>
      <c r="CY77" s="59">
        <f ca="1">AVERAGE(OFFSET($CX$3,0,0,'Données projet'!$E$13+1,1))-AVERAGE(OFFSET($H$3,0,0,'Données projet'!$E$13+1,1))</f>
        <v>255.09913504736693</v>
      </c>
      <c r="CZ77" s="59">
        <f t="shared" si="96"/>
        <v>248.42617382406644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8.9567412270140387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8.9567412270140387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6.2</v>
      </c>
      <c r="DO77" s="12">
        <f>IF('Données projet'!$A$166&gt;35,DO76+DN77-DW76,IF(A77&lt;'Données projet'!$A$166,$DL$205^A77,IF(A77='Données projet'!$A$166,'Données projet'!$B$166,DO76+DN77-DW76)))</f>
        <v>245.79999999999993</v>
      </c>
      <c r="DP77" s="17">
        <f>DO77*VLOOKUP('Données projet'!$B$14,Paramètres!$A$1:$I$89,3,0)*VLOOKUP('Données projet'!$B$14,Paramètres!$A$1:$I$89,5,0)</f>
        <v>279.91703999999993</v>
      </c>
      <c r="DQ77" s="13">
        <f t="shared" si="97"/>
        <v>66.949476745940956</v>
      </c>
      <c r="DR77" s="20">
        <f t="shared" si="70"/>
        <v>604.12584999918033</v>
      </c>
      <c r="DS77" s="59">
        <f t="shared" si="71"/>
        <v>897.4591833325137</v>
      </c>
      <c r="DT77" s="59">
        <f ca="1">AVERAGE(OFFSET($DS$3,0,0,'Données projet'!$E$14+1,1))-AVERAGE(OFFSET($H$3,0,0,'Données projet'!$E$14+1,1))</f>
        <v>459.67331926893809</v>
      </c>
      <c r="DU77" s="59">
        <f t="shared" si="98"/>
        <v>280.33242658375497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19.402942303962273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19.402942303962273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264.08053957457469</v>
      </c>
      <c r="EP77" s="59">
        <f t="shared" si="100"/>
        <v>284.83300065761051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122.81049225191965</v>
      </c>
      <c r="EW77" s="21">
        <f>EXP(-LN(2)/25)*EW76+(1-EXP(-LN(2)/25))/(LN(2)/25)*Calculateur!ER77*Calculateur!ET77*VLOOKUP('Données projet'!$B$15,Paramètres!$A$1:$I$89,3,0)*0.475*44/12</f>
        <v>14.327157885031765</v>
      </c>
      <c r="EX77" s="21">
        <f>EXP(-LN(2)/2)*EX76+(1-EXP(-LN(2)/2))/(LN(2)/2)*ER77*EU77*VLOOKUP('Données projet'!$B$15,Paramètres!$A$1:$I$89,3,0)*0.475*44/12</f>
        <v>0.47147887281114442</v>
      </c>
      <c r="EY77" s="22">
        <f t="shared" si="75"/>
        <v>137.60912900976254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>
        <f>FE77*VLOOKUP('Données projet'!$B$16,Paramètres!$A$1:$I$89,3,0)*VLOOKUP('Données projet'!$B$16,Paramètres!$A$1:$I$89,5,0)</f>
        <v>0</v>
      </c>
      <c r="FG77" s="13" t="e">
        <f t="shared" si="101"/>
        <v>#NUM!</v>
      </c>
      <c r="FH77" s="20" t="e">
        <f t="shared" si="76"/>
        <v>#NUM!</v>
      </c>
      <c r="FI77" s="59" t="e">
        <f t="shared" si="77"/>
        <v>#NUM!</v>
      </c>
      <c r="FJ77" s="59">
        <f ca="1">AVERAGE(OFFSET($FI$3,0,0,'Données projet'!$E$16+1,1))-AVERAGE(OFFSET($H$3,0,0,'Données projet'!$E$16+1,1))</f>
        <v>166.27444639635013</v>
      </c>
      <c r="FK77" s="59">
        <f t="shared" si="102"/>
        <v>213.60182977243113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73.612569632777763</v>
      </c>
      <c r="FR77" s="21">
        <f>EXP(-LN(2)/25)*FR76+(1-EXP(-LN(2)/25))/(LN(2)/25)*Calculateur!FM77*Calculateur!FO77*VLOOKUP('Données projet'!$B$16,Paramètres!$A$1:$I$89,3,0)*0.475*44/12</f>
        <v>31.7712976363864</v>
      </c>
      <c r="FS77" s="21">
        <f>EXP(-LN(2)/2)*FS76+(1-EXP(-LN(2)/2))/(LN(2)/2)*FM77*FP77*VLOOKUP('Données projet'!$B$16,Paramètres!$A$1:$I$89,3,0)*0.475*44/12</f>
        <v>1.4804549011490848</v>
      </c>
      <c r="FT77" s="22">
        <f t="shared" si="78"/>
        <v>106.86432217031326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311.99999999999994</v>
      </c>
      <c r="O78" s="13">
        <f>N78*VLOOKUP('Données projet'!$B$9,Paramètres!$A$1:$I$89,3,0)*VLOOKUP('Données projet'!$B$9,Paramètres!$A$1:$I$89,5,0)</f>
        <v>282.29759999999993</v>
      </c>
      <c r="P78" s="13">
        <f t="shared" si="87"/>
        <v>67.452326629470178</v>
      </c>
      <c r="Q78" s="20">
        <f t="shared" si="54"/>
        <v>609.14778887966042</v>
      </c>
      <c r="R78" s="59">
        <f t="shared" si="55"/>
        <v>902.4811222129938</v>
      </c>
      <c r="S78" s="59">
        <f ca="1">AVERAGE(OFFSET($R$3,0,0,'Données projet'!$E$9+1,1))-AVERAGE(OFFSET($H$3,0,0,'Données projet'!$E$9+1,1))</f>
        <v>458.37755197712164</v>
      </c>
      <c r="T78" s="59">
        <f t="shared" si="88"/>
        <v>278.21741231699917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0.215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26.173031896532631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26.173031896532631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311.99999999999994</v>
      </c>
      <c r="AJ78" s="13">
        <f>AI78*VLOOKUP('Données projet'!$B$10,Paramètres!$A$1:$I$89,3,0)*VLOOKUP('Données projet'!$B$10,Paramètres!$A$1:$I$89,5,0)</f>
        <v>316.36799999999999</v>
      </c>
      <c r="AK78" s="13">
        <f t="shared" si="89"/>
        <v>74.597144109003438</v>
      </c>
      <c r="AL78" s="20">
        <f t="shared" si="58"/>
        <v>680.9309593231809</v>
      </c>
      <c r="AM78" s="59">
        <f t="shared" si="59"/>
        <v>974.26429265651427</v>
      </c>
      <c r="AN78" s="59">
        <f ca="1">AVERAGE(OFFSET($AM$3,0,0,'Données projet'!$E$10+1,1))-AVERAGE(OFFSET($H$3,0,0,'Données projet'!$E$10+1,1))</f>
        <v>508.60701013958447</v>
      </c>
      <c r="AO78" s="59">
        <f t="shared" si="90"/>
        <v>306.61893266146654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0.215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29.331846090941752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29.331846090941752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252</v>
      </c>
      <c r="BB78" s="12">
        <f>VLOOKUP(A78,'Données projet'!$A$87:$I$107,9,0)</f>
        <v>6.2</v>
      </c>
      <c r="BC78" s="12">
        <f t="array" ref="BC78">INDEX(BB:BB,MIN(IF(ISNUMBER(BB78:BB274),ROW(BB78:BB274),"")))</f>
        <v>6.2</v>
      </c>
      <c r="BD78" s="12">
        <f>IF('Données projet'!$A$88&gt;35,BD77+BC78-BL77,IF(A78&lt;'Données projet'!$A$88,$BA$205^A78,IF(A78='Données projet'!$A$88,'Données projet'!$B$88,BD77+BC78-BL77)))</f>
        <v>251.99999999999991</v>
      </c>
      <c r="BE78" s="13">
        <f>BD78*VLOOKUP('Données projet'!$B$11,Paramètres!$A$1:$I$89,3,0)*VLOOKUP('Données projet'!$B$11,Paramètres!$A$1:$I$89,5,0)</f>
        <v>239.80319999999992</v>
      </c>
      <c r="BF78" s="13">
        <f t="shared" si="91"/>
        <v>58.397185982155214</v>
      </c>
      <c r="BG78" s="20">
        <f t="shared" si="61"/>
        <v>519.36567225225349</v>
      </c>
      <c r="BH78" s="59">
        <f t="shared" si="62"/>
        <v>812.69900558558675</v>
      </c>
      <c r="BI78" s="59">
        <f ca="1">AVERAGE(OFFSET($BH$3,0,0,'Données projet'!$E$11+1,1))-AVERAGE(OFFSET($H$3,0,0,'Données projet'!$E$11+1,1))</f>
        <v>291.17074241052887</v>
      </c>
      <c r="BJ78" s="59">
        <f t="shared" si="92"/>
        <v>241.18285512887638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21</v>
      </c>
      <c r="BM78" s="16">
        <f>IF(ISNA(VLOOKUP(A78,'Données projet'!$A$87:$I$107,5,0)),0%,VLOOKUP(A78,'Données projet'!$A$87:$I$107,5,0)*VLOOKUP('Données projet'!$B$11,Paramètres!$A$1:$I$89,7,0))</f>
        <v>0.215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20.645107056316686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20.645107056316686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312</v>
      </c>
      <c r="BW78" s="12">
        <f>VLOOKUP(A78,'Données projet'!$A$113:$I$133,9,0)</f>
        <v>7.6</v>
      </c>
      <c r="BX78" s="12">
        <f t="array" ref="BX78">INDEX(BW:BW,MIN(IF(ISNUMBER(BW78:BW274),ROW(BW78:BW274),"")))</f>
        <v>7.6</v>
      </c>
      <c r="BY78" s="12">
        <f>IF('Données projet'!$A$114&gt;35,BY77+BX78-CG77,IF(A78&lt;'Données projet'!$A$114,$BV$205^A78,IF(A78='Données projet'!$A$114,'Données projet'!$B$114,BY77+BX78-CG77)))</f>
        <v>311.99999999999994</v>
      </c>
      <c r="BZ78" s="13">
        <f>BY78*VLOOKUP('Données projet'!$B$12,Paramètres!$A$1:$I$89,3,0)*VLOOKUP('Données projet'!$B$12,Paramètres!$A$1:$I$89,5,0)</f>
        <v>262.8288</v>
      </c>
      <c r="CA78" s="13">
        <f t="shared" si="93"/>
        <v>63.324983518559485</v>
      </c>
      <c r="CB78" s="20">
        <f t="shared" si="64"/>
        <v>568.05117296149103</v>
      </c>
      <c r="CC78" s="59">
        <f t="shared" si="65"/>
        <v>861.3845062948244</v>
      </c>
      <c r="CD78" s="59">
        <f ca="1">AVERAGE(OFFSET($CC$3,0,0,'Données projet'!$E$12+1,1))-AVERAGE(OFFSET($H$3,0,0,'Données projet'!$E$12+1,1))</f>
        <v>429.61977776013185</v>
      </c>
      <c r="CE78" s="59">
        <f t="shared" si="94"/>
        <v>261.95434270986385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28</v>
      </c>
      <c r="CH78" s="16">
        <f>IF(ISNA(VLOOKUP(A78,'Données projet'!$A$113:$I$133,5,0)),0%,VLOOKUP(A78,'Données projet'!$A$113:$I$133,5,0)*VLOOKUP('Données projet'!$B$12,Paramètres!$A$1:$I$89,7,0))</f>
        <v>0.215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24.367995214013145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24.367995214013145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270</v>
      </c>
      <c r="CR78" s="12">
        <f>VLOOKUP(A78,'Données projet'!$A$139:$I$159,9,0)</f>
        <v>3.4</v>
      </c>
      <c r="CS78" s="12">
        <f t="array" ref="CS78">INDEX(CR:CR,MIN(IF(ISNUMBER(CR78:CR274),ROW(CR78:CR274),"")))</f>
        <v>3.4</v>
      </c>
      <c r="CT78" s="12">
        <f>IF('Données projet'!$A$140&gt;35,CT77+CS78-DB77,IF(A78&lt;'Données projet'!$A$140,$CQ$205^A78,IF(A78='Données projet'!$A$140,'Données projet'!$B$140,CT77+CS78-DB77)))</f>
        <v>269.99999999999977</v>
      </c>
      <c r="CU78" s="17">
        <f>CT78*VLOOKUP('Données projet'!$B$13,Paramètres!$A$1:$I$89,3,0)*VLOOKUP('Données projet'!$B$13,Paramètres!$A$1:$I$89,5,0)</f>
        <v>176.90399999999985</v>
      </c>
      <c r="CV78" s="13">
        <f t="shared" si="95"/>
        <v>44.632689233663115</v>
      </c>
      <c r="CW78" s="20">
        <f t="shared" si="67"/>
        <v>385.843067081963</v>
      </c>
      <c r="CX78" s="59">
        <f t="shared" si="68"/>
        <v>679.17640041529626</v>
      </c>
      <c r="CY78" s="59">
        <f ca="1">AVERAGE(OFFSET($CX$3,0,0,'Données projet'!$E$13+1,1))-AVERAGE(OFFSET($H$3,0,0,'Données projet'!$E$13+1,1))</f>
        <v>255.09913504736693</v>
      </c>
      <c r="CZ78" s="59">
        <f t="shared" si="96"/>
        <v>248.42617382406644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9</v>
      </c>
      <c r="DC78" s="16">
        <f>IF(ISNA(VLOOKUP(A78,'Données projet'!$A$139:$I$159,5,0)),0%,VLOOKUP(A78,'Données projet'!$A$139:$I$159,5,0)*VLOOKUP('Données projet'!$B$13,Paramètres!$A$1:$I$89,7,0))</f>
        <v>0.25800000000000001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10.462939330004723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10.462939330004723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252</v>
      </c>
      <c r="DM78" s="12">
        <f>VLOOKUP(A78,'Données projet'!$A$165:$I$185,9,0)</f>
        <v>6.2</v>
      </c>
      <c r="DN78" s="12">
        <f t="array" ref="DN78">INDEX(DM:DM,MIN(IF(ISNUMBER(DM78:DM274),ROW(DM78:DM274),"")))</f>
        <v>6.2</v>
      </c>
      <c r="DO78" s="12">
        <f>IF('Données projet'!$A$166&gt;35,DO77+DN78-DW77,IF(A78&lt;'Données projet'!$A$166,$DL$205^A78,IF(A78='Données projet'!$A$166,'Données projet'!$B$166,DO77+DN78-DW77)))</f>
        <v>251.99999999999991</v>
      </c>
      <c r="DP78" s="17">
        <f>DO78*VLOOKUP('Données projet'!$B$14,Paramètres!$A$1:$I$89,3,0)*VLOOKUP('Données projet'!$B$14,Paramètres!$A$1:$I$89,5,0)</f>
        <v>286.97759999999988</v>
      </c>
      <c r="DQ78" s="13">
        <f t="shared" si="97"/>
        <v>68.43945728851196</v>
      </c>
      <c r="DR78" s="20">
        <f t="shared" si="70"/>
        <v>619.01804144415814</v>
      </c>
      <c r="DS78" s="59">
        <f t="shared" si="71"/>
        <v>912.3513747774914</v>
      </c>
      <c r="DT78" s="59">
        <f ca="1">AVERAGE(OFFSET($DS$3,0,0,'Données projet'!$E$14+1,1))-AVERAGE(OFFSET($H$3,0,0,'Données projet'!$E$14+1,1))</f>
        <v>459.67331926893809</v>
      </c>
      <c r="DU78" s="59">
        <f t="shared" si="98"/>
        <v>280.33242658375497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21</v>
      </c>
      <c r="DX78" s="16">
        <f>IF(ISNA(VLOOKUP(A78,'Données projet'!$A$165:$I$185,5,0)),0%,VLOOKUP(A78,'Données projet'!$A$165:$I$185,5,0)*VLOOKUP('Données projet'!$B$14,Paramètres!$A$1:$I$89,7,0))</f>
        <v>0.215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24.706439591985546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24.706439591985546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264.08053957457469</v>
      </c>
      <c r="EP78" s="59">
        <f t="shared" si="100"/>
        <v>284.83300065761051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120.40225340586333</v>
      </c>
      <c r="EW78" s="21">
        <f>EXP(-LN(2)/25)*EW77+(1-EXP(-LN(2)/25))/(LN(2)/25)*Calculateur!ER78*Calculateur!ET78*VLOOKUP('Données projet'!$B$15,Paramètres!$A$1:$I$89,3,0)*0.475*44/12</f>
        <v>13.935380999233084</v>
      </c>
      <c r="EX78" s="21">
        <f>EXP(-LN(2)/2)*EX77+(1-EXP(-LN(2)/2))/(LN(2)/2)*ER78*EU78*VLOOKUP('Données projet'!$B$15,Paramètres!$A$1:$I$89,3,0)*0.475*44/12</f>
        <v>0.33338590815094998</v>
      </c>
      <c r="EY78" s="22">
        <f t="shared" si="75"/>
        <v>134.67102031324737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>
        <f>FE78*VLOOKUP('Données projet'!$B$16,Paramètres!$A$1:$I$89,3,0)*VLOOKUP('Données projet'!$B$16,Paramètres!$A$1:$I$89,5,0)</f>
        <v>0</v>
      </c>
      <c r="FG78" s="13" t="e">
        <f t="shared" si="101"/>
        <v>#NUM!</v>
      </c>
      <c r="FH78" s="20" t="e">
        <f t="shared" si="76"/>
        <v>#NUM!</v>
      </c>
      <c r="FI78" s="59" t="e">
        <f t="shared" si="77"/>
        <v>#NUM!</v>
      </c>
      <c r="FJ78" s="59">
        <f ca="1">AVERAGE(OFFSET($FI$3,0,0,'Données projet'!$E$16+1,1))-AVERAGE(OFFSET($H$3,0,0,'Données projet'!$E$16+1,1))</f>
        <v>166.27444639635013</v>
      </c>
      <c r="FK78" s="59">
        <f t="shared" si="102"/>
        <v>213.60182977243113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72.169072041513033</v>
      </c>
      <c r="FR78" s="21">
        <f>EXP(-LN(2)/25)*FR77+(1-EXP(-LN(2)/25))/(LN(2)/25)*Calculateur!FM78*Calculateur!FO78*VLOOKUP('Données projet'!$B$16,Paramètres!$A$1:$I$89,3,0)*0.475*44/12</f>
        <v>30.902509831739486</v>
      </c>
      <c r="FS78" s="21">
        <f>EXP(-LN(2)/2)*FS77+(1-EXP(-LN(2)/2))/(LN(2)/2)*FM78*FP78*VLOOKUP('Données projet'!$B$16,Paramètres!$A$1:$I$89,3,0)*0.475*44/12</f>
        <v>1.0468396998433778</v>
      </c>
      <c r="FT78" s="22">
        <f t="shared" si="78"/>
        <v>104.11842157309589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291.19999999999993</v>
      </c>
      <c r="O79" s="13">
        <f>N79*VLOOKUP('Données projet'!$B$9,Paramètres!$A$1:$I$89,3,0)*VLOOKUP('Données projet'!$B$9,Paramètres!$A$1:$I$89,5,0)</f>
        <v>263.47775999999993</v>
      </c>
      <c r="P79" s="13">
        <f t="shared" si="87"/>
        <v>63.46312159763346</v>
      </c>
      <c r="Q79" s="20">
        <f t="shared" si="54"/>
        <v>569.42203544921142</v>
      </c>
      <c r="R79" s="59">
        <f t="shared" si="55"/>
        <v>862.75536878254479</v>
      </c>
      <c r="S79" s="59">
        <f ca="1">AVERAGE(OFFSET($R$3,0,0,'Données projet'!$E$9+1,1))-AVERAGE(OFFSET($H$3,0,0,'Données projet'!$E$9+1,1))</f>
        <v>458.37755197712164</v>
      </c>
      <c r="T79" s="59">
        <f t="shared" si="88"/>
        <v>278.21741231699917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25.659794705014772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25.659794705014772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291.19999999999993</v>
      </c>
      <c r="AJ79" s="13">
        <f>AI79*VLOOKUP('Données projet'!$B$10,Paramètres!$A$1:$I$89,3,0)*VLOOKUP('Données projet'!$B$10,Paramètres!$A$1:$I$89,5,0)</f>
        <v>295.27679999999998</v>
      </c>
      <c r="AK79" s="13">
        <f t="shared" si="89"/>
        <v>70.185386686980493</v>
      </c>
      <c r="AL79" s="20">
        <f t="shared" si="58"/>
        <v>636.51330847982433</v>
      </c>
      <c r="AM79" s="59">
        <f t="shared" si="59"/>
        <v>929.8466418131577</v>
      </c>
      <c r="AN79" s="59">
        <f ca="1">AVERAGE(OFFSET($AM$3,0,0,'Données projet'!$E$10+1,1))-AVERAGE(OFFSET($H$3,0,0,'Données projet'!$E$10+1,1))</f>
        <v>508.60701013958447</v>
      </c>
      <c r="AO79" s="59">
        <f t="shared" si="90"/>
        <v>306.61893266146654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28.756666479757943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28.756666479757943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236.99999999999989</v>
      </c>
      <c r="BE79" s="13">
        <f>BD79*VLOOKUP('Données projet'!$B$11,Paramètres!$A$1:$I$89,3,0)*VLOOKUP('Données projet'!$B$11,Paramètres!$A$1:$I$89,5,0)</f>
        <v>225.52919999999992</v>
      </c>
      <c r="BF79" s="13">
        <f t="shared" si="91"/>
        <v>55.314888425951921</v>
      </c>
      <c r="BG79" s="20">
        <f t="shared" si="61"/>
        <v>489.13678734186618</v>
      </c>
      <c r="BH79" s="59">
        <f t="shared" si="62"/>
        <v>782.4701206751995</v>
      </c>
      <c r="BI79" s="59">
        <f ca="1">AVERAGE(OFFSET($BH$3,0,0,'Données projet'!$E$11+1,1))-AVERAGE(OFFSET($H$3,0,0,'Données projet'!$E$11+1,1))</f>
        <v>291.17074241052887</v>
      </c>
      <c r="BJ79" s="59">
        <f t="shared" si="92"/>
        <v>241.18285512887638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20.240269099214235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20.240269099214235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7.2</v>
      </c>
      <c r="BY79" s="12">
        <f>IF('Données projet'!$A$114&gt;35,BY78+BX79-CG78,IF(A79&lt;'Données projet'!$A$114,$BV$205^A79,IF(A79='Données projet'!$A$114,'Données projet'!$B$114,BY78+BX79-CG78)))</f>
        <v>291.19999999999993</v>
      </c>
      <c r="BZ79" s="13">
        <f>BY79*VLOOKUP('Données projet'!$B$12,Paramètres!$A$1:$I$89,3,0)*VLOOKUP('Données projet'!$B$12,Paramètres!$A$1:$I$89,5,0)</f>
        <v>245.30687999999995</v>
      </c>
      <c r="CA79" s="13">
        <f t="shared" si="93"/>
        <v>59.579874112906374</v>
      </c>
      <c r="CB79" s="20">
        <f t="shared" si="64"/>
        <v>531.01109674664519</v>
      </c>
      <c r="CC79" s="59">
        <f t="shared" si="65"/>
        <v>824.34443007997857</v>
      </c>
      <c r="CD79" s="59">
        <f ca="1">AVERAGE(OFFSET($CC$3,0,0,'Données projet'!$E$12+1,1))-AVERAGE(OFFSET($H$3,0,0,'Données projet'!$E$12+1,1))</f>
        <v>429.61977776013185</v>
      </c>
      <c r="CE79" s="59">
        <f t="shared" si="94"/>
        <v>261.95434270986385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23.890153690875827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23.890153690875827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2.8</v>
      </c>
      <c r="CT79" s="12">
        <f>IF('Données projet'!$A$140&gt;35,CT78+CS79-DB78,IF(A79&lt;'Données projet'!$A$140,$CQ$205^A79,IF(A79='Données projet'!$A$140,'Données projet'!$B$140,CT78+CS79-DB78)))</f>
        <v>263.79999999999978</v>
      </c>
      <c r="CU79" s="17">
        <f>CT79*VLOOKUP('Données projet'!$B$13,Paramètres!$A$1:$I$89,3,0)*VLOOKUP('Données projet'!$B$13,Paramètres!$A$1:$I$89,5,0)</f>
        <v>172.84175999999985</v>
      </c>
      <c r="CV79" s="13">
        <f t="shared" si="95"/>
        <v>43.725867908425457</v>
      </c>
      <c r="CW79" s="20">
        <f t="shared" si="67"/>
        <v>377.18861860717408</v>
      </c>
      <c r="CX79" s="59">
        <f t="shared" si="68"/>
        <v>670.52195194050739</v>
      </c>
      <c r="CY79" s="59">
        <f ca="1">AVERAGE(OFFSET($CX$3,0,0,'Données projet'!$E$13+1,1))-AVERAGE(OFFSET($H$3,0,0,'Données projet'!$E$13+1,1))</f>
        <v>255.09913504736693</v>
      </c>
      <c r="CZ79" s="59">
        <f t="shared" si="96"/>
        <v>248.42617382406644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10.257767471506174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10.257767471506174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</v>
      </c>
      <c r="DO79" s="12">
        <f>IF('Données projet'!$A$166&gt;35,DO78+DN79-DW78,IF(A79&lt;'Données projet'!$A$166,$DL$205^A79,IF(A79='Données projet'!$A$166,'Données projet'!$B$166,DO78+DN79-DW78)))</f>
        <v>236.99999999999989</v>
      </c>
      <c r="DP79" s="17">
        <f>DO79*VLOOKUP('Données projet'!$B$14,Paramètres!$A$1:$I$89,3,0)*VLOOKUP('Données projet'!$B$14,Paramètres!$A$1:$I$89,5,0)</f>
        <v>269.89559999999989</v>
      </c>
      <c r="DQ79" s="13">
        <f t="shared" si="97"/>
        <v>64.827112474282018</v>
      </c>
      <c r="DR79" s="20">
        <f t="shared" si="70"/>
        <v>582.97539089270765</v>
      </c>
      <c r="DS79" s="59">
        <f t="shared" si="71"/>
        <v>876.30872422604102</v>
      </c>
      <c r="DT79" s="59">
        <f ca="1">AVERAGE(OFFSET($DS$3,0,0,'Données projet'!$E$14+1,1))-AVERAGE(OFFSET($H$3,0,0,'Données projet'!$E$14+1,1))</f>
        <v>459.67331926893809</v>
      </c>
      <c r="DU79" s="59">
        <f t="shared" si="98"/>
        <v>280.33242658375497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24.221961381026876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24.221961381026876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264.08053957457469</v>
      </c>
      <c r="EP79" s="59">
        <f t="shared" si="100"/>
        <v>284.83300065761051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118.04123865469752</v>
      </c>
      <c r="EW79" s="21">
        <f>EXP(-LN(2)/25)*EW78+(1-EXP(-LN(2)/25))/(LN(2)/25)*Calculateur!ER79*Calculateur!ET79*VLOOKUP('Données projet'!$B$15,Paramètres!$A$1:$I$89,3,0)*0.475*44/12</f>
        <v>13.554317272979219</v>
      </c>
      <c r="EX79" s="21">
        <f>EXP(-LN(2)/2)*EX78+(1-EXP(-LN(2)/2))/(LN(2)/2)*ER79*EU79*VLOOKUP('Données projet'!$B$15,Paramètres!$A$1:$I$89,3,0)*0.475*44/12</f>
        <v>0.23573943640557224</v>
      </c>
      <c r="EY79" s="22">
        <f t="shared" si="75"/>
        <v>131.83129536408231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>
        <f>FE79*VLOOKUP('Données projet'!$B$16,Paramètres!$A$1:$I$89,3,0)*VLOOKUP('Données projet'!$B$16,Paramètres!$A$1:$I$89,5,0)</f>
        <v>0</v>
      </c>
      <c r="FG79" s="13" t="e">
        <f t="shared" si="101"/>
        <v>#NUM!</v>
      </c>
      <c r="FH79" s="20" t="e">
        <f t="shared" si="76"/>
        <v>#NUM!</v>
      </c>
      <c r="FI79" s="59" t="e">
        <f t="shared" si="77"/>
        <v>#NUM!</v>
      </c>
      <c r="FJ79" s="59">
        <f ca="1">AVERAGE(OFFSET($FI$3,0,0,'Données projet'!$E$16+1,1))-AVERAGE(OFFSET($H$3,0,0,'Données projet'!$E$16+1,1))</f>
        <v>166.27444639635013</v>
      </c>
      <c r="FK79" s="59">
        <f t="shared" si="102"/>
        <v>213.60182977243113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70.753880557566418</v>
      </c>
      <c r="FR79" s="21">
        <f>EXP(-LN(2)/25)*FR78+(1-EXP(-LN(2)/25))/(LN(2)/25)*Calculateur!FM79*Calculateur!FO79*VLOOKUP('Données projet'!$B$16,Paramètres!$A$1:$I$89,3,0)*0.475*44/12</f>
        <v>30.057479075298208</v>
      </c>
      <c r="FS79" s="21">
        <f>EXP(-LN(2)/2)*FS78+(1-EXP(-LN(2)/2))/(LN(2)/2)*FM79*FP79*VLOOKUP('Données projet'!$B$16,Paramètres!$A$1:$I$89,3,0)*0.475*44/12</f>
        <v>0.74022745057454242</v>
      </c>
      <c r="FT79" s="22">
        <f t="shared" si="78"/>
        <v>101.55158708343916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298.39999999999992</v>
      </c>
      <c r="O80" s="13">
        <f>N80*VLOOKUP('Données projet'!$B$9,Paramètres!$A$1:$I$89,3,0)*VLOOKUP('Données projet'!$B$9,Paramètres!$A$1:$I$89,5,0)</f>
        <v>269.99231999999995</v>
      </c>
      <c r="P80" s="13">
        <f t="shared" si="87"/>
        <v>64.847639395310239</v>
      </c>
      <c r="Q80" s="20">
        <f t="shared" si="54"/>
        <v>583.17959594683191</v>
      </c>
      <c r="R80" s="59">
        <f t="shared" si="55"/>
        <v>876.51292928016528</v>
      </c>
      <c r="S80" s="59">
        <f ca="1">AVERAGE(OFFSET($R$3,0,0,'Données projet'!$E$9+1,1))-AVERAGE(OFFSET($H$3,0,0,'Données projet'!$E$9+1,1))</f>
        <v>458.37755197712164</v>
      </c>
      <c r="T80" s="59">
        <f t="shared" si="88"/>
        <v>278.21741231699917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25.156621781778799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25.156621781778799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298.39999999999992</v>
      </c>
      <c r="AJ80" s="13">
        <f>AI80*VLOOKUP('Données projet'!$B$10,Paramètres!$A$1:$I$89,3,0)*VLOOKUP('Données projet'!$B$10,Paramètres!$A$1:$I$89,5,0)</f>
        <v>302.57759999999996</v>
      </c>
      <c r="AK80" s="13">
        <f t="shared" si="89"/>
        <v>71.716558091076294</v>
      </c>
      <c r="AL80" s="20">
        <f t="shared" si="58"/>
        <v>651.89565867529109</v>
      </c>
      <c r="AM80" s="59">
        <f t="shared" si="59"/>
        <v>945.22899200862435</v>
      </c>
      <c r="AN80" s="59">
        <f ca="1">AVERAGE(OFFSET($AM$3,0,0,'Données projet'!$E$10+1,1))-AVERAGE(OFFSET($H$3,0,0,'Données projet'!$E$10+1,1))</f>
        <v>508.60701013958447</v>
      </c>
      <c r="AO80" s="59">
        <f t="shared" si="90"/>
        <v>306.61893266146654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28.192765789924529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28.192765789924529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242.99999999999989</v>
      </c>
      <c r="BE80" s="13">
        <f>BD80*VLOOKUP('Données projet'!$B$11,Paramètres!$A$1:$I$89,3,0)*VLOOKUP('Données projet'!$B$11,Paramètres!$A$1:$I$89,5,0)</f>
        <v>231.23879999999991</v>
      </c>
      <c r="BF80" s="13">
        <f t="shared" si="91"/>
        <v>56.55045525673966</v>
      </c>
      <c r="BG80" s="20">
        <f t="shared" si="61"/>
        <v>501.23295290548805</v>
      </c>
      <c r="BH80" s="59">
        <f t="shared" si="62"/>
        <v>794.56628623882136</v>
      </c>
      <c r="BI80" s="59">
        <f ca="1">AVERAGE(OFFSET($BH$3,0,0,'Données projet'!$E$11+1,1))-AVERAGE(OFFSET($H$3,0,0,'Données projet'!$E$11+1,1))</f>
        <v>291.17074241052887</v>
      </c>
      <c r="BJ80" s="59">
        <f t="shared" si="92"/>
        <v>241.18285512887638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19.843369767523793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19.843369767523793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7.2</v>
      </c>
      <c r="BY80" s="12">
        <f>IF('Données projet'!$A$114&gt;35,BY79+BX80-CG79,IF(A80&lt;'Données projet'!$A$114,$BV$205^A80,IF(A80='Données projet'!$A$114,'Données projet'!$B$114,BY79+BX80-CG79)))</f>
        <v>298.39999999999992</v>
      </c>
      <c r="BZ80" s="13">
        <f>BY80*VLOOKUP('Données projet'!$B$12,Paramètres!$A$1:$I$89,3,0)*VLOOKUP('Données projet'!$B$12,Paramètres!$A$1:$I$89,5,0)</f>
        <v>251.37215999999995</v>
      </c>
      <c r="CA80" s="13">
        <f t="shared" si="93"/>
        <v>60.879674595707343</v>
      </c>
      <c r="CB80" s="20">
        <f t="shared" si="64"/>
        <v>543.83861192085681</v>
      </c>
      <c r="CC80" s="59">
        <f t="shared" si="65"/>
        <v>837.17194525419018</v>
      </c>
      <c r="CD80" s="59">
        <f ca="1">AVERAGE(OFFSET($CC$3,0,0,'Données projet'!$E$12+1,1))-AVERAGE(OFFSET($H$3,0,0,'Données projet'!$E$12+1,1))</f>
        <v>429.61977776013185</v>
      </c>
      <c r="CE80" s="59">
        <f t="shared" si="94"/>
        <v>261.95434270986385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23.421682348552682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23.421682348552682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2.8</v>
      </c>
      <c r="CT80" s="12">
        <f>IF('Données projet'!$A$140&gt;35,CT79+CS80-DB79,IF(A80&lt;'Données projet'!$A$140,$CQ$205^A80,IF(A80='Données projet'!$A$140,'Données projet'!$B$140,CT79+CS80-DB79)))</f>
        <v>266.5999999999998</v>
      </c>
      <c r="CU80" s="17">
        <f>CT80*VLOOKUP('Données projet'!$B$13,Paramètres!$A$1:$I$89,3,0)*VLOOKUP('Données projet'!$B$13,Paramètres!$A$1:$I$89,5,0)</f>
        <v>174.67631999999986</v>
      </c>
      <c r="CV80" s="13">
        <f t="shared" si="95"/>
        <v>44.135703881788075</v>
      </c>
      <c r="CW80" s="20">
        <f t="shared" si="67"/>
        <v>381.09760826078065</v>
      </c>
      <c r="CX80" s="59">
        <f t="shared" si="68"/>
        <v>674.43094159411396</v>
      </c>
      <c r="CY80" s="59">
        <f ca="1">AVERAGE(OFFSET($CX$3,0,0,'Données projet'!$E$13+1,1))-AVERAGE(OFFSET($H$3,0,0,'Données projet'!$E$13+1,1))</f>
        <v>255.09913504736693</v>
      </c>
      <c r="CZ80" s="59">
        <f t="shared" si="96"/>
        <v>248.42617382406644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10.056618908010305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10.056618908010305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6</v>
      </c>
      <c r="DO80" s="12">
        <f>IF('Données projet'!$A$166&gt;35,DO79+DN80-DW79,IF(A80&lt;'Données projet'!$A$166,$DL$205^A80,IF(A80='Données projet'!$A$166,'Données projet'!$B$166,DO79+DN80-DW79)))</f>
        <v>242.99999999999989</v>
      </c>
      <c r="DP80" s="17">
        <f>DO80*VLOOKUP('Données projet'!$B$14,Paramètres!$A$1:$I$89,3,0)*VLOOKUP('Données projet'!$B$14,Paramètres!$A$1:$I$89,5,0)</f>
        <v>276.72839999999985</v>
      </c>
      <c r="DQ80" s="13">
        <f t="shared" si="97"/>
        <v>66.275153538600421</v>
      </c>
      <c r="DR80" s="20">
        <f t="shared" si="70"/>
        <v>597.39785574639552</v>
      </c>
      <c r="DS80" s="59">
        <f t="shared" si="71"/>
        <v>890.73118907972889</v>
      </c>
      <c r="DT80" s="59">
        <f ca="1">AVERAGE(OFFSET($DS$3,0,0,'Données projet'!$E$14+1,1))-AVERAGE(OFFSET($H$3,0,0,'Données projet'!$E$14+1,1))</f>
        <v>459.67331926893809</v>
      </c>
      <c r="DU80" s="59">
        <f t="shared" si="98"/>
        <v>280.33242658375497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23.746983492282578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23.746983492282578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264.08053957457469</v>
      </c>
      <c r="EP80" s="59">
        <f t="shared" si="100"/>
        <v>284.83300065761051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115.72652196272527</v>
      </c>
      <c r="EW80" s="21">
        <f>EXP(-LN(2)/25)*EW79+(1-EXP(-LN(2)/25))/(LN(2)/25)*Calculateur!ER80*Calculateur!ET80*VLOOKUP('Données projet'!$B$15,Paramètres!$A$1:$I$89,3,0)*0.475*44/12</f>
        <v>13.183673754359036</v>
      </c>
      <c r="EX80" s="21">
        <f>EXP(-LN(2)/2)*EX79+(1-EXP(-LN(2)/2))/(LN(2)/2)*ER80*EU80*VLOOKUP('Données projet'!$B$15,Paramètres!$A$1:$I$89,3,0)*0.475*44/12</f>
        <v>0.16669295407547502</v>
      </c>
      <c r="EY80" s="22">
        <f t="shared" si="75"/>
        <v>129.07688867115979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>
        <f>FE80*VLOOKUP('Données projet'!$B$16,Paramètres!$A$1:$I$89,3,0)*VLOOKUP('Données projet'!$B$16,Paramètres!$A$1:$I$89,5,0)</f>
        <v>0</v>
      </c>
      <c r="FG80" s="13" t="e">
        <f t="shared" si="101"/>
        <v>#NUM!</v>
      </c>
      <c r="FH80" s="20" t="e">
        <f t="shared" si="76"/>
        <v>#NUM!</v>
      </c>
      <c r="FI80" s="59" t="e">
        <f t="shared" si="77"/>
        <v>#NUM!</v>
      </c>
      <c r="FJ80" s="59">
        <f ca="1">AVERAGE(OFFSET($FI$3,0,0,'Données projet'!$E$16+1,1))-AVERAGE(OFFSET($H$3,0,0,'Données projet'!$E$16+1,1))</f>
        <v>166.27444639635013</v>
      </c>
      <c r="FK80" s="59">
        <f t="shared" si="102"/>
        <v>213.60182977243113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69.366440115438422</v>
      </c>
      <c r="FR80" s="21">
        <f>EXP(-LN(2)/25)*FR79+(1-EXP(-LN(2)/25))/(LN(2)/25)*Calculateur!FM80*Calculateur!FO80*VLOOKUP('Données projet'!$B$16,Paramètres!$A$1:$I$89,3,0)*0.475*44/12</f>
        <v>29.235555729330052</v>
      </c>
      <c r="FS80" s="21">
        <f>EXP(-LN(2)/2)*FS79+(1-EXP(-LN(2)/2))/(LN(2)/2)*FM80*FP80*VLOOKUP('Données projet'!$B$16,Paramètres!$A$1:$I$89,3,0)*0.475*44/12</f>
        <v>0.52341984992168888</v>
      </c>
      <c r="FT80" s="22">
        <f t="shared" si="78"/>
        <v>99.125415694690176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305.59999999999991</v>
      </c>
      <c r="O81" s="13">
        <f>N81*VLOOKUP('Données projet'!$B$9,Paramètres!$A$1:$I$89,3,0)*VLOOKUP('Données projet'!$B$9,Paramètres!$A$1:$I$89,5,0)</f>
        <v>276.50687999999991</v>
      </c>
      <c r="P81" s="13">
        <f t="shared" si="87"/>
        <v>66.228273722513677</v>
      </c>
      <c r="Q81" s="20">
        <f t="shared" si="54"/>
        <v>596.93039273337774</v>
      </c>
      <c r="R81" s="59">
        <f t="shared" si="55"/>
        <v>890.26372606671111</v>
      </c>
      <c r="S81" s="59">
        <f ca="1">AVERAGE(OFFSET($R$3,0,0,'Données projet'!$E$9+1,1))-AVERAGE(OFFSET($H$3,0,0,'Données projet'!$E$9+1,1))</f>
        <v>458.37755197712164</v>
      </c>
      <c r="T81" s="59">
        <f t="shared" si="88"/>
        <v>278.21741231699917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24.663315772662308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24.663315772662308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305.59999999999991</v>
      </c>
      <c r="AJ81" s="13">
        <f>AI81*VLOOKUP('Données projet'!$B$10,Paramètres!$A$1:$I$89,3,0)*VLOOKUP('Données projet'!$B$10,Paramètres!$A$1:$I$89,5,0)</f>
        <v>309.87839999999994</v>
      </c>
      <c r="AK81" s="13">
        <f t="shared" si="89"/>
        <v>73.243434672131556</v>
      </c>
      <c r="AL81" s="20">
        <f t="shared" si="58"/>
        <v>667.27052872062893</v>
      </c>
      <c r="AM81" s="59">
        <f t="shared" si="59"/>
        <v>960.6038620539623</v>
      </c>
      <c r="AN81" s="59">
        <f ca="1">AVERAGE(OFFSET($AM$3,0,0,'Données projet'!$E$10+1,1))-AVERAGE(OFFSET($H$3,0,0,'Données projet'!$E$10+1,1))</f>
        <v>508.60701013958447</v>
      </c>
      <c r="AO81" s="59">
        <f t="shared" si="90"/>
        <v>306.61893266146654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27.639922848673287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27.639922848673287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</v>
      </c>
      <c r="BD81" s="12">
        <f>IF('Données projet'!$A$88&gt;35,BD80+BC81-BL80,IF(A81&lt;'Données projet'!$A$88,$BA$205^A81,IF(A81='Données projet'!$A$88,'Données projet'!$B$88,BD80+BC81-BL80)))</f>
        <v>248.99999999999989</v>
      </c>
      <c r="BE81" s="13">
        <f>BD81*VLOOKUP('Données projet'!$B$11,Paramètres!$A$1:$I$89,3,0)*VLOOKUP('Données projet'!$B$11,Paramètres!$A$1:$I$89,5,0)</f>
        <v>236.94839999999991</v>
      </c>
      <c r="BF81" s="13">
        <f t="shared" si="91"/>
        <v>57.782475694292401</v>
      </c>
      <c r="BG81" s="20">
        <f t="shared" si="61"/>
        <v>513.32294183422573</v>
      </c>
      <c r="BH81" s="59">
        <f t="shared" si="62"/>
        <v>806.65627516755899</v>
      </c>
      <c r="BI81" s="59">
        <f ca="1">AVERAGE(OFFSET($BH$3,0,0,'Données projet'!$E$11+1,1))-AVERAGE(OFFSET($H$3,0,0,'Données projet'!$E$11+1,1))</f>
        <v>291.17074241052887</v>
      </c>
      <c r="BJ81" s="59">
        <f t="shared" si="92"/>
        <v>241.18285512887638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19.45425338964311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19.45425338964311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7.2</v>
      </c>
      <c r="BY81" s="12">
        <f>IF('Données projet'!$A$114&gt;35,BY80+BX81-CG80,IF(A81&lt;'Données projet'!$A$114,$BV$205^A81,IF(A81='Données projet'!$A$114,'Données projet'!$B$114,BY80+BX81-CG80)))</f>
        <v>305.59999999999991</v>
      </c>
      <c r="BZ81" s="13">
        <f>BY81*VLOOKUP('Données projet'!$B$12,Paramètres!$A$1:$I$89,3,0)*VLOOKUP('Données projet'!$B$12,Paramètres!$A$1:$I$89,5,0)</f>
        <v>257.43743999999998</v>
      </c>
      <c r="CA81" s="13">
        <f t="shared" si="93"/>
        <v>62.175829233865038</v>
      </c>
      <c r="CB81" s="20">
        <f t="shared" si="64"/>
        <v>556.65977724898153</v>
      </c>
      <c r="CC81" s="59">
        <f t="shared" si="65"/>
        <v>849.99311058231478</v>
      </c>
      <c r="CD81" s="59">
        <f ca="1">AVERAGE(OFFSET($CC$3,0,0,'Données projet'!$E$12+1,1))-AVERAGE(OFFSET($H$3,0,0,'Données projet'!$E$12+1,1))</f>
        <v>429.61977776013185</v>
      </c>
      <c r="CE81" s="59">
        <f t="shared" si="94"/>
        <v>261.95434270986385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22.96239744351319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22.96239744351319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2.8</v>
      </c>
      <c r="CT81" s="12">
        <f>IF('Données projet'!$A$140&gt;35,CT80+CS81-DB80,IF(A81&lt;'Données projet'!$A$140,$CQ$205^A81,IF(A81='Données projet'!$A$140,'Données projet'!$B$140,CT80+CS81-DB80)))</f>
        <v>269.39999999999981</v>
      </c>
      <c r="CU81" s="17">
        <f>CT81*VLOOKUP('Données projet'!$B$13,Paramètres!$A$1:$I$89,3,0)*VLOOKUP('Données projet'!$B$13,Paramètres!$A$1:$I$89,5,0)</f>
        <v>176.51087999999987</v>
      </c>
      <c r="CV81" s="13">
        <f t="shared" si="95"/>
        <v>44.545039124761026</v>
      </c>
      <c r="CW81" s="20">
        <f t="shared" si="67"/>
        <v>385.00572580895852</v>
      </c>
      <c r="CX81" s="59">
        <f t="shared" si="68"/>
        <v>678.33905914229183</v>
      </c>
      <c r="CY81" s="59">
        <f ca="1">AVERAGE(OFFSET($CX$3,0,0,'Données projet'!$E$13+1,1))-AVERAGE(OFFSET($H$3,0,0,'Données projet'!$E$13+1,1))</f>
        <v>255.09913504736693</v>
      </c>
      <c r="CZ81" s="59">
        <f t="shared" si="96"/>
        <v>248.42617382406644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9.8594147451560818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9.8594147451560818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6</v>
      </c>
      <c r="DO81" s="12">
        <f>IF('Données projet'!$A$166&gt;35,DO80+DN81-DW80,IF(A81&lt;'Données projet'!$A$166,$DL$205^A81,IF(A81='Données projet'!$A$166,'Données projet'!$B$166,DO80+DN81-DW80)))</f>
        <v>248.99999999999989</v>
      </c>
      <c r="DP81" s="17">
        <f>DO81*VLOOKUP('Données projet'!$B$14,Paramètres!$A$1:$I$89,3,0)*VLOOKUP('Données projet'!$B$14,Paramètres!$A$1:$I$89,5,0)</f>
        <v>283.56119999999987</v>
      </c>
      <c r="DQ81" s="13">
        <f t="shared" si="97"/>
        <v>67.719038354218597</v>
      </c>
      <c r="DR81" s="20">
        <f t="shared" si="70"/>
        <v>611.81308180026372</v>
      </c>
      <c r="DS81" s="59">
        <f t="shared" si="71"/>
        <v>905.14641513359697</v>
      </c>
      <c r="DT81" s="59">
        <f ca="1">AVERAGE(OFFSET($DS$3,0,0,'Données projet'!$E$14+1,1))-AVERAGE(OFFSET($H$3,0,0,'Données projet'!$E$14+1,1))</f>
        <v>459.67331926893809</v>
      </c>
      <c r="DU81" s="59">
        <f t="shared" si="98"/>
        <v>280.33242658375497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23.281319630228648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23.281319630228648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264.08053957457469</v>
      </c>
      <c r="EP81" s="59">
        <f t="shared" si="100"/>
        <v>284.83300065761051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113.45719545324482</v>
      </c>
      <c r="EW81" s="21">
        <f>EXP(-LN(2)/25)*EW80+(1-EXP(-LN(2)/25))/(LN(2)/25)*Calculateur!ER81*Calculateur!ET81*VLOOKUP('Données projet'!$B$15,Paramètres!$A$1:$I$89,3,0)*0.475*44/12</f>
        <v>12.823165502246818</v>
      </c>
      <c r="EX81" s="21">
        <f>EXP(-LN(2)/2)*EX80+(1-EXP(-LN(2)/2))/(LN(2)/2)*ER81*EU81*VLOOKUP('Données projet'!$B$15,Paramètres!$A$1:$I$89,3,0)*0.475*44/12</f>
        <v>0.11786971820278613</v>
      </c>
      <c r="EY81" s="22">
        <f t="shared" si="75"/>
        <v>126.39823067369443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>
        <f>FE81*VLOOKUP('Données projet'!$B$16,Paramètres!$A$1:$I$89,3,0)*VLOOKUP('Données projet'!$B$16,Paramètres!$A$1:$I$89,5,0)</f>
        <v>0</v>
      </c>
      <c r="FG81" s="13" t="e">
        <f t="shared" si="101"/>
        <v>#NUM!</v>
      </c>
      <c r="FH81" s="20" t="e">
        <f t="shared" si="76"/>
        <v>#NUM!</v>
      </c>
      <c r="FI81" s="59" t="e">
        <f t="shared" si="77"/>
        <v>#NUM!</v>
      </c>
      <c r="FJ81" s="59">
        <f ca="1">AVERAGE(OFFSET($FI$3,0,0,'Données projet'!$E$16+1,1))-AVERAGE(OFFSET($H$3,0,0,'Données projet'!$E$16+1,1))</f>
        <v>166.27444639635013</v>
      </c>
      <c r="FK81" s="59">
        <f t="shared" si="102"/>
        <v>213.60182977243113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68.00620653412544</v>
      </c>
      <c r="FR81" s="21">
        <f>EXP(-LN(2)/25)*FR80+(1-EXP(-LN(2)/25))/(LN(2)/25)*Calculateur!FM81*Calculateur!FO81*VLOOKUP('Données projet'!$B$16,Paramètres!$A$1:$I$89,3,0)*0.475*44/12</f>
        <v>28.436107920480463</v>
      </c>
      <c r="FS81" s="21">
        <f>EXP(-LN(2)/2)*FS80+(1-EXP(-LN(2)/2))/(LN(2)/2)*FM81*FP81*VLOOKUP('Données projet'!$B$16,Paramètres!$A$1:$I$89,3,0)*0.475*44/12</f>
        <v>0.37011372528727121</v>
      </c>
      <c r="FT81" s="22">
        <f t="shared" si="78"/>
        <v>96.812428179893175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312.7999999999999</v>
      </c>
      <c r="O82" s="13">
        <f>N82*VLOOKUP('Données projet'!$B$9,Paramètres!$A$1:$I$89,3,0)*VLOOKUP('Données projet'!$B$9,Paramètres!$A$1:$I$89,5,0)</f>
        <v>283.02143999999987</v>
      </c>
      <c r="P82" s="13">
        <f t="shared" si="87"/>
        <v>67.605126603830598</v>
      </c>
      <c r="Q82" s="20">
        <f t="shared" si="54"/>
        <v>610.67460350167141</v>
      </c>
      <c r="R82" s="59">
        <f t="shared" si="55"/>
        <v>904.00793683500478</v>
      </c>
      <c r="S82" s="59">
        <f ca="1">AVERAGE(OFFSET($R$3,0,0,'Données projet'!$E$9+1,1))-AVERAGE(OFFSET($H$3,0,0,'Données projet'!$E$9+1,1))</f>
        <v>458.37755197712164</v>
      </c>
      <c r="T82" s="59">
        <f t="shared" si="88"/>
        <v>278.21741231699917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24.179683193497635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24.179683193497635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312.7999999999999</v>
      </c>
      <c r="AJ82" s="13">
        <f>AI82*VLOOKUP('Données projet'!$B$10,Paramètres!$A$1:$I$89,3,0)*VLOOKUP('Données projet'!$B$10,Paramètres!$A$1:$I$89,5,0)</f>
        <v>317.17919999999992</v>
      </c>
      <c r="AK82" s="13">
        <f t="shared" si="89"/>
        <v>74.766129261581426</v>
      </c>
      <c r="AL82" s="20">
        <f t="shared" si="58"/>
        <v>682.63811513058749</v>
      </c>
      <c r="AM82" s="59">
        <f t="shared" si="59"/>
        <v>975.97144846392075</v>
      </c>
      <c r="AN82" s="59">
        <f ca="1">AVERAGE(OFFSET($AM$3,0,0,'Données projet'!$E$10+1,1))-AVERAGE(OFFSET($H$3,0,0,'Données projet'!$E$10+1,1))</f>
        <v>508.60701013958447</v>
      </c>
      <c r="AO82" s="59">
        <f t="shared" si="90"/>
        <v>306.61893266146654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27.097920820299084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27.097920820299084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</v>
      </c>
      <c r="BD82" s="12">
        <f>IF('Données projet'!$A$88&gt;35,BD81+BC82-BL81,IF(A82&lt;'Données projet'!$A$88,$BA$205^A82,IF(A82='Données projet'!$A$88,'Données projet'!$B$88,BD81+BC82-BL81)))</f>
        <v>254.99999999999989</v>
      </c>
      <c r="BE82" s="13">
        <f>BD82*VLOOKUP('Données projet'!$B$11,Paramètres!$A$1:$I$89,3,0)*VLOOKUP('Données projet'!$B$11,Paramètres!$A$1:$I$89,5,0)</f>
        <v>242.6579999999999</v>
      </c>
      <c r="BF82" s="13">
        <f t="shared" si="91"/>
        <v>59.011045025839607</v>
      </c>
      <c r="BG82" s="20">
        <f t="shared" si="61"/>
        <v>525.40692008667054</v>
      </c>
      <c r="BH82" s="59">
        <f t="shared" si="62"/>
        <v>818.74025342000391</v>
      </c>
      <c r="BI82" s="59">
        <f ca="1">AVERAGE(OFFSET($BH$3,0,0,'Données projet'!$E$11+1,1))-AVERAGE(OFFSET($H$3,0,0,'Données projet'!$E$11+1,1))</f>
        <v>291.17074241052887</v>
      </c>
      <c r="BJ82" s="59">
        <f t="shared" si="92"/>
        <v>241.18285512887638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19.072767346595114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19.072767346595114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7.2</v>
      </c>
      <c r="BY82" s="12">
        <f>IF('Données projet'!$A$114&gt;35,BY81+BX82-CG81,IF(A82&lt;'Données projet'!$A$114,$BV$205^A82,IF(A82='Données projet'!$A$114,'Données projet'!$B$114,BY81+BX82-CG81)))</f>
        <v>312.7999999999999</v>
      </c>
      <c r="BZ82" s="13">
        <f>BY82*VLOOKUP('Données projet'!$B$12,Paramètres!$A$1:$I$89,3,0)*VLOOKUP('Données projet'!$B$12,Paramètres!$A$1:$I$89,5,0)</f>
        <v>263.50271999999995</v>
      </c>
      <c r="CA82" s="13">
        <f t="shared" si="93"/>
        <v>63.468433809179686</v>
      </c>
      <c r="CB82" s="20">
        <f t="shared" si="64"/>
        <v>569.47475955098787</v>
      </c>
      <c r="CC82" s="59">
        <f t="shared" si="65"/>
        <v>862.80809288432124</v>
      </c>
      <c r="CD82" s="59">
        <f ca="1">AVERAGE(OFFSET($CC$3,0,0,'Données projet'!$E$12+1,1))-AVERAGE(OFFSET($H$3,0,0,'Données projet'!$E$12+1,1))</f>
        <v>429.61977776013185</v>
      </c>
      <c r="CE82" s="59">
        <f t="shared" si="94"/>
        <v>261.95434270986385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22.512118835325392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22.512118835325392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2.8</v>
      </c>
      <c r="CT82" s="12">
        <f>IF('Données projet'!$A$140&gt;35,CT81+CS82-DB81,IF(A82&lt;'Données projet'!$A$140,$CQ$205^A82,IF(A82='Données projet'!$A$140,'Données projet'!$B$140,CT81+CS82-DB81)))</f>
        <v>272.19999999999982</v>
      </c>
      <c r="CU82" s="17">
        <f>CT82*VLOOKUP('Données projet'!$B$13,Paramètres!$A$1:$I$89,3,0)*VLOOKUP('Données projet'!$B$13,Paramètres!$A$1:$I$89,5,0)</f>
        <v>178.34543999999988</v>
      </c>
      <c r="CV82" s="13">
        <f t="shared" si="95"/>
        <v>44.953879444149464</v>
      </c>
      <c r="CW82" s="20">
        <f t="shared" si="67"/>
        <v>388.9129813652267</v>
      </c>
      <c r="CX82" s="59">
        <f t="shared" si="68"/>
        <v>682.24631469856001</v>
      </c>
      <c r="CY82" s="59">
        <f ca="1">AVERAGE(OFFSET($CX$3,0,0,'Données projet'!$E$13+1,1))-AVERAGE(OFFSET($H$3,0,0,'Données projet'!$E$13+1,1))</f>
        <v>255.09913504736693</v>
      </c>
      <c r="CZ82" s="59">
        <f t="shared" si="96"/>
        <v>248.42617382406644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9.6660776356527673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9.6660776356527673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</v>
      </c>
      <c r="DO82" s="12">
        <f>IF('Données projet'!$A$166&gt;35,DO81+DN82-DW81,IF(A82&lt;'Données projet'!$A$166,$DL$205^A82,IF(A82='Données projet'!$A$166,'Données projet'!$B$166,DO81+DN82-DW81)))</f>
        <v>254.99999999999989</v>
      </c>
      <c r="DP82" s="17">
        <f>DO82*VLOOKUP('Données projet'!$B$14,Paramètres!$A$1:$I$89,3,0)*VLOOKUP('Données projet'!$B$14,Paramètres!$A$1:$I$89,5,0)</f>
        <v>290.39399999999989</v>
      </c>
      <c r="DQ82" s="13">
        <f t="shared" si="97"/>
        <v>69.158878594433091</v>
      </c>
      <c r="DR82" s="20">
        <f t="shared" si="70"/>
        <v>626.22126355197076</v>
      </c>
      <c r="DS82" s="59">
        <f t="shared" si="71"/>
        <v>919.55459688530414</v>
      </c>
      <c r="DT82" s="59">
        <f ca="1">AVERAGE(OFFSET($DS$3,0,0,'Données projet'!$E$14+1,1))-AVERAGE(OFFSET($H$3,0,0,'Données projet'!$E$14+1,1))</f>
        <v>459.67331926893809</v>
      </c>
      <c r="DU82" s="59">
        <f t="shared" si="98"/>
        <v>280.33242658375497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22.824787152482685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22.824787152482685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264.08053957457469</v>
      </c>
      <c r="EP82" s="59">
        <f t="shared" si="100"/>
        <v>284.83300065761051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111.23236905246279</v>
      </c>
      <c r="EW82" s="21">
        <f>EXP(-LN(2)/25)*EW81+(1-EXP(-LN(2)/25))/(LN(2)/25)*Calculateur!ER82*Calculateur!ET82*VLOOKUP('Données projet'!$B$15,Paramètres!$A$1:$I$89,3,0)*0.475*44/12</f>
        <v>12.472515367246913</v>
      </c>
      <c r="EX82" s="21">
        <f>EXP(-LN(2)/2)*EX81+(1-EXP(-LN(2)/2))/(LN(2)/2)*ER82*EU82*VLOOKUP('Données projet'!$B$15,Paramètres!$A$1:$I$89,3,0)*0.475*44/12</f>
        <v>8.3346477037737524E-2</v>
      </c>
      <c r="EY82" s="22">
        <f t="shared" si="75"/>
        <v>123.78823089674744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>
        <f>FE82*VLOOKUP('Données projet'!$B$16,Paramètres!$A$1:$I$89,3,0)*VLOOKUP('Données projet'!$B$16,Paramètres!$A$1:$I$89,5,0)</f>
        <v>0</v>
      </c>
      <c r="FG82" s="13" t="e">
        <f t="shared" si="101"/>
        <v>#NUM!</v>
      </c>
      <c r="FH82" s="20" t="e">
        <f t="shared" si="76"/>
        <v>#NUM!</v>
      </c>
      <c r="FI82" s="59" t="e">
        <f t="shared" si="77"/>
        <v>#NUM!</v>
      </c>
      <c r="FJ82" s="59">
        <f ca="1">AVERAGE(OFFSET($FI$3,0,0,'Données projet'!$E$16+1,1))-AVERAGE(OFFSET($H$3,0,0,'Données projet'!$E$16+1,1))</f>
        <v>166.27444639635013</v>
      </c>
      <c r="FK82" s="59">
        <f t="shared" si="102"/>
        <v>213.60182977243113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66.672646303681447</v>
      </c>
      <c r="FR82" s="21">
        <f>EXP(-LN(2)/25)*FR81+(1-EXP(-LN(2)/25))/(LN(2)/25)*Calculateur!FM82*Calculateur!FO82*VLOOKUP('Données projet'!$B$16,Paramètres!$A$1:$I$89,3,0)*0.475*44/12</f>
        <v>27.658521054005</v>
      </c>
      <c r="FS82" s="21">
        <f>EXP(-LN(2)/2)*FS81+(1-EXP(-LN(2)/2))/(LN(2)/2)*FM82*FP82*VLOOKUP('Données projet'!$B$16,Paramètres!$A$1:$I$89,3,0)*0.475*44/12</f>
        <v>0.26170992496084444</v>
      </c>
      <c r="FT82" s="22">
        <f t="shared" si="78"/>
        <v>94.592877282647279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319.99999999999989</v>
      </c>
      <c r="O83" s="13">
        <f>N83*VLOOKUP('Données projet'!$B$9,Paramètres!$A$1:$I$89,3,0)*VLOOKUP('Données projet'!$B$9,Paramètres!$A$1:$I$89,5,0)</f>
        <v>289.53599999999989</v>
      </c>
      <c r="P83" s="13">
        <f t="shared" si="87"/>
        <v>68.97829509904436</v>
      </c>
      <c r="Q83" s="20">
        <f t="shared" si="54"/>
        <v>624.41239729750203</v>
      </c>
      <c r="R83" s="59">
        <f t="shared" si="55"/>
        <v>917.7457306308354</v>
      </c>
      <c r="S83" s="59">
        <f ca="1">AVERAGE(OFFSET($R$3,0,0,'Données projet'!$E$9+1,1))-AVERAGE(OFFSET($H$3,0,0,'Données projet'!$E$9+1,1))</f>
        <v>458.37755197712164</v>
      </c>
      <c r="T83" s="59">
        <f t="shared" si="88"/>
        <v>278.21741231699917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0.25800000000000001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30.931192980299443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30.931192980299443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319.99999999999989</v>
      </c>
      <c r="AJ83" s="13">
        <f>AI83*VLOOKUP('Données projet'!$B$10,Paramètres!$A$1:$I$89,3,0)*VLOOKUP('Données projet'!$B$10,Paramètres!$A$1:$I$89,5,0)</f>
        <v>324.4799999999999</v>
      </c>
      <c r="AK83" s="13">
        <f t="shared" si="89"/>
        <v>76.284749200165507</v>
      </c>
      <c r="AL83" s="20">
        <f t="shared" si="58"/>
        <v>697.99860485695478</v>
      </c>
      <c r="AM83" s="59">
        <f t="shared" si="59"/>
        <v>991.33193819028816</v>
      </c>
      <c r="AN83" s="59">
        <f ca="1">AVERAGE(OFFSET($AM$3,0,0,'Données projet'!$E$10+1,1))-AVERAGE(OFFSET($H$3,0,0,'Données projet'!$E$10+1,1))</f>
        <v>508.60701013958447</v>
      </c>
      <c r="AO83" s="59">
        <f t="shared" si="90"/>
        <v>306.61893266146654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34.664267995163186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34.664267995163186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261</v>
      </c>
      <c r="BB83" s="12">
        <f>VLOOKUP(A83,'Données projet'!$A$87:$I$107,9,0)</f>
        <v>6</v>
      </c>
      <c r="BC83" s="12">
        <f t="array" ref="BC83">INDEX(BB:BB,MIN(IF(ISNUMBER(BB83:BB279),ROW(BB83:BB279),"")))</f>
        <v>6</v>
      </c>
      <c r="BD83" s="12">
        <f>IF('Données projet'!$A$88&gt;35,BD82+BC83-BL82,IF(A83&lt;'Données projet'!$A$88,$BA$205^A83,IF(A83='Données projet'!$A$88,'Données projet'!$B$88,BD82+BC83-BL82)))</f>
        <v>260.99999999999989</v>
      </c>
      <c r="BE83" s="13">
        <f>BD83*VLOOKUP('Données projet'!$B$11,Paramètres!$A$1:$I$89,3,0)*VLOOKUP('Données projet'!$B$11,Paramètres!$A$1:$I$89,5,0)</f>
        <v>248.3675999999999</v>
      </c>
      <c r="BF83" s="13">
        <f t="shared" si="91"/>
        <v>60.236253798706286</v>
      </c>
      <c r="BG83" s="20">
        <f t="shared" si="61"/>
        <v>537.48504536607982</v>
      </c>
      <c r="BH83" s="59">
        <f t="shared" si="62"/>
        <v>830.81837869941319</v>
      </c>
      <c r="BI83" s="59">
        <f ca="1">AVERAGE(OFFSET($BH$3,0,0,'Données projet'!$E$11+1,1))-AVERAGE(OFFSET($H$3,0,0,'Données projet'!$E$11+1,1))</f>
        <v>291.17074241052887</v>
      </c>
      <c r="BJ83" s="59">
        <f t="shared" si="92"/>
        <v>241.18285512887638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261</v>
      </c>
      <c r="BM83" s="16">
        <f>IF(ISNA(VLOOKUP(A83,'Données projet'!$A$87:$I$107,5,0)),0%,VLOOKUP(A83,'Données projet'!$A$87:$I$107,5,0)*VLOOKUP('Données projet'!$B$11,Paramètres!$A$1:$I$89,7,0))</f>
        <v>0.25800000000000001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89.536022471375261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89.536022471375261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320</v>
      </c>
      <c r="BW83" s="12">
        <f>VLOOKUP(A83,'Données projet'!$A$113:$I$133,9,0)</f>
        <v>7.2</v>
      </c>
      <c r="BX83" s="12">
        <f t="array" ref="BX83">INDEX(BW:BW,MIN(IF(ISNUMBER(BW83:BW279),ROW(BW83:BW279),"")))</f>
        <v>7.2</v>
      </c>
      <c r="BY83" s="12">
        <f>IF('Données projet'!$A$114&gt;35,BY82+BX83-CG82,IF(A83&lt;'Données projet'!$A$114,$BV$205^A83,IF(A83='Données projet'!$A$114,'Données projet'!$B$114,BY82+BX83-CG82)))</f>
        <v>319.99999999999989</v>
      </c>
      <c r="BZ83" s="13">
        <f>BY83*VLOOKUP('Données projet'!$B$12,Paramètres!$A$1:$I$89,3,0)*VLOOKUP('Données projet'!$B$12,Paramètres!$A$1:$I$89,5,0)</f>
        <v>269.56799999999993</v>
      </c>
      <c r="CA83" s="13">
        <f t="shared" si="93"/>
        <v>64.757579442439862</v>
      </c>
      <c r="CB83" s="20">
        <f t="shared" si="64"/>
        <v>582.28371752891599</v>
      </c>
      <c r="CC83" s="59">
        <f t="shared" si="65"/>
        <v>875.61705086224924</v>
      </c>
      <c r="CD83" s="59">
        <f ca="1">AVERAGE(OFFSET($CC$3,0,0,'Données projet'!$E$12+1,1))-AVERAGE(OFFSET($H$3,0,0,'Données projet'!$E$12+1,1))</f>
        <v>429.61977776013185</v>
      </c>
      <c r="CE83" s="59">
        <f t="shared" si="94"/>
        <v>261.95434270986385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28</v>
      </c>
      <c r="CH83" s="16">
        <f>IF(ISNA(VLOOKUP(A83,'Données projet'!$A$113:$I$133,5,0)),0%,VLOOKUP(A83,'Données projet'!$A$113:$I$133,5,0)*VLOOKUP('Données projet'!$B$12,Paramètres!$A$1:$I$89,7,0))</f>
        <v>0.25800000000000001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28.798007257520183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28.798007257520183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275</v>
      </c>
      <c r="CR83" s="12">
        <f>VLOOKUP(A83,'Données projet'!$A$139:$I$159,9,0)</f>
        <v>2.8</v>
      </c>
      <c r="CS83" s="12">
        <f t="array" ref="CS83">INDEX(CR:CR,MIN(IF(ISNUMBER(CR83:CR279),ROW(CR83:CR279),"")))</f>
        <v>2.8</v>
      </c>
      <c r="CT83" s="12">
        <f>IF('Données projet'!$A$140&gt;35,CT82+CS83-DB82,IF(A83&lt;'Données projet'!$A$140,$CQ$205^A83,IF(A83='Données projet'!$A$140,'Données projet'!$B$140,CT82+CS83-DB82)))</f>
        <v>274.99999999999983</v>
      </c>
      <c r="CU83" s="17">
        <f>CT83*VLOOKUP('Données projet'!$B$13,Paramètres!$A$1:$I$89,3,0)*VLOOKUP('Données projet'!$B$13,Paramètres!$A$1:$I$89,5,0)</f>
        <v>180.17999999999989</v>
      </c>
      <c r="CV83" s="13">
        <f t="shared" si="95"/>
        <v>45.362230520410648</v>
      </c>
      <c r="CW83" s="20">
        <f t="shared" si="67"/>
        <v>392.81938482304832</v>
      </c>
      <c r="CX83" s="59">
        <f t="shared" si="68"/>
        <v>686.15271815638164</v>
      </c>
      <c r="CY83" s="59">
        <f ca="1">AVERAGE(OFFSET($CX$3,0,0,'Données projet'!$E$13+1,1))-AVERAGE(OFFSET($H$3,0,0,'Données projet'!$E$13+1,1))</f>
        <v>255.09913504736693</v>
      </c>
      <c r="CZ83" s="59">
        <f t="shared" si="96"/>
        <v>248.42617382406644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275</v>
      </c>
      <c r="DC83" s="16">
        <f>IF(ISNA(VLOOKUP(A83,'Données projet'!$A$139:$I$159,5,0)),0%,VLOOKUP(A83,'Données projet'!$A$139:$I$159,5,0)*VLOOKUP('Données projet'!$B$13,Paramètres!$A$1:$I$89,7,0))</f>
        <v>0.25800000000000001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60.865914218878537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60.865914218878537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261</v>
      </c>
      <c r="DM83" s="12">
        <f>VLOOKUP(A83,'Données projet'!$A$165:$I$185,9,0)</f>
        <v>6</v>
      </c>
      <c r="DN83" s="12">
        <f t="array" ref="DN83">INDEX(DM:DM,MIN(IF(ISNUMBER(DM83:DM279),ROW(DM83:DM279),"")))</f>
        <v>6</v>
      </c>
      <c r="DO83" s="12">
        <f>IF('Données projet'!$A$166&gt;35,DO82+DN83-DW82,IF(A83&lt;'Données projet'!$A$166,$DL$205^A83,IF(A83='Données projet'!$A$166,'Données projet'!$B$166,DO82+DN83-DW82)))</f>
        <v>260.99999999999989</v>
      </c>
      <c r="DP83" s="17">
        <f>DO83*VLOOKUP('Données projet'!$B$14,Paramètres!$A$1:$I$89,3,0)*VLOOKUP('Données projet'!$B$14,Paramètres!$A$1:$I$89,5,0)</f>
        <v>297.22679999999986</v>
      </c>
      <c r="DQ83" s="13">
        <f t="shared" si="97"/>
        <v>70.59478037753864</v>
      </c>
      <c r="DR83" s="20">
        <f t="shared" si="70"/>
        <v>640.62258582421282</v>
      </c>
      <c r="DS83" s="59">
        <f t="shared" si="71"/>
        <v>933.95591915754608</v>
      </c>
      <c r="DT83" s="59">
        <f ca="1">AVERAGE(OFFSET($DS$3,0,0,'Données projet'!$E$14+1,1))-AVERAGE(OFFSET($H$3,0,0,'Données projet'!$E$14+1,1))</f>
        <v>459.67331926893809</v>
      </c>
      <c r="DU83" s="59">
        <f t="shared" si="98"/>
        <v>280.33242658375497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21</v>
      </c>
      <c r="DX83" s="16">
        <f>IF(ISNA(VLOOKUP(A83,'Données projet'!$A$165:$I$185,5,0)),0%,VLOOKUP(A83,'Données projet'!$A$165:$I$185,5,0)*VLOOKUP('Données projet'!$B$14,Paramètres!$A$1:$I$89,7,0))</f>
        <v>0.25800000000000001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29.19797958054129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29.19797958054129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264.08053957457469</v>
      </c>
      <c r="EP83" s="59">
        <f t="shared" si="100"/>
        <v>284.83300065761051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109.05117014038997</v>
      </c>
      <c r="EW83" s="21">
        <f>EXP(-LN(2)/25)*EW82+(1-EXP(-LN(2)/25))/(LN(2)/25)*Calculateur!ER83*Calculateur!ET83*VLOOKUP('Données projet'!$B$15,Paramètres!$A$1:$I$89,3,0)*0.475*44/12</f>
        <v>12.131453778628469</v>
      </c>
      <c r="EX83" s="21">
        <f>EXP(-LN(2)/2)*EX82+(1-EXP(-LN(2)/2))/(LN(2)/2)*ER83*EU83*VLOOKUP('Données projet'!$B$15,Paramètres!$A$1:$I$89,3,0)*0.475*44/12</f>
        <v>5.8934859101393081E-2</v>
      </c>
      <c r="EY83" s="22">
        <f t="shared" si="75"/>
        <v>121.24155877811984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>
        <f>FE83*VLOOKUP('Données projet'!$B$16,Paramètres!$A$1:$I$89,3,0)*VLOOKUP('Données projet'!$B$16,Paramètres!$A$1:$I$89,5,0)</f>
        <v>0</v>
      </c>
      <c r="FG83" s="13" t="e">
        <f t="shared" si="101"/>
        <v>#NUM!</v>
      </c>
      <c r="FH83" s="20" t="e">
        <f t="shared" si="76"/>
        <v>#NUM!</v>
      </c>
      <c r="FI83" s="59" t="e">
        <f t="shared" si="77"/>
        <v>#NUM!</v>
      </c>
      <c r="FJ83" s="59">
        <f ca="1">AVERAGE(OFFSET($FI$3,0,0,'Données projet'!$E$16+1,1))-AVERAGE(OFFSET($H$3,0,0,'Données projet'!$E$16+1,1))</f>
        <v>166.27444639635013</v>
      </c>
      <c r="FK83" s="59">
        <f t="shared" si="102"/>
        <v>213.60182977243113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65.36523637596504</v>
      </c>
      <c r="FR83" s="21">
        <f>EXP(-LN(2)/25)*FR82+(1-EXP(-LN(2)/25))/(LN(2)/25)*Calculateur!FM83*Calculateur!FO83*VLOOKUP('Données projet'!$B$16,Paramètres!$A$1:$I$89,3,0)*0.475*44/12</f>
        <v>26.902197341284825</v>
      </c>
      <c r="FS83" s="21">
        <f>EXP(-LN(2)/2)*FS82+(1-EXP(-LN(2)/2))/(LN(2)/2)*FM83*FP83*VLOOKUP('Données projet'!$B$16,Paramètres!$A$1:$I$89,3,0)*0.475*44/12</f>
        <v>0.18505686264363561</v>
      </c>
      <c r="FT83" s="22">
        <f t="shared" si="78"/>
        <v>92.452490579893507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6.6</v>
      </c>
      <c r="N84" s="13">
        <f>IF('Données projet'!$A$36&gt;35,N83+M84-V83,IF(A84&lt;'Données projet'!$A$36,$K$205^A84,IF(A84='Données projet'!$A$36,'Données projet'!$B$36,N83+M84-V83)))</f>
        <v>298.59999999999991</v>
      </c>
      <c r="O84" s="13">
        <f>N84*VLOOKUP('Données projet'!$B$9,Paramètres!$A$1:$I$89,3,0)*VLOOKUP('Données projet'!$B$9,Paramètres!$A$1:$I$89,5,0)</f>
        <v>270.17327999999992</v>
      </c>
      <c r="P84" s="13">
        <f t="shared" si="87"/>
        <v>64.886042303882988</v>
      </c>
      <c r="Q84" s="20">
        <f t="shared" si="54"/>
        <v>583.56165301259614</v>
      </c>
      <c r="R84" s="59">
        <f t="shared" si="55"/>
        <v>876.89498634592951</v>
      </c>
      <c r="S84" s="59">
        <f ca="1">AVERAGE(OFFSET($R$3,0,0,'Données projet'!$E$9+1,1))-AVERAGE(OFFSET($H$3,0,0,'Données projet'!$E$9+1,1))</f>
        <v>458.37755197712164</v>
      </c>
      <c r="T84" s="59">
        <f t="shared" si="88"/>
        <v>278.21741231699917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30.324651152120609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30.324651152120609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298.59999999999991</v>
      </c>
      <c r="AJ84" s="13">
        <f>AI84*VLOOKUP('Données projet'!$B$10,Paramètres!$A$1:$I$89,3,0)*VLOOKUP('Données projet'!$B$10,Paramètres!$A$1:$I$89,5,0)</f>
        <v>302.78039999999993</v>
      </c>
      <c r="AK84" s="13">
        <f t="shared" si="89"/>
        <v>71.75902878776165</v>
      </c>
      <c r="AL84" s="20">
        <f t="shared" si="58"/>
        <v>652.32283847201813</v>
      </c>
      <c r="AM84" s="59">
        <f t="shared" si="59"/>
        <v>945.65617180535151</v>
      </c>
      <c r="AN84" s="59">
        <f ca="1">AVERAGE(OFFSET($AM$3,0,0,'Données projet'!$E$10+1,1))-AVERAGE(OFFSET($H$3,0,0,'Données projet'!$E$10+1,1))</f>
        <v>508.60701013958447</v>
      </c>
      <c r="AO84" s="59">
        <f t="shared" si="90"/>
        <v>306.61893266146654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33.984522842893803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33.984522842893803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-1.1368683772161603E-13</v>
      </c>
      <c r="BE84" s="13">
        <f>BD84*VLOOKUP('Données projet'!$B$11,Paramètres!$A$1:$I$89,3,0)*VLOOKUP('Données projet'!$B$11,Paramètres!$A$1:$I$89,5,0)</f>
        <v>-1.0818439477588981E-13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291.17074241052887</v>
      </c>
      <c r="BJ84" s="59">
        <f t="shared" si="92"/>
        <v>241.18285512887638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87.780275682292853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87.780275682292853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6.6</v>
      </c>
      <c r="BY84" s="12">
        <f>IF('Données projet'!$A$114&gt;35,BY83+BX84-CG83,IF(A84&lt;'Données projet'!$A$114,$BV$205^A84,IF(A84='Données projet'!$A$114,'Données projet'!$B$114,BY83+BX84-CG83)))</f>
        <v>298.59999999999991</v>
      </c>
      <c r="BZ84" s="13">
        <f>BY84*VLOOKUP('Données projet'!$B$12,Paramètres!$A$1:$I$89,3,0)*VLOOKUP('Données projet'!$B$12,Paramètres!$A$1:$I$89,5,0)</f>
        <v>251.54063999999997</v>
      </c>
      <c r="CA84" s="13">
        <f t="shared" si="93"/>
        <v>60.915727667172064</v>
      </c>
      <c r="CB84" s="20">
        <f t="shared" si="64"/>
        <v>544.19484035365792</v>
      </c>
      <c r="CC84" s="59">
        <f t="shared" si="65"/>
        <v>837.52817368699129</v>
      </c>
      <c r="CD84" s="59">
        <f ca="1">AVERAGE(OFFSET($CC$3,0,0,'Données projet'!$E$12+1,1))-AVERAGE(OFFSET($H$3,0,0,'Données projet'!$E$12+1,1))</f>
        <v>429.61977776013185</v>
      </c>
      <c r="CE84" s="59">
        <f t="shared" si="94"/>
        <v>261.95434270986385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28.233295900250234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28.233295900250234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-1.7053025658242404E-13</v>
      </c>
      <c r="CU84" s="17">
        <f>CT84*VLOOKUP('Données projet'!$B$13,Paramètres!$A$1:$I$89,3,0)*VLOOKUP('Données projet'!$B$13,Paramètres!$A$1:$I$89,5,0)</f>
        <v>-1.1173142411280423E-13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255.09913504736693</v>
      </c>
      <c r="CZ84" s="59">
        <f t="shared" si="96"/>
        <v>248.42617382406644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59.672370765588255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59.672370765588255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5.8</v>
      </c>
      <c r="DO84" s="12">
        <f>IF('Données projet'!$A$166&gt;35,DO83+DN84-DW83,IF(A84&lt;'Données projet'!$A$166,$DL$205^A84,IF(A84='Données projet'!$A$166,'Données projet'!$B$166,DO83+DN84-DW83)))</f>
        <v>245.7999999999999</v>
      </c>
      <c r="DP84" s="17">
        <f>DO84*VLOOKUP('Données projet'!$B$14,Paramètres!$A$1:$I$89,3,0)*VLOOKUP('Données projet'!$B$14,Paramètres!$A$1:$I$89,5,0)</f>
        <v>279.91703999999987</v>
      </c>
      <c r="DQ84" s="13">
        <f t="shared" si="97"/>
        <v>66.949476745940956</v>
      </c>
      <c r="DR84" s="20">
        <f t="shared" si="70"/>
        <v>604.12584999918022</v>
      </c>
      <c r="DS84" s="59">
        <f t="shared" si="71"/>
        <v>897.45918333251348</v>
      </c>
      <c r="DT84" s="59">
        <f ca="1">AVERAGE(OFFSET($DS$3,0,0,'Données projet'!$E$14+1,1))-AVERAGE(OFFSET($H$3,0,0,'Données projet'!$E$14+1,1))</f>
        <v>459.67331926893809</v>
      </c>
      <c r="DU84" s="59">
        <f t="shared" si="98"/>
        <v>280.33242658375497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28.625425009975924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28.625425009975924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264.08053957457469</v>
      </c>
      <c r="EP84" s="59">
        <f t="shared" si="100"/>
        <v>284.83300065761051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106.91274320858294</v>
      </c>
      <c r="EW84" s="21">
        <f>EXP(-LN(2)/25)*EW83+(1-EXP(-LN(2)/25))/(LN(2)/25)*Calculateur!ER84*Calculateur!ET84*VLOOKUP('Données projet'!$B$15,Paramètres!$A$1:$I$89,3,0)*0.475*44/12</f>
        <v>11.799718537086447</v>
      </c>
      <c r="EX84" s="21">
        <f>EXP(-LN(2)/2)*EX83+(1-EXP(-LN(2)/2))/(LN(2)/2)*ER84*EU84*VLOOKUP('Données projet'!$B$15,Paramètres!$A$1:$I$89,3,0)*0.475*44/12</f>
        <v>4.1673238518868769E-2</v>
      </c>
      <c r="EY84" s="22">
        <f t="shared" si="75"/>
        <v>118.75413498418825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166.27444639635013</v>
      </c>
      <c r="FK84" s="59">
        <f t="shared" si="102"/>
        <v>213.60182977243113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64.083463959489833</v>
      </c>
      <c r="FR84" s="21">
        <f>EXP(-LN(2)/25)*FR83+(1-EXP(-LN(2)/25))/(LN(2)/25)*Calculateur!FM84*Calculateur!FO84*VLOOKUP('Données projet'!$B$16,Paramètres!$A$1:$I$89,3,0)*0.475*44/12</f>
        <v>26.16655534026232</v>
      </c>
      <c r="FS84" s="21">
        <f>EXP(-LN(2)/2)*FS83+(1-EXP(-LN(2)/2))/(LN(2)/2)*FM84*FP84*VLOOKUP('Données projet'!$B$16,Paramètres!$A$1:$I$89,3,0)*0.475*44/12</f>
        <v>0.13085496248042222</v>
      </c>
      <c r="FT84" s="22">
        <f t="shared" si="78"/>
        <v>90.380874262232581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6.6</v>
      </c>
      <c r="N85" s="13">
        <f>IF('Données projet'!$A$36&gt;35,N84+M85-V84,IF(A85&lt;'Données projet'!$A$36,$K$205^A85,IF(A85='Données projet'!$A$36,'Données projet'!$B$36,N84+M85-V84)))</f>
        <v>305.19999999999993</v>
      </c>
      <c r="O85" s="13">
        <f>N85*VLOOKUP('Données projet'!$B$9,Paramètres!$A$1:$I$89,3,0)*VLOOKUP('Données projet'!$B$9,Paramètres!$A$1:$I$89,5,0)</f>
        <v>276.14495999999991</v>
      </c>
      <c r="P85" s="13">
        <f t="shared" si="87"/>
        <v>66.151671938851194</v>
      </c>
      <c r="Q85" s="20">
        <f t="shared" si="54"/>
        <v>596.16663396016554</v>
      </c>
      <c r="R85" s="59">
        <f t="shared" si="55"/>
        <v>889.49996729349891</v>
      </c>
      <c r="S85" s="59">
        <f ca="1">AVERAGE(OFFSET($R$3,0,0,'Données projet'!$E$9+1,1))-AVERAGE(OFFSET($H$3,0,0,'Données projet'!$E$9+1,1))</f>
        <v>458.37755197712164</v>
      </c>
      <c r="T85" s="59">
        <f t="shared" si="88"/>
        <v>278.21741231699917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29.730003239238378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29.730003239238378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305.19999999999993</v>
      </c>
      <c r="AJ85" s="13">
        <f>AI85*VLOOKUP('Données projet'!$B$10,Paramètres!$A$1:$I$89,3,0)*VLOOKUP('Données projet'!$B$10,Paramètres!$A$1:$I$89,5,0)</f>
        <v>309.47279999999995</v>
      </c>
      <c r="AK85" s="13">
        <f t="shared" si="89"/>
        <v>73.15871892427802</v>
      </c>
      <c r="AL85" s="20">
        <f t="shared" si="58"/>
        <v>666.41656212645091</v>
      </c>
      <c r="AM85" s="59">
        <f t="shared" si="59"/>
        <v>959.74989545978428</v>
      </c>
      <c r="AN85" s="59">
        <f ca="1">AVERAGE(OFFSET($AM$3,0,0,'Données projet'!$E$10+1,1))-AVERAGE(OFFSET($H$3,0,0,'Données projet'!$E$10+1,1))</f>
        <v>508.60701013958447</v>
      </c>
      <c r="AO85" s="59">
        <f t="shared" si="90"/>
        <v>306.61893266146654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33.318107078456819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33.318107078456819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-1.1368683772161603E-13</v>
      </c>
      <c r="BE85" s="13">
        <f>BD85*VLOOKUP('Données projet'!$B$11,Paramètres!$A$1:$I$89,3,0)*VLOOKUP('Données projet'!$B$11,Paramètres!$A$1:$I$89,5,0)</f>
        <v>-1.0818439477588981E-13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291.17074241052887</v>
      </c>
      <c r="BJ85" s="59">
        <f t="shared" si="92"/>
        <v>241.18285512887638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86.058958016844556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86.058958016844556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6.6</v>
      </c>
      <c r="BY85" s="12">
        <f>IF('Données projet'!$A$114&gt;35,BY84+BX85-CG84,IF(A85&lt;'Données projet'!$A$114,$BV$205^A85,IF(A85='Données projet'!$A$114,'Données projet'!$B$114,BY84+BX85-CG84)))</f>
        <v>305.19999999999993</v>
      </c>
      <c r="BZ85" s="13">
        <f>BY85*VLOOKUP('Données projet'!$B$12,Paramètres!$A$1:$I$89,3,0)*VLOOKUP('Données projet'!$B$12,Paramètres!$A$1:$I$89,5,0)</f>
        <v>257.10047999999995</v>
      </c>
      <c r="CA85" s="13">
        <f t="shared" si="93"/>
        <v>62.103914639805659</v>
      </c>
      <c r="CB85" s="20">
        <f t="shared" si="64"/>
        <v>555.9476539976614</v>
      </c>
      <c r="CC85" s="59">
        <f t="shared" si="65"/>
        <v>849.28098733099478</v>
      </c>
      <c r="CD85" s="59">
        <f ca="1">AVERAGE(OFFSET($CC$3,0,0,'Données projet'!$E$12+1,1))-AVERAGE(OFFSET($H$3,0,0,'Données projet'!$E$12+1,1))</f>
        <v>429.61977776013185</v>
      </c>
      <c r="CE85" s="59">
        <f t="shared" si="94"/>
        <v>261.95434270986385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27.679658188256433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27.679658188256433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-1.7053025658242404E-13</v>
      </c>
      <c r="CU85" s="17">
        <f>CT85*VLOOKUP('Données projet'!$B$13,Paramètres!$A$1:$I$89,3,0)*VLOOKUP('Données projet'!$B$13,Paramètres!$A$1:$I$89,5,0)</f>
        <v>-1.1173142411280423E-13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255.09913504736693</v>
      </c>
      <c r="CZ85" s="59">
        <f t="shared" si="96"/>
        <v>248.42617382406644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58.502231971427378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58.502231971427378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5.8</v>
      </c>
      <c r="DO85" s="12">
        <f>IF('Données projet'!$A$166&gt;35,DO84+DN85-DW84,IF(A85&lt;'Données projet'!$A$166,$DL$205^A85,IF(A85='Données projet'!$A$166,'Données projet'!$B$166,DO84+DN85-DW84)))</f>
        <v>251.59999999999991</v>
      </c>
      <c r="DP85" s="17">
        <f>DO85*VLOOKUP('Données projet'!$B$14,Paramètres!$A$1:$I$89,3,0)*VLOOKUP('Données projet'!$B$14,Paramètres!$A$1:$I$89,5,0)</f>
        <v>286.5220799999999</v>
      </c>
      <c r="DQ85" s="13">
        <f t="shared" si="97"/>
        <v>68.343459361010702</v>
      </c>
      <c r="DR85" s="20">
        <f t="shared" si="70"/>
        <v>618.05748105376017</v>
      </c>
      <c r="DS85" s="59">
        <f t="shared" si="71"/>
        <v>911.39081438709354</v>
      </c>
      <c r="DT85" s="59">
        <f ca="1">AVERAGE(OFFSET($DS$3,0,0,'Données projet'!$E$14+1,1))-AVERAGE(OFFSET($H$3,0,0,'Données projet'!$E$14+1,1))</f>
        <v>459.67331926893809</v>
      </c>
      <c r="DU85" s="59">
        <f t="shared" si="98"/>
        <v>280.33242658375497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28.06409788531554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28.06409788531554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264.08053957457469</v>
      </c>
      <c r="EP85" s="59">
        <f t="shared" si="100"/>
        <v>284.83300065761051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104.816249524597</v>
      </c>
      <c r="EW85" s="21">
        <f>EXP(-LN(2)/25)*EW84+(1-EXP(-LN(2)/25))/(LN(2)/25)*Calculateur!ER85*Calculateur!ET85*VLOOKUP('Données projet'!$B$15,Paramètres!$A$1:$I$89,3,0)*0.475*44/12</f>
        <v>11.477054613169589</v>
      </c>
      <c r="EX85" s="21">
        <f>EXP(-LN(2)/2)*EX84+(1-EXP(-LN(2)/2))/(LN(2)/2)*ER85*EU85*VLOOKUP('Données projet'!$B$15,Paramètres!$A$1:$I$89,3,0)*0.475*44/12</f>
        <v>2.9467429550696544E-2</v>
      </c>
      <c r="EY85" s="22">
        <f t="shared" si="75"/>
        <v>116.32277156731728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166.27444639635013</v>
      </c>
      <c r="FK85" s="59">
        <f t="shared" si="102"/>
        <v>213.60182977243113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62.826826318297726</v>
      </c>
      <c r="FR85" s="21">
        <f>EXP(-LN(2)/25)*FR84+(1-EXP(-LN(2)/25))/(LN(2)/25)*Calculateur!FM85*Calculateur!FO85*VLOOKUP('Données projet'!$B$16,Paramètres!$A$1:$I$89,3,0)*0.475*44/12</f>
        <v>25.451029508443508</v>
      </c>
      <c r="FS85" s="21">
        <f>EXP(-LN(2)/2)*FS84+(1-EXP(-LN(2)/2))/(LN(2)/2)*FM85*FP85*VLOOKUP('Données projet'!$B$16,Paramètres!$A$1:$I$89,3,0)*0.475*44/12</f>
        <v>9.2528431321817803E-2</v>
      </c>
      <c r="FT85" s="22">
        <f t="shared" si="78"/>
        <v>88.370384258063055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6.6</v>
      </c>
      <c r="N86" s="13">
        <f>IF('Données projet'!$A$36&gt;35,N85+M86-V85,IF(A86&lt;'Données projet'!$A$36,$K$205^A86,IF(A86='Données projet'!$A$36,'Données projet'!$B$36,N85+M86-V85)))</f>
        <v>311.79999999999995</v>
      </c>
      <c r="O86" s="13">
        <f>N86*VLOOKUP('Données projet'!$B$9,Paramètres!$A$1:$I$89,3,0)*VLOOKUP('Données projet'!$B$9,Paramètres!$A$1:$I$89,5,0)</f>
        <v>282.11663999999996</v>
      </c>
      <c r="P86" s="13">
        <f t="shared" si="87"/>
        <v>67.414119514142243</v>
      </c>
      <c r="Q86" s="20">
        <f t="shared" si="54"/>
        <v>608.76607282046439</v>
      </c>
      <c r="R86" s="59">
        <f t="shared" si="55"/>
        <v>902.09940615379764</v>
      </c>
      <c r="S86" s="59">
        <f ca="1">AVERAGE(OFFSET($R$3,0,0,'Données projet'!$E$9+1,1))-AVERAGE(OFFSET($H$3,0,0,'Données projet'!$E$9+1,1))</f>
        <v>458.37755197712164</v>
      </c>
      <c r="T86" s="59">
        <f t="shared" si="88"/>
        <v>278.21741231699917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29.147016009228356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29.147016009228356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311.79999999999995</v>
      </c>
      <c r="AJ86" s="13">
        <f>AI86*VLOOKUP('Données projet'!$B$10,Paramètres!$A$1:$I$89,3,0)*VLOOKUP('Données projet'!$B$10,Paramètres!$A$1:$I$89,5,0)</f>
        <v>316.16519999999997</v>
      </c>
      <c r="AK86" s="13">
        <f t="shared" si="89"/>
        <v>74.554889944758472</v>
      </c>
      <c r="AL86" s="20">
        <f t="shared" si="58"/>
        <v>680.50415665378762</v>
      </c>
      <c r="AM86" s="59">
        <f t="shared" si="59"/>
        <v>973.83748998712099</v>
      </c>
      <c r="AN86" s="59">
        <f ca="1">AVERAGE(OFFSET($AM$3,0,0,'Données projet'!$E$10+1,1))-AVERAGE(OFFSET($H$3,0,0,'Données projet'!$E$10+1,1))</f>
        <v>508.60701013958447</v>
      </c>
      <c r="AO86" s="59">
        <f t="shared" si="90"/>
        <v>306.61893266146654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32.664759320686962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32.664759320686962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-1.1368683772161603E-13</v>
      </c>
      <c r="BE86" s="13">
        <f>BD86*VLOOKUP('Données projet'!$B$11,Paramètres!$A$1:$I$89,3,0)*VLOOKUP('Données projet'!$B$11,Paramètres!$A$1:$I$89,5,0)</f>
        <v>-1.0818439477588981E-13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291.17074241052887</v>
      </c>
      <c r="BJ86" s="59">
        <f t="shared" si="92"/>
        <v>241.18285512887638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84.371394340915586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84.371394340915586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6.6</v>
      </c>
      <c r="BY86" s="12">
        <f>IF('Données projet'!$A$114&gt;35,BY85+BX86-CG85,IF(A86&lt;'Données projet'!$A$114,$BV$205^A86,IF(A86='Données projet'!$A$114,'Données projet'!$B$114,BY85+BX86-CG85)))</f>
        <v>311.79999999999995</v>
      </c>
      <c r="BZ86" s="13">
        <f>BY86*VLOOKUP('Données projet'!$B$12,Paramètres!$A$1:$I$89,3,0)*VLOOKUP('Données projet'!$B$12,Paramètres!$A$1:$I$89,5,0)</f>
        <v>262.66032000000001</v>
      </c>
      <c r="CA86" s="13">
        <f t="shared" si="93"/>
        <v>63.289114259938891</v>
      </c>
      <c r="CB86" s="20">
        <f t="shared" si="64"/>
        <v>567.69526466939362</v>
      </c>
      <c r="CC86" s="59">
        <f t="shared" si="65"/>
        <v>861.02859800272699</v>
      </c>
      <c r="CD86" s="59">
        <f ca="1">AVERAGE(OFFSET($CC$3,0,0,'Données projet'!$E$12+1,1))-AVERAGE(OFFSET($H$3,0,0,'Données projet'!$E$12+1,1))</f>
        <v>429.61977776013185</v>
      </c>
      <c r="CE86" s="59">
        <f t="shared" si="94"/>
        <v>261.95434270986385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27.136876974109168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27.136876974109168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-1.7053025658242404E-13</v>
      </c>
      <c r="CU86" s="17">
        <f>CT86*VLOOKUP('Données projet'!$B$13,Paramètres!$A$1:$I$89,3,0)*VLOOKUP('Données projet'!$B$13,Paramètres!$A$1:$I$89,5,0)</f>
        <v>-1.1173142411280423E-13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255.09913504736693</v>
      </c>
      <c r="CZ86" s="59">
        <f t="shared" si="96"/>
        <v>248.42617382406644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57.355038885305802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57.355038885305802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5.8</v>
      </c>
      <c r="DO86" s="12">
        <f>IF('Données projet'!$A$166&gt;35,DO85+DN86-DW85,IF(A86&lt;'Données projet'!$A$166,$DL$205^A86,IF(A86='Données projet'!$A$166,'Données projet'!$B$166,DO85+DN86-DW85)))</f>
        <v>257.39999999999992</v>
      </c>
      <c r="DP86" s="17">
        <f>DO86*VLOOKUP('Données projet'!$B$14,Paramètres!$A$1:$I$89,3,0)*VLOOKUP('Données projet'!$B$14,Paramètres!$A$1:$I$89,5,0)</f>
        <v>293.12711999999988</v>
      </c>
      <c r="DQ86" s="13">
        <f t="shared" si="97"/>
        <v>69.733706157234295</v>
      </c>
      <c r="DR86" s="20">
        <f t="shared" si="70"/>
        <v>631.98260555718286</v>
      </c>
      <c r="DS86" s="59">
        <f t="shared" si="71"/>
        <v>925.31593889051624</v>
      </c>
      <c r="DT86" s="59">
        <f ca="1">AVERAGE(OFFSET($DS$3,0,0,'Données projet'!$E$14+1,1))-AVERAGE(OFFSET($H$3,0,0,'Données projet'!$E$14+1,1))</f>
        <v>459.67331926893809</v>
      </c>
      <c r="DU86" s="59">
        <f t="shared" si="98"/>
        <v>280.33242658375497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27.513778043194009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27.513778043194009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264.08053957457469</v>
      </c>
      <c r="EP86" s="59">
        <f t="shared" si="100"/>
        <v>284.83300065761051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102.76086680301914</v>
      </c>
      <c r="EW86" s="21">
        <f>EXP(-LN(2)/25)*EW85+(1-EXP(-LN(2)/25))/(LN(2)/25)*Calculateur!ER86*Calculateur!ET86*VLOOKUP('Données projet'!$B$15,Paramètres!$A$1:$I$89,3,0)*0.475*44/12</f>
        <v>11.163213951220396</v>
      </c>
      <c r="EX86" s="21">
        <f>EXP(-LN(2)/2)*EX85+(1-EXP(-LN(2)/2))/(LN(2)/2)*ER86*EU86*VLOOKUP('Données projet'!$B$15,Paramètres!$A$1:$I$89,3,0)*0.475*44/12</f>
        <v>2.0836619259434388E-2</v>
      </c>
      <c r="EY86" s="22">
        <f t="shared" si="75"/>
        <v>113.94491737349898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166.27444639635013</v>
      </c>
      <c r="FK86" s="59">
        <f t="shared" si="102"/>
        <v>213.60182977243113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61.594830574776118</v>
      </c>
      <c r="FR86" s="21">
        <f>EXP(-LN(2)/25)*FR85+(1-EXP(-LN(2)/25))/(LN(2)/25)*Calculateur!FM86*Calculateur!FO86*VLOOKUP('Données projet'!$B$16,Paramètres!$A$1:$I$89,3,0)*0.475*44/12</f>
        <v>24.755069768123647</v>
      </c>
      <c r="FS86" s="21">
        <f>EXP(-LN(2)/2)*FS85+(1-EXP(-LN(2)/2))/(LN(2)/2)*FM86*FP86*VLOOKUP('Données projet'!$B$16,Paramètres!$A$1:$I$89,3,0)*0.475*44/12</f>
        <v>6.5427481240211111E-2</v>
      </c>
      <c r="FT86" s="22">
        <f t="shared" si="78"/>
        <v>86.415327824139965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6.6</v>
      </c>
      <c r="N87" s="13">
        <f>IF('Données projet'!$A$36&gt;35,N86+M87-V86,IF(A87&lt;'Données projet'!$A$36,$K$205^A87,IF(A87='Données projet'!$A$36,'Données projet'!$B$36,N86+M87-V86)))</f>
        <v>318.39999999999998</v>
      </c>
      <c r="O87" s="13">
        <f>N87*VLOOKUP('Données projet'!$B$9,Paramètres!$A$1:$I$89,3,0)*VLOOKUP('Données projet'!$B$9,Paramètres!$A$1:$I$89,5,0)</f>
        <v>288.08831999999995</v>
      </c>
      <c r="P87" s="13">
        <f t="shared" si="87"/>
        <v>68.673460144735557</v>
      </c>
      <c r="Q87" s="20">
        <f t="shared" si="54"/>
        <v>621.36010041874761</v>
      </c>
      <c r="R87" s="59">
        <f t="shared" si="55"/>
        <v>914.69343375208086</v>
      </c>
      <c r="S87" s="59">
        <f ca="1">AVERAGE(OFFSET($R$3,0,0,'Données projet'!$E$9+1,1))-AVERAGE(OFFSET($H$3,0,0,'Données projet'!$E$9+1,1))</f>
        <v>458.37755197712164</v>
      </c>
      <c r="T87" s="59">
        <f t="shared" si="88"/>
        <v>278.21741231699917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28.57546080321173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28.57546080321173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318.39999999999998</v>
      </c>
      <c r="AJ87" s="13">
        <f>AI87*VLOOKUP('Données projet'!$B$10,Paramètres!$A$1:$I$89,3,0)*VLOOKUP('Données projet'!$B$10,Paramètres!$A$1:$I$89,5,0)</f>
        <v>322.85759999999999</v>
      </c>
      <c r="AK87" s="13">
        <f t="shared" si="89"/>
        <v>75.947624920658441</v>
      </c>
      <c r="AL87" s="20">
        <f t="shared" si="58"/>
        <v>694.5857667368133</v>
      </c>
      <c r="AM87" s="59">
        <f t="shared" si="59"/>
        <v>987.91910007014667</v>
      </c>
      <c r="AN87" s="59">
        <f ca="1">AVERAGE(OFFSET($AM$3,0,0,'Données projet'!$E$10+1,1))-AVERAGE(OFFSET($H$3,0,0,'Données projet'!$E$10+1,1))</f>
        <v>508.60701013958447</v>
      </c>
      <c r="AO87" s="59">
        <f t="shared" si="90"/>
        <v>306.61893266146654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32.024223313944191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32.024223313944191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-1.1368683772161603E-13</v>
      </c>
      <c r="BE87" s="13">
        <f>BD87*VLOOKUP('Données projet'!$B$11,Paramètres!$A$1:$I$89,3,0)*VLOOKUP('Données projet'!$B$11,Paramètres!$A$1:$I$89,5,0)</f>
        <v>-1.0818439477588981E-13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291.17074241052887</v>
      </c>
      <c r="BJ87" s="59">
        <f t="shared" si="92"/>
        <v>241.18285512887638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82.716922759359377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82.716922759359377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6.6</v>
      </c>
      <c r="BY87" s="12">
        <f>IF('Données projet'!$A$114&gt;35,BY86+BX87-CG86,IF(A87&lt;'Données projet'!$A$114,$BV$205^A87,IF(A87='Données projet'!$A$114,'Données projet'!$B$114,BY86+BX87-CG86)))</f>
        <v>318.39999999999998</v>
      </c>
      <c r="BZ87" s="13">
        <f>BY87*VLOOKUP('Données projet'!$B$12,Paramètres!$A$1:$I$89,3,0)*VLOOKUP('Données projet'!$B$12,Paramètres!$A$1:$I$89,5,0)</f>
        <v>268.22016000000002</v>
      </c>
      <c r="CA87" s="13">
        <f t="shared" si="93"/>
        <v>64.471397046337728</v>
      </c>
      <c r="CB87" s="20">
        <f t="shared" si="64"/>
        <v>579.43779518903818</v>
      </c>
      <c r="CC87" s="59">
        <f t="shared" si="65"/>
        <v>872.77112852237155</v>
      </c>
      <c r="CD87" s="59">
        <f ca="1">AVERAGE(OFFSET($CC$3,0,0,'Données projet'!$E$12+1,1))-AVERAGE(OFFSET($H$3,0,0,'Données projet'!$E$12+1,1))</f>
        <v>429.61977776013185</v>
      </c>
      <c r="CE87" s="59">
        <f t="shared" si="94"/>
        <v>261.95434270986385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26.604739368507481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26.604739368507481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-1.7053025658242404E-13</v>
      </c>
      <c r="CU87" s="17">
        <f>CT87*VLOOKUP('Données projet'!$B$13,Paramètres!$A$1:$I$89,3,0)*VLOOKUP('Données projet'!$B$13,Paramètres!$A$1:$I$89,5,0)</f>
        <v>-1.1173142411280423E-13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255.09913504736693</v>
      </c>
      <c r="CZ87" s="59">
        <f t="shared" si="96"/>
        <v>248.42617382406644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56.23034155588438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56.23034155588438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5.8</v>
      </c>
      <c r="DO87" s="12">
        <f>IF('Données projet'!$A$166&gt;35,DO86+DN87-DW86,IF(A87&lt;'Données projet'!$A$166,$DL$205^A87,IF(A87='Données projet'!$A$166,'Données projet'!$B$166,DO86+DN87-DW86)))</f>
        <v>263.19999999999993</v>
      </c>
      <c r="DP87" s="17">
        <f>DO87*VLOOKUP('Données projet'!$B$14,Paramètres!$A$1:$I$89,3,0)*VLOOKUP('Données projet'!$B$14,Paramètres!$A$1:$I$89,5,0)</f>
        <v>299.73215999999991</v>
      </c>
      <c r="DQ87" s="13">
        <f t="shared" si="97"/>
        <v>71.120311005285956</v>
      </c>
      <c r="DR87" s="20">
        <f t="shared" si="70"/>
        <v>645.90138700087289</v>
      </c>
      <c r="DS87" s="59">
        <f t="shared" si="71"/>
        <v>939.23472033420626</v>
      </c>
      <c r="DT87" s="59">
        <f ca="1">AVERAGE(OFFSET($DS$3,0,0,'Données projet'!$E$14+1,1))-AVERAGE(OFFSET($H$3,0,0,'Données projet'!$E$14+1,1))</f>
        <v>459.67331926893809</v>
      </c>
      <c r="DU87" s="59">
        <f t="shared" si="98"/>
        <v>280.33242658375497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26.974249637514522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26.974249637514522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264.08053957457469</v>
      </c>
      <c r="EP87" s="59">
        <f t="shared" si="100"/>
        <v>284.83300065761051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100.74578888295176</v>
      </c>
      <c r="EW87" s="21">
        <f>EXP(-LN(2)/25)*EW86+(1-EXP(-LN(2)/25))/(LN(2)/25)*Calculateur!ER87*Calculateur!ET87*VLOOKUP('Données projet'!$B$15,Paramètres!$A$1:$I$89,3,0)*0.475*44/12</f>
        <v>10.857955278676366</v>
      </c>
      <c r="EX87" s="21">
        <f>EXP(-LN(2)/2)*EX86+(1-EXP(-LN(2)/2))/(LN(2)/2)*ER87*EU87*VLOOKUP('Données projet'!$B$15,Paramètres!$A$1:$I$89,3,0)*0.475*44/12</f>
        <v>1.4733714775348275E-2</v>
      </c>
      <c r="EY87" s="22">
        <f t="shared" si="75"/>
        <v>111.61847787640347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166.27444639635013</v>
      </c>
      <c r="FK87" s="59">
        <f t="shared" si="102"/>
        <v>213.60182977243113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60.386993516341768</v>
      </c>
      <c r="FR87" s="21">
        <f>EXP(-LN(2)/25)*FR86+(1-EXP(-LN(2)/25))/(LN(2)/25)*Calculateur!FM87*Calculateur!FO87*VLOOKUP('Données projet'!$B$16,Paramètres!$A$1:$I$89,3,0)*0.475*44/12</f>
        <v>24.078141083501766</v>
      </c>
      <c r="FS87" s="21">
        <f>EXP(-LN(2)/2)*FS86+(1-EXP(-LN(2)/2))/(LN(2)/2)*FM87*FP87*VLOOKUP('Données projet'!$B$16,Paramètres!$A$1:$I$89,3,0)*0.475*44/12</f>
        <v>4.6264215660908901E-2</v>
      </c>
      <c r="FT87" s="22">
        <f t="shared" si="78"/>
        <v>84.51139881550445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6.6</v>
      </c>
      <c r="N88" s="13">
        <f>IF('Données projet'!$A$36&gt;35,N87+M88-V87,IF(A88&lt;'Données projet'!$A$36,$K$205^A88,IF(A88='Données projet'!$A$36,'Données projet'!$B$36,N87+M88-V87)))</f>
        <v>325</v>
      </c>
      <c r="O88" s="13">
        <f>N88*VLOOKUP('Données projet'!$B$9,Paramètres!$A$1:$I$89,3,0)*VLOOKUP('Données projet'!$B$9,Paramètres!$A$1:$I$89,5,0)</f>
        <v>294.06</v>
      </c>
      <c r="P88" s="13">
        <f t="shared" si="87"/>
        <v>69.929765653573313</v>
      </c>
      <c r="Q88" s="20">
        <f t="shared" si="54"/>
        <v>633.94884184664022</v>
      </c>
      <c r="R88" s="59">
        <f t="shared" si="55"/>
        <v>927.28217517997359</v>
      </c>
      <c r="S88" s="59">
        <f ca="1">AVERAGE(OFFSET($R$3,0,0,'Données projet'!$E$9+1,1))-AVERAGE(OFFSET($H$3,0,0,'Données projet'!$E$9+1,1))</f>
        <v>458.37755197712164</v>
      </c>
      <c r="T88" s="59">
        <f t="shared" si="88"/>
        <v>278.21741231699917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28.015113446170837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28.015113446170837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325</v>
      </c>
      <c r="AJ88" s="13">
        <f>AI88*VLOOKUP('Données projet'!$B$10,Paramètres!$A$1:$I$89,3,0)*VLOOKUP('Données projet'!$B$10,Paramètres!$A$1:$I$89,5,0)</f>
        <v>329.55</v>
      </c>
      <c r="AK88" s="13">
        <f t="shared" si="89"/>
        <v>77.337003282690645</v>
      </c>
      <c r="AL88" s="20">
        <f t="shared" si="58"/>
        <v>708.66153071735289</v>
      </c>
      <c r="AM88" s="59">
        <f t="shared" si="59"/>
        <v>1001.9948640506861</v>
      </c>
      <c r="AN88" s="59">
        <f ca="1">AVERAGE(OFFSET($AM$3,0,0,'Données projet'!$E$10+1,1))-AVERAGE(OFFSET($H$3,0,0,'Données projet'!$E$10+1,1))</f>
        <v>508.60701013958447</v>
      </c>
      <c r="AO88" s="59">
        <f t="shared" si="90"/>
        <v>306.61893266146654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31.396247827605258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31.396247827605258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-1.1368683772161603E-13</v>
      </c>
      <c r="BE88" s="13">
        <f>BD88*VLOOKUP('Données projet'!$B$11,Paramètres!$A$1:$I$89,3,0)*VLOOKUP('Données projet'!$B$11,Paramètres!$A$1:$I$89,5,0)</f>
        <v>-1.0818439477588981E-13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291.17074241052887</v>
      </c>
      <c r="BJ88" s="59">
        <f t="shared" si="92"/>
        <v>241.18285512887638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81.094894356389474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81.094894356389474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6.6</v>
      </c>
      <c r="BY88" s="12">
        <f>IF('Données projet'!$A$114&gt;35,BY87+BX88-CG87,IF(A88&lt;'Données projet'!$A$114,$BV$205^A88,IF(A88='Données projet'!$A$114,'Données projet'!$B$114,BY87+BX88-CG87)))</f>
        <v>325</v>
      </c>
      <c r="BZ88" s="13">
        <f>BY88*VLOOKUP('Données projet'!$B$12,Paramètres!$A$1:$I$89,3,0)*VLOOKUP('Données projet'!$B$12,Paramètres!$A$1:$I$89,5,0)</f>
        <v>273.78000000000003</v>
      </c>
      <c r="CA88" s="13">
        <f t="shared" si="93"/>
        <v>65.650830427167435</v>
      </c>
      <c r="CB88" s="20">
        <f t="shared" si="64"/>
        <v>591.17536299398319</v>
      </c>
      <c r="CC88" s="59">
        <f t="shared" si="65"/>
        <v>884.50869632731656</v>
      </c>
      <c r="CD88" s="59">
        <f ca="1">AVERAGE(OFFSET($CC$3,0,0,'Données projet'!$E$12+1,1))-AVERAGE(OFFSET($H$3,0,0,'Données projet'!$E$12+1,1))</f>
        <v>429.61977776013185</v>
      </c>
      <c r="CE88" s="59">
        <f t="shared" si="94"/>
        <v>261.95434270986385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26.083036656779754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26.083036656779754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-1.7053025658242404E-13</v>
      </c>
      <c r="CU88" s="17">
        <f>CT88*VLOOKUP('Données projet'!$B$13,Paramètres!$A$1:$I$89,3,0)*VLOOKUP('Données projet'!$B$13,Paramètres!$A$1:$I$89,5,0)</f>
        <v>-1.1173142411280423E-13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255.09913504736693</v>
      </c>
      <c r="CZ88" s="59">
        <f t="shared" si="96"/>
        <v>248.42617382406644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55.127698855095275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55.127698855095275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269</v>
      </c>
      <c r="DM88" s="12">
        <f>VLOOKUP(A88,'Données projet'!$A$165:$I$185,9,0)</f>
        <v>5.8</v>
      </c>
      <c r="DN88" s="12">
        <f t="array" ref="DN88">INDEX(DM:DM,MIN(IF(ISNUMBER(DM88:DM284),ROW(DM88:DM284),"")))</f>
        <v>5.8</v>
      </c>
      <c r="DO88" s="12">
        <f>IF('Données projet'!$A$166&gt;35,DO87+DN88-DW87,IF(A88&lt;'Données projet'!$A$166,$DL$205^A88,IF(A88='Données projet'!$A$166,'Données projet'!$B$166,DO87+DN88-DW87)))</f>
        <v>268.99999999999994</v>
      </c>
      <c r="DP88" s="17">
        <f>DO88*VLOOKUP('Données projet'!$B$14,Paramètres!$A$1:$I$89,3,0)*VLOOKUP('Données projet'!$B$14,Paramètres!$A$1:$I$89,5,0)</f>
        <v>306.33719999999994</v>
      </c>
      <c r="DQ88" s="13">
        <f t="shared" si="97"/>
        <v>72.503363402445913</v>
      </c>
      <c r="DR88" s="20">
        <f t="shared" si="70"/>
        <v>659.81398125925989</v>
      </c>
      <c r="DS88" s="59">
        <f t="shared" si="71"/>
        <v>953.14731459259315</v>
      </c>
      <c r="DT88" s="59">
        <f ca="1">AVERAGE(OFFSET($DS$3,0,0,'Données projet'!$E$14+1,1))-AVERAGE(OFFSET($H$3,0,0,'Données projet'!$E$14+1,1))</f>
        <v>459.67331926893809</v>
      </c>
      <c r="DU88" s="59">
        <f t="shared" si="98"/>
        <v>280.33242658375497</v>
      </c>
      <c r="DV88" s="15">
        <f>IF(ISNA(VLOOKUP(A88,'Données projet'!$A$165:$I$185,3,0)),0,VLOOKUP(A88,'Données projet'!$A$165:$I$185,3,0))</f>
        <v>14</v>
      </c>
      <c r="DW88" s="15">
        <f>IF(ISNA(VLOOKUP(A88,'Données projet'!$A$165:$I$185,4,0)),0,VLOOKUP(A88,'Données projet'!$A$165:$I$185,4,0))</f>
        <v>21</v>
      </c>
      <c r="DX88" s="16">
        <f>IF(ISNA(VLOOKUP(A88,'Données projet'!$A$165:$I$185,5,0)),0%,VLOOKUP(A88,'Données projet'!$A$165:$I$185,5,0)*VLOOKUP('Données projet'!$B$14,Paramètres!$A$1:$I$89,7,0))</f>
        <v>0.25800000000000001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33.266073637163863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33.266073637163863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264.08053957457469</v>
      </c>
      <c r="EP88" s="59">
        <f t="shared" si="100"/>
        <v>284.83300065761051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98.770225411820718</v>
      </c>
      <c r="EW88" s="21">
        <f>EXP(-LN(2)/25)*EW87+(1-EXP(-LN(2)/25))/(LN(2)/25)*Calculateur!ER88*Calculateur!ET88*VLOOKUP('Données projet'!$B$15,Paramètres!$A$1:$I$89,3,0)*0.475*44/12</f>
        <v>10.561043920585909</v>
      </c>
      <c r="EX88" s="21">
        <f>EXP(-LN(2)/2)*EX87+(1-EXP(-LN(2)/2))/(LN(2)/2)*ER88*EU88*VLOOKUP('Données projet'!$B$15,Paramètres!$A$1:$I$89,3,0)*0.475*44/12</f>
        <v>1.0418309629717196E-2</v>
      </c>
      <c r="EY88" s="22">
        <f t="shared" si="75"/>
        <v>109.34168764203635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166.27444639635013</v>
      </c>
      <c r="FK88" s="59">
        <f t="shared" si="102"/>
        <v>213.60182977243113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59.20284140591545</v>
      </c>
      <c r="FR88" s="21">
        <f>EXP(-LN(2)/25)*FR87+(1-EXP(-LN(2)/25))/(LN(2)/25)*Calculateur!FM88*Calculateur!FO88*VLOOKUP('Données projet'!$B$16,Paramètres!$A$1:$I$89,3,0)*0.475*44/12</f>
        <v>23.419723049359003</v>
      </c>
      <c r="FS88" s="21">
        <f>EXP(-LN(2)/2)*FS87+(1-EXP(-LN(2)/2))/(LN(2)/2)*FM88*FP88*VLOOKUP('Données projet'!$B$16,Paramètres!$A$1:$I$89,3,0)*0.475*44/12</f>
        <v>3.2713740620105555E-2</v>
      </c>
      <c r="FT88" s="22">
        <f t="shared" si="78"/>
        <v>82.655278195894567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6.6</v>
      </c>
      <c r="N89" s="13">
        <f>IF('Données projet'!$A$36&gt;35,N88+M89-V88,IF(A89&lt;'Données projet'!$A$36,$K$205^A89,IF(A89='Données projet'!$A$36,'Données projet'!$B$36,N88+M89-V88)))</f>
        <v>331.6</v>
      </c>
      <c r="O89" s="13">
        <f>N89*VLOOKUP('Données projet'!$B$9,Paramètres!$A$1:$I$89,3,0)*VLOOKUP('Données projet'!$B$9,Paramètres!$A$1:$I$89,5,0)</f>
        <v>300.03167999999999</v>
      </c>
      <c r="P89" s="13">
        <f t="shared" si="87"/>
        <v>71.183104779714938</v>
      </c>
      <c r="Q89" s="20">
        <f t="shared" si="54"/>
        <v>646.53241682467012</v>
      </c>
      <c r="R89" s="59">
        <f t="shared" si="55"/>
        <v>939.86575015800349</v>
      </c>
      <c r="S89" s="59">
        <f ca="1">AVERAGE(OFFSET($R$3,0,0,'Données projet'!$E$9+1,1))-AVERAGE(OFFSET($H$3,0,0,'Données projet'!$E$9+1,1))</f>
        <v>458.37755197712164</v>
      </c>
      <c r="T89" s="59">
        <f t="shared" si="88"/>
        <v>278.21741231699917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27.465754159023376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27.465754159023376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331.6</v>
      </c>
      <c r="AJ89" s="13">
        <f>AI89*VLOOKUP('Données projet'!$B$10,Paramètres!$A$1:$I$89,3,0)*VLOOKUP('Données projet'!$B$10,Paramètres!$A$1:$I$89,5,0)</f>
        <v>336.24240000000003</v>
      </c>
      <c r="AK89" s="13">
        <f t="shared" si="89"/>
        <v>78.723101051027399</v>
      </c>
      <c r="AL89" s="20">
        <f t="shared" si="58"/>
        <v>722.73158099720615</v>
      </c>
      <c r="AM89" s="59">
        <f t="shared" si="59"/>
        <v>1016.0649143305395</v>
      </c>
      <c r="AN89" s="59">
        <f ca="1">AVERAGE(OFFSET($AM$3,0,0,'Données projet'!$E$10+1,1))-AVERAGE(OFFSET($H$3,0,0,'Données projet'!$E$10+1,1))</f>
        <v>508.60701013958447</v>
      </c>
      <c r="AO89" s="59">
        <f t="shared" si="90"/>
        <v>306.61893266146654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30.780586557526206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30.780586557526206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-1.1368683772161603E-13</v>
      </c>
      <c r="BE89" s="13">
        <f>BD89*VLOOKUP('Données projet'!$B$11,Paramètres!$A$1:$I$89,3,0)*VLOOKUP('Données projet'!$B$11,Paramètres!$A$1:$I$89,5,0)</f>
        <v>-1.0818439477588981E-13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291.17074241052887</v>
      </c>
      <c r="BJ89" s="59">
        <f t="shared" si="92"/>
        <v>241.18285512887638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79.504672941062168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79.504672941062168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6.6</v>
      </c>
      <c r="BY89" s="12">
        <f>IF('Données projet'!$A$114&gt;35,BY88+BX89-CG88,IF(A89&lt;'Données projet'!$A$114,$BV$205^A89,IF(A89='Données projet'!$A$114,'Données projet'!$B$114,BY88+BX89-CG88)))</f>
        <v>331.6</v>
      </c>
      <c r="BZ89" s="13">
        <f>BY89*VLOOKUP('Données projet'!$B$12,Paramètres!$A$1:$I$89,3,0)*VLOOKUP('Données projet'!$B$12,Paramètres!$A$1:$I$89,5,0)</f>
        <v>279.33984000000004</v>
      </c>
      <c r="CA89" s="13">
        <f t="shared" si="93"/>
        <v>66.827478935410426</v>
      </c>
      <c r="CB89" s="20">
        <f t="shared" si="64"/>
        <v>602.90808047917312</v>
      </c>
      <c r="CC89" s="59">
        <f t="shared" si="65"/>
        <v>896.24141381250638</v>
      </c>
      <c r="CD89" s="59">
        <f ca="1">AVERAGE(OFFSET($CC$3,0,0,'Données projet'!$E$12+1,1))-AVERAGE(OFFSET($H$3,0,0,'Données projet'!$E$12+1,1))</f>
        <v>429.61977776013185</v>
      </c>
      <c r="CE89" s="59">
        <f t="shared" si="94"/>
        <v>261.95434270986385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25.571564217021773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25.571564217021773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-1.7053025658242404E-13</v>
      </c>
      <c r="CU89" s="17">
        <f>CT89*VLOOKUP('Données projet'!$B$13,Paramètres!$A$1:$I$89,3,0)*VLOOKUP('Données projet'!$B$13,Paramètres!$A$1:$I$89,5,0)</f>
        <v>-1.1173142411280423E-13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255.09913504736693</v>
      </c>
      <c r="CZ89" s="59">
        <f t="shared" si="96"/>
        <v>248.42617382406644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54.04667830512301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54.04667830512301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5.4</v>
      </c>
      <c r="DO89" s="12">
        <f>IF('Données projet'!$A$166&gt;35,DO88+DN89-DW88,IF(A89&lt;'Données projet'!$A$166,$DL$205^A89,IF(A89='Données projet'!$A$166,'Données projet'!$B$166,DO88+DN89-DW88)))</f>
        <v>253.39999999999992</v>
      </c>
      <c r="DP89" s="17">
        <f>DO89*VLOOKUP('Données projet'!$B$14,Paramètres!$A$1:$I$89,3,0)*VLOOKUP('Données projet'!$B$14,Paramètres!$A$1:$I$89,5,0)</f>
        <v>288.57191999999992</v>
      </c>
      <c r="DQ89" s="13">
        <f t="shared" si="97"/>
        <v>68.775310576263252</v>
      </c>
      <c r="DR89" s="20">
        <f t="shared" si="70"/>
        <v>622.37975992032511</v>
      </c>
      <c r="DS89" s="59">
        <f t="shared" si="71"/>
        <v>915.71309325365837</v>
      </c>
      <c r="DT89" s="59">
        <f ca="1">AVERAGE(OFFSET($DS$3,0,0,'Données projet'!$E$14+1,1))-AVERAGE(OFFSET($H$3,0,0,'Données projet'!$E$14+1,1))</f>
        <v>459.67331926893809</v>
      </c>
      <c r="DU89" s="59">
        <f t="shared" si="98"/>
        <v>280.33242658375497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32.613746223440501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32.613746223440501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264.08053957457469</v>
      </c>
      <c r="EP89" s="59">
        <f t="shared" si="100"/>
        <v>284.83300065761051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96.833401535383828</v>
      </c>
      <c r="EW89" s="21">
        <f>EXP(-LN(2)/25)*EW88+(1-EXP(-LN(2)/25))/(LN(2)/25)*Calculateur!ER89*Calculateur!ET89*VLOOKUP('Données projet'!$B$15,Paramètres!$A$1:$I$89,3,0)*0.475*44/12</f>
        <v>10.272251619196325</v>
      </c>
      <c r="EX89" s="21">
        <f>EXP(-LN(2)/2)*EX88+(1-EXP(-LN(2)/2))/(LN(2)/2)*ER89*EU89*VLOOKUP('Données projet'!$B$15,Paramètres!$A$1:$I$89,3,0)*0.475*44/12</f>
        <v>7.3668573876741385E-3</v>
      </c>
      <c r="EY89" s="22">
        <f t="shared" si="75"/>
        <v>107.11302001196783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166.27444639635013</v>
      </c>
      <c r="FK89" s="59">
        <f t="shared" si="102"/>
        <v>213.60182977243113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58.041909796113124</v>
      </c>
      <c r="FR89" s="21">
        <f>EXP(-LN(2)/25)*FR88+(1-EXP(-LN(2)/25))/(LN(2)/25)*Calculateur!FM89*Calculateur!FO89*VLOOKUP('Données projet'!$B$16,Paramètres!$A$1:$I$89,3,0)*0.475*44/12</f>
        <v>22.779309490984573</v>
      </c>
      <c r="FS89" s="21">
        <f>EXP(-LN(2)/2)*FS88+(1-EXP(-LN(2)/2))/(LN(2)/2)*FM89*FP89*VLOOKUP('Données projet'!$B$16,Paramètres!$A$1:$I$89,3,0)*0.475*44/12</f>
        <v>2.3132107830454451E-2</v>
      </c>
      <c r="FT89" s="22">
        <f t="shared" si="78"/>
        <v>80.844351394928154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6.6</v>
      </c>
      <c r="N90" s="13">
        <f>IF('Données projet'!$A$36&gt;35,N89+M90-V89,IF(A90&lt;'Données projet'!$A$36,$K$205^A90,IF(A90='Données projet'!$A$36,'Données projet'!$B$36,N89+M90-V89)))</f>
        <v>338.20000000000005</v>
      </c>
      <c r="O90" s="13">
        <f>N90*VLOOKUP('Données projet'!$B$9,Paramètres!$A$1:$I$89,3,0)*VLOOKUP('Données projet'!$B$9,Paramètres!$A$1:$I$89,5,0)</f>
        <v>306.00336000000004</v>
      </c>
      <c r="P90" s="13">
        <f t="shared" si="87"/>
        <v>72.433543369450447</v>
      </c>
      <c r="Q90" s="20">
        <f t="shared" si="54"/>
        <v>659.11094003512619</v>
      </c>
      <c r="R90" s="59">
        <f t="shared" si="55"/>
        <v>952.44427336845956</v>
      </c>
      <c r="S90" s="59">
        <f ca="1">AVERAGE(OFFSET($R$3,0,0,'Données projet'!$E$9+1,1))-AVERAGE(OFFSET($H$3,0,0,'Données projet'!$E$9+1,1))</f>
        <v>458.37755197712164</v>
      </c>
      <c r="T90" s="59">
        <f t="shared" si="88"/>
        <v>278.21741231699917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26.927167472420798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26.927167472420798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338.20000000000005</v>
      </c>
      <c r="AJ90" s="13">
        <f>AI90*VLOOKUP('Données projet'!$B$10,Paramètres!$A$1:$I$89,3,0)*VLOOKUP('Données projet'!$B$10,Paramètres!$A$1:$I$89,5,0)</f>
        <v>342.93480000000005</v>
      </c>
      <c r="AK90" s="13">
        <f t="shared" si="89"/>
        <v>80.105991046658843</v>
      </c>
      <c r="AL90" s="20">
        <f t="shared" si="58"/>
        <v>736.79604440626429</v>
      </c>
      <c r="AM90" s="59">
        <f t="shared" si="59"/>
        <v>1030.1293777395977</v>
      </c>
      <c r="AN90" s="59">
        <f ca="1">AVERAGE(OFFSET($AM$3,0,0,'Données projet'!$E$10+1,1))-AVERAGE(OFFSET($H$3,0,0,'Données projet'!$E$10+1,1))</f>
        <v>508.60701013958447</v>
      </c>
      <c r="AO90" s="59">
        <f t="shared" si="90"/>
        <v>306.61893266146654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30.176998029437108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30.176998029437108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-1.1368683772161603E-13</v>
      </c>
      <c r="BE90" s="13">
        <f>BD90*VLOOKUP('Données projet'!$B$11,Paramètres!$A$1:$I$89,3,0)*VLOOKUP('Données projet'!$B$11,Paramètres!$A$1:$I$89,5,0)</f>
        <v>-1.0818439477588981E-13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291.17074241052887</v>
      </c>
      <c r="BJ90" s="59">
        <f t="shared" si="92"/>
        <v>241.18285512887638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77.945634797750145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77.945634797750145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6.6</v>
      </c>
      <c r="BY90" s="12">
        <f>IF('Données projet'!$A$114&gt;35,BY89+BX90-CG89,IF(A90&lt;'Données projet'!$A$114,$BV$205^A90,IF(A90='Données projet'!$A$114,'Données projet'!$B$114,BY89+BX90-CG89)))</f>
        <v>338.20000000000005</v>
      </c>
      <c r="BZ90" s="13">
        <f>BY90*VLOOKUP('Données projet'!$B$12,Paramètres!$A$1:$I$89,3,0)*VLOOKUP('Données projet'!$B$12,Paramètres!$A$1:$I$89,5,0)</f>
        <v>284.8996800000001</v>
      </c>
      <c r="CA90" s="13">
        <f t="shared" si="93"/>
        <v>68.001404388285408</v>
      </c>
      <c r="CB90" s="20">
        <f t="shared" si="64"/>
        <v>614.63605530959728</v>
      </c>
      <c r="CC90" s="59">
        <f t="shared" si="65"/>
        <v>907.96938864293065</v>
      </c>
      <c r="CD90" s="59">
        <f ca="1">AVERAGE(OFFSET($CC$3,0,0,'Données projet'!$E$12+1,1))-AVERAGE(OFFSET($H$3,0,0,'Données projet'!$E$12+1,1))</f>
        <v>429.61977776013185</v>
      </c>
      <c r="CE90" s="59">
        <f t="shared" si="94"/>
        <v>261.95434270986385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25.070121439840062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25.070121439840062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-1.7053025658242404E-13</v>
      </c>
      <c r="CU90" s="17">
        <f>CT90*VLOOKUP('Données projet'!$B$13,Paramètres!$A$1:$I$89,3,0)*VLOOKUP('Données projet'!$B$13,Paramètres!$A$1:$I$89,5,0)</f>
        <v>-1.1173142411280423E-13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255.09913504736693</v>
      </c>
      <c r="CZ90" s="59">
        <f t="shared" si="96"/>
        <v>248.42617382406644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52.986855908778267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52.986855908778267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5.4</v>
      </c>
      <c r="DO90" s="12">
        <f>IF('Données projet'!$A$166&gt;35,DO89+DN90-DW89,IF(A90&lt;'Données projet'!$A$166,$DL$205^A90,IF(A90='Données projet'!$A$166,'Données projet'!$B$166,DO89+DN90-DW89)))</f>
        <v>258.7999999999999</v>
      </c>
      <c r="DP90" s="17">
        <f>DO90*VLOOKUP('Données projet'!$B$14,Paramètres!$A$1:$I$89,3,0)*VLOOKUP('Données projet'!$B$14,Paramètres!$A$1:$I$89,5,0)</f>
        <v>294.72143999999986</v>
      </c>
      <c r="DQ90" s="13">
        <f t="shared" si="97"/>
        <v>70.068733866215311</v>
      </c>
      <c r="DR90" s="20">
        <f t="shared" si="70"/>
        <v>635.34288615032472</v>
      </c>
      <c r="DS90" s="59">
        <f t="shared" si="71"/>
        <v>928.67621948365809</v>
      </c>
      <c r="DT90" s="59">
        <f ca="1">AVERAGE(OFFSET($DS$3,0,0,'Données projet'!$E$14+1,1))-AVERAGE(OFFSET($H$3,0,0,'Données projet'!$E$14+1,1))</f>
        <v>459.67331926893809</v>
      </c>
      <c r="DU90" s="59">
        <f t="shared" si="98"/>
        <v>280.33242658375497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31.974210552419816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31.974210552419816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264.08053957457469</v>
      </c>
      <c r="EP90" s="59">
        <f t="shared" si="100"/>
        <v>284.83300065761051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94.934557593817942</v>
      </c>
      <c r="EW90" s="21">
        <f>EXP(-LN(2)/25)*EW89+(1-EXP(-LN(2)/25))/(LN(2)/25)*Calculateur!ER90*Calculateur!ET90*VLOOKUP('Données projet'!$B$15,Paramètres!$A$1:$I$89,3,0)*0.475*44/12</f>
        <v>9.9913563584751657</v>
      </c>
      <c r="EX90" s="21">
        <f>EXP(-LN(2)/2)*EX89+(1-EXP(-LN(2)/2))/(LN(2)/2)*ER90*EU90*VLOOKUP('Données projet'!$B$15,Paramètres!$A$1:$I$89,3,0)*0.475*44/12</f>
        <v>5.2091548148585987E-3</v>
      </c>
      <c r="EY90" s="22">
        <f t="shared" si="75"/>
        <v>104.93112310710798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166.27444639635013</v>
      </c>
      <c r="FK90" s="59">
        <f t="shared" si="102"/>
        <v>213.60182977243113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56.903743347080656</v>
      </c>
      <c r="FR90" s="21">
        <f>EXP(-LN(2)/25)*FR89+(1-EXP(-LN(2)/25))/(LN(2)/25)*Calculateur!FM90*Calculateur!FO90*VLOOKUP('Données projet'!$B$16,Paramètres!$A$1:$I$89,3,0)*0.475*44/12</f>
        <v>22.156408075041778</v>
      </c>
      <c r="FS90" s="21">
        <f>EXP(-LN(2)/2)*FS89+(1-EXP(-LN(2)/2))/(LN(2)/2)*FM90*FP90*VLOOKUP('Données projet'!$B$16,Paramètres!$A$1:$I$89,3,0)*0.475*44/12</f>
        <v>1.6356870310052778E-2</v>
      </c>
      <c r="FT90" s="22">
        <f t="shared" si="78"/>
        <v>79.076508292432479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6.6</v>
      </c>
      <c r="N91" s="13">
        <f>IF('Données projet'!$A$36&gt;35,N90+M91-V90,IF(A91&lt;'Données projet'!$A$36,$K$205^A91,IF(A91='Données projet'!$A$36,'Données projet'!$B$36,N90+M91-V90)))</f>
        <v>344.80000000000007</v>
      </c>
      <c r="O91" s="13">
        <f>N91*VLOOKUP('Données projet'!$B$9,Paramètres!$A$1:$I$89,3,0)*VLOOKUP('Données projet'!$B$9,Paramètres!$A$1:$I$89,5,0)</f>
        <v>311.97504000000009</v>
      </c>
      <c r="P91" s="13">
        <f t="shared" si="87"/>
        <v>73.681144552074599</v>
      </c>
      <c r="Q91" s="20">
        <f t="shared" si="54"/>
        <v>671.68452142819672</v>
      </c>
      <c r="R91" s="59">
        <f t="shared" si="55"/>
        <v>965.01785476153009</v>
      </c>
      <c r="S91" s="59">
        <f ca="1">AVERAGE(OFFSET($R$3,0,0,'Données projet'!$E$9+1,1))-AVERAGE(OFFSET($H$3,0,0,'Données projet'!$E$9+1,1))</f>
        <v>458.37755197712164</v>
      </c>
      <c r="T91" s="59">
        <f t="shared" si="88"/>
        <v>278.21741231699917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26.399142142237054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26.399142142237054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344.80000000000007</v>
      </c>
      <c r="AJ91" s="13">
        <f>AI91*VLOOKUP('Données projet'!$B$10,Paramètres!$A$1:$I$89,3,0)*VLOOKUP('Données projet'!$B$10,Paramètres!$A$1:$I$89,5,0)</f>
        <v>349.62720000000013</v>
      </c>
      <c r="AK91" s="13">
        <f t="shared" si="89"/>
        <v>81.485743085784506</v>
      </c>
      <c r="AL91" s="20">
        <f t="shared" si="58"/>
        <v>750.85504254107491</v>
      </c>
      <c r="AM91" s="59">
        <f t="shared" si="59"/>
        <v>1044.1883758744082</v>
      </c>
      <c r="AN91" s="59">
        <f ca="1">AVERAGE(OFFSET($AM$3,0,0,'Données projet'!$E$10+1,1))-AVERAGE(OFFSET($H$3,0,0,'Données projet'!$E$10+1,1))</f>
        <v>508.60701013958447</v>
      </c>
      <c r="AO91" s="59">
        <f t="shared" si="90"/>
        <v>306.61893266146654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29.585245504231189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29.585245504231189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-1.1368683772161603E-13</v>
      </c>
      <c r="BE91" s="13">
        <f>BD91*VLOOKUP('Données projet'!$B$11,Paramètres!$A$1:$I$89,3,0)*VLOOKUP('Données projet'!$B$11,Paramètres!$A$1:$I$89,5,0)</f>
        <v>-1.0818439477588981E-13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291.17074241052887</v>
      </c>
      <c r="BJ91" s="59">
        <f t="shared" si="92"/>
        <v>241.18285512887638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76.417168441509091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76.417168441509091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6.6</v>
      </c>
      <c r="BY91" s="12">
        <f>IF('Données projet'!$A$114&gt;35,BY90+BX91-CG90,IF(A91&lt;'Données projet'!$A$114,$BV$205^A91,IF(A91='Données projet'!$A$114,'Données projet'!$B$114,BY90+BX91-CG90)))</f>
        <v>344.80000000000007</v>
      </c>
      <c r="BZ91" s="13">
        <f>BY91*VLOOKUP('Données projet'!$B$12,Paramètres!$A$1:$I$89,3,0)*VLOOKUP('Données projet'!$B$12,Paramètres!$A$1:$I$89,5,0)</f>
        <v>290.45952000000005</v>
      </c>
      <c r="CA91" s="13">
        <f t="shared" si="93"/>
        <v>69.172666052266209</v>
      </c>
      <c r="CB91" s="20">
        <f t="shared" si="64"/>
        <v>626.35939070769712</v>
      </c>
      <c r="CC91" s="59">
        <f t="shared" si="65"/>
        <v>919.69272404103049</v>
      </c>
      <c r="CD91" s="59">
        <f ca="1">AVERAGE(OFFSET($CC$3,0,0,'Données projet'!$E$12+1,1))-AVERAGE(OFFSET($H$3,0,0,'Données projet'!$E$12+1,1))</f>
        <v>429.61977776013185</v>
      </c>
      <c r="CE91" s="59">
        <f t="shared" si="94"/>
        <v>261.95434270986385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24.578511649668989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24.578511649668989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-1.7053025658242404E-13</v>
      </c>
      <c r="CU91" s="17">
        <f>CT91*VLOOKUP('Données projet'!$B$13,Paramètres!$A$1:$I$89,3,0)*VLOOKUP('Données projet'!$B$13,Paramètres!$A$1:$I$89,5,0)</f>
        <v>-1.1173142411280423E-13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255.09913504736693</v>
      </c>
      <c r="CZ91" s="59">
        <f t="shared" si="96"/>
        <v>248.42617382406644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51.947815983198012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51.947815983198012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5.4</v>
      </c>
      <c r="DO91" s="12">
        <f>IF('Données projet'!$A$166&gt;35,DO90+DN91-DW90,IF(A91&lt;'Données projet'!$A$166,$DL$205^A91,IF(A91='Données projet'!$A$166,'Données projet'!$B$166,DO90+DN91-DW90)))</f>
        <v>264.19999999999987</v>
      </c>
      <c r="DP91" s="17">
        <f>DO91*VLOOKUP('Données projet'!$B$14,Paramètres!$A$1:$I$89,3,0)*VLOOKUP('Données projet'!$B$14,Paramètres!$A$1:$I$89,5,0)</f>
        <v>300.87095999999985</v>
      </c>
      <c r="DQ91" s="13">
        <f t="shared" si="97"/>
        <v>71.359019327927427</v>
      </c>
      <c r="DR91" s="20">
        <f t="shared" si="70"/>
        <v>648.30054732947326</v>
      </c>
      <c r="DS91" s="59">
        <f t="shared" si="71"/>
        <v>941.63388066280663</v>
      </c>
      <c r="DT91" s="59">
        <f ca="1">AVERAGE(OFFSET($DS$3,0,0,'Données projet'!$E$14+1,1))-AVERAGE(OFFSET($H$3,0,0,'Données projet'!$E$14+1,1))</f>
        <v>459.67331926893809</v>
      </c>
      <c r="DU91" s="59">
        <f t="shared" si="98"/>
        <v>280.33242658375497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31.347215785829604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31.347215785829604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264.08053957457469</v>
      </c>
      <c r="EP91" s="59">
        <f t="shared" si="100"/>
        <v>284.83300065761051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93.072948823765728</v>
      </c>
      <c r="EW91" s="21">
        <f>EXP(-LN(2)/25)*EW90+(1-EXP(-LN(2)/25))/(LN(2)/25)*Calculateur!ER91*Calculateur!ET91*VLOOKUP('Données projet'!$B$15,Paramètres!$A$1:$I$89,3,0)*0.475*44/12</f>
        <v>9.7181421934300669</v>
      </c>
      <c r="EX91" s="21">
        <f>EXP(-LN(2)/2)*EX90+(1-EXP(-LN(2)/2))/(LN(2)/2)*ER91*EU91*VLOOKUP('Données projet'!$B$15,Paramètres!$A$1:$I$89,3,0)*0.475*44/12</f>
        <v>3.6834286938370697E-3</v>
      </c>
      <c r="EY91" s="22">
        <f t="shared" si="75"/>
        <v>102.79477444588963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166.27444639635013</v>
      </c>
      <c r="FK91" s="59">
        <f t="shared" si="102"/>
        <v>213.60182977243113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55.787895647900733</v>
      </c>
      <c r="FR91" s="21">
        <f>EXP(-LN(2)/25)*FR90+(1-EXP(-LN(2)/25))/(LN(2)/25)*Calculateur!FM91*Calculateur!FO91*VLOOKUP('Données projet'!$B$16,Paramètres!$A$1:$I$89,3,0)*0.475*44/12</f>
        <v>21.550539931074898</v>
      </c>
      <c r="FS91" s="21">
        <f>EXP(-LN(2)/2)*FS90+(1-EXP(-LN(2)/2))/(LN(2)/2)*FM91*FP91*VLOOKUP('Données projet'!$B$16,Paramètres!$A$1:$I$89,3,0)*0.475*44/12</f>
        <v>1.1566053915227225E-2</v>
      </c>
      <c r="FT91" s="22">
        <f t="shared" si="78"/>
        <v>77.350001632890866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6.6</v>
      </c>
      <c r="N92" s="13">
        <f>IF('Données projet'!$A$36&gt;35,N91+M92-V91,IF(A92&lt;'Données projet'!$A$36,$K$205^A92,IF(A92='Données projet'!$A$36,'Données projet'!$B$36,N91+M92-V91)))</f>
        <v>351.40000000000009</v>
      </c>
      <c r="O92" s="13">
        <f>N92*VLOOKUP('Données projet'!$B$9,Paramètres!$A$1:$I$89,3,0)*VLOOKUP('Données projet'!$B$9,Paramètres!$A$1:$I$89,5,0)</f>
        <v>317.94672000000008</v>
      </c>
      <c r="P92" s="13">
        <f t="shared" si="87"/>
        <v>74.925968901822259</v>
      </c>
      <c r="Q92" s="20">
        <f t="shared" si="54"/>
        <v>684.25326650400723</v>
      </c>
      <c r="R92" s="59">
        <f t="shared" si="55"/>
        <v>977.5865998373406</v>
      </c>
      <c r="S92" s="59">
        <f ca="1">AVERAGE(OFFSET($R$3,0,0,'Données projet'!$E$9+1,1))-AVERAGE(OFFSET($H$3,0,0,'Données projet'!$E$9+1,1))</f>
        <v>458.37755197712164</v>
      </c>
      <c r="T92" s="59">
        <f t="shared" si="88"/>
        <v>278.21741231699917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25.881471066714564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25.881471066714564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351.40000000000009</v>
      </c>
      <c r="AJ92" s="13">
        <f>AI92*VLOOKUP('Données projet'!$B$10,Paramètres!$A$1:$I$89,3,0)*VLOOKUP('Données projet'!$B$10,Paramètres!$A$1:$I$89,5,0)</f>
        <v>356.31960000000009</v>
      </c>
      <c r="AK92" s="13">
        <f t="shared" si="89"/>
        <v>82.862424158901803</v>
      </c>
      <c r="AL92" s="20">
        <f t="shared" si="58"/>
        <v>764.90869207675405</v>
      </c>
      <c r="AM92" s="59">
        <f t="shared" si="59"/>
        <v>1058.2420254100873</v>
      </c>
      <c r="AN92" s="59">
        <f ca="1">AVERAGE(OFFSET($AM$3,0,0,'Données projet'!$E$10+1,1))-AVERAGE(OFFSET($H$3,0,0,'Données projet'!$E$10+1,1))</f>
        <v>508.60701013958447</v>
      </c>
      <c r="AO92" s="59">
        <f t="shared" si="90"/>
        <v>306.61893266146654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29.005096885111154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29.005096885111154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-1.1368683772161603E-13</v>
      </c>
      <c r="BE92" s="13">
        <f>BD92*VLOOKUP('Données projet'!$B$11,Paramètres!$A$1:$I$89,3,0)*VLOOKUP('Données projet'!$B$11,Paramètres!$A$1:$I$89,5,0)</f>
        <v>-1.0818439477588981E-13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291.17074241052887</v>
      </c>
      <c r="BJ92" s="59">
        <f t="shared" si="92"/>
        <v>241.18285512887638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74.918674378241505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74.918674378241505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6.6</v>
      </c>
      <c r="BY92" s="12">
        <f>IF('Données projet'!$A$114&gt;35,BY91+BX92-CG91,IF(A92&lt;'Données projet'!$A$114,$BV$205^A92,IF(A92='Données projet'!$A$114,'Données projet'!$B$114,BY91+BX92-CG91)))</f>
        <v>351.40000000000009</v>
      </c>
      <c r="BZ92" s="13">
        <f>BY92*VLOOKUP('Données projet'!$B$12,Paramètres!$A$1:$I$89,3,0)*VLOOKUP('Données projet'!$B$12,Paramètres!$A$1:$I$89,5,0)</f>
        <v>296.01936000000012</v>
      </c>
      <c r="CA92" s="13">
        <f t="shared" si="93"/>
        <v>70.341320795108402</v>
      </c>
      <c r="CB92" s="20">
        <f t="shared" si="64"/>
        <v>638.07818571814732</v>
      </c>
      <c r="CC92" s="59">
        <f t="shared" si="65"/>
        <v>931.41151905148058</v>
      </c>
      <c r="CD92" s="59">
        <f ca="1">AVERAGE(OFFSET($CC$3,0,0,'Données projet'!$E$12+1,1))-AVERAGE(OFFSET($H$3,0,0,'Données projet'!$E$12+1,1))</f>
        <v>429.61977776013185</v>
      </c>
      <c r="CE92" s="59">
        <f t="shared" si="94"/>
        <v>261.95434270986385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24.096542027630807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24.096542027630807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-1.7053025658242404E-13</v>
      </c>
      <c r="CU92" s="17">
        <f>CT92*VLOOKUP('Données projet'!$B$13,Paramètres!$A$1:$I$89,3,0)*VLOOKUP('Données projet'!$B$13,Paramètres!$A$1:$I$89,5,0)</f>
        <v>-1.1173142411280423E-13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255.09913504736693</v>
      </c>
      <c r="CZ92" s="59">
        <f t="shared" si="96"/>
        <v>248.42617382406644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50.929150996806612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50.929150996806612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5.4</v>
      </c>
      <c r="DO92" s="12">
        <f>IF('Données projet'!$A$166&gt;35,DO91+DN92-DW91,IF(A92&lt;'Données projet'!$A$166,$DL$205^A92,IF(A92='Données projet'!$A$166,'Données projet'!$B$166,DO91+DN92-DW91)))</f>
        <v>269.59999999999985</v>
      </c>
      <c r="DP92" s="17">
        <f>DO92*VLOOKUP('Données projet'!$B$14,Paramètres!$A$1:$I$89,3,0)*VLOOKUP('Données projet'!$B$14,Paramètres!$A$1:$I$89,5,0)</f>
        <v>307.02047999999985</v>
      </c>
      <c r="DQ92" s="13">
        <f t="shared" si="97"/>
        <v>72.646238485840655</v>
      </c>
      <c r="DR92" s="20">
        <f t="shared" si="70"/>
        <v>661.25286802950563</v>
      </c>
      <c r="DS92" s="59">
        <f t="shared" si="71"/>
        <v>954.58620136283889</v>
      </c>
      <c r="DT92" s="59">
        <f ca="1">AVERAGE(OFFSET($DS$3,0,0,'Données projet'!$E$14+1,1))-AVERAGE(OFFSET($H$3,0,0,'Données projet'!$E$14+1,1))</f>
        <v>459.67331926893809</v>
      </c>
      <c r="DU92" s="59">
        <f t="shared" si="98"/>
        <v>280.33242658375497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30.732516004183182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30.732516004183182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264.08053957457469</v>
      </c>
      <c r="EP92" s="59">
        <f t="shared" si="100"/>
        <v>284.83300065761051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91.247845066224997</v>
      </c>
      <c r="EW92" s="21">
        <f>EXP(-LN(2)/25)*EW91+(1-EXP(-LN(2)/25))/(LN(2)/25)*Calculateur!ER92*Calculateur!ET92*VLOOKUP('Données projet'!$B$15,Paramètres!$A$1:$I$89,3,0)*0.475*44/12</f>
        <v>9.4523990840958341</v>
      </c>
      <c r="EX92" s="21">
        <f>EXP(-LN(2)/2)*EX91+(1-EXP(-LN(2)/2))/(LN(2)/2)*ER92*EU92*VLOOKUP('Données projet'!$B$15,Paramètres!$A$1:$I$89,3,0)*0.475*44/12</f>
        <v>2.6045774074292998E-3</v>
      </c>
      <c r="EY92" s="22">
        <f t="shared" si="75"/>
        <v>100.70284872772825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166.27444639635013</v>
      </c>
      <c r="FK92" s="59">
        <f t="shared" si="102"/>
        <v>213.60182977243113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54.693929041501832</v>
      </c>
      <c r="FR92" s="21">
        <f>EXP(-LN(2)/25)*FR91+(1-EXP(-LN(2)/25))/(LN(2)/25)*Calculateur!FM92*Calculateur!FO92*VLOOKUP('Données projet'!$B$16,Paramètres!$A$1:$I$89,3,0)*0.475*44/12</f>
        <v>20.961239283366012</v>
      </c>
      <c r="FS92" s="21">
        <f>EXP(-LN(2)/2)*FS91+(1-EXP(-LN(2)/2))/(LN(2)/2)*FM92*FP92*VLOOKUP('Données projet'!$B$16,Paramètres!$A$1:$I$89,3,0)*0.475*44/12</f>
        <v>8.1784351550263888E-3</v>
      </c>
      <c r="FT92" s="22">
        <f t="shared" si="78"/>
        <v>75.663346760022876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358</v>
      </c>
      <c r="L93" s="12">
        <f>VLOOKUP(A93,'Données projet'!$A$35:$I$55,9,0)</f>
        <v>6.6</v>
      </c>
      <c r="M93" s="12">
        <f t="array" ref="M93">INDEX(L:L,MIN(IF(ISNUMBER(L93:L289),ROW(L93:L289),"")))</f>
        <v>6.6</v>
      </c>
      <c r="N93" s="13">
        <f>IF('Données projet'!$A$36&gt;35,N92+M93-V92,IF(A93&lt;'Données projet'!$A$36,$K$205^A93,IF(A93='Données projet'!$A$36,'Données projet'!$B$36,N92+M93-V92)))</f>
        <v>358.00000000000011</v>
      </c>
      <c r="O93" s="13">
        <f>N93*VLOOKUP('Données projet'!$B$9,Paramètres!$A$1:$I$89,3,0)*VLOOKUP('Données projet'!$B$9,Paramètres!$A$1:$I$89,5,0)</f>
        <v>323.91840000000008</v>
      </c>
      <c r="P93" s="13">
        <f t="shared" si="87"/>
        <v>76.168074587293091</v>
      </c>
      <c r="Q93" s="20">
        <f t="shared" si="54"/>
        <v>696.81727657286899</v>
      </c>
      <c r="R93" s="59">
        <f t="shared" si="55"/>
        <v>990.15060990620236</v>
      </c>
      <c r="S93" s="59">
        <f ca="1">AVERAGE(OFFSET($R$3,0,0,'Données projet'!$E$9+1,1))-AVERAGE(OFFSET($H$3,0,0,'Données projet'!$E$9+1,1))</f>
        <v>458.37755197712164</v>
      </c>
      <c r="T93" s="59">
        <f t="shared" si="88"/>
        <v>278.21741231699917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56</v>
      </c>
      <c r="W93" s="16">
        <f>IF(ISNA(VLOOKUP(A93,'Données projet'!$A$35:$I$55,5,0)),0%,VLOOKUP(A93,'Données projet'!$A$35:$I$55,5,0)*VLOOKUP('Données projet'!$B$9,Paramètres!$A$1:$I$89,7,0))</f>
        <v>0.30099999999999999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42.233821332745109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42.233821332745109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358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358.00000000000011</v>
      </c>
      <c r="AJ93" s="13">
        <f>AI93*VLOOKUP('Données projet'!$B$10,Paramètres!$A$1:$I$89,3,0)*VLOOKUP('Données projet'!$B$10,Paramètres!$A$1:$I$89,5,0)</f>
        <v>363.01200000000011</v>
      </c>
      <c r="AK93" s="13">
        <f t="shared" si="89"/>
        <v>84.23609859605908</v>
      </c>
      <c r="AL93" s="20">
        <f t="shared" si="58"/>
        <v>778.95710505480304</v>
      </c>
      <c r="AM93" s="59">
        <f t="shared" si="59"/>
        <v>1072.2904383881364</v>
      </c>
      <c r="AN93" s="59">
        <f ca="1">AVERAGE(OFFSET($AM$3,0,0,'Données projet'!$E$10+1,1))-AVERAGE(OFFSET($H$3,0,0,'Données projet'!$E$10+1,1))</f>
        <v>508.60701013958447</v>
      </c>
      <c r="AO93" s="59">
        <f t="shared" si="90"/>
        <v>306.61893266146654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0.30099999999999999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47.331006666007454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47.331006666007454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-1.1368683772161603E-13</v>
      </c>
      <c r="BE93" s="13">
        <f>BD93*VLOOKUP('Données projet'!$B$11,Paramètres!$A$1:$I$89,3,0)*VLOOKUP('Données projet'!$B$11,Paramètres!$A$1:$I$89,5,0)</f>
        <v>-1.0818439477588981E-13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291.17074241052887</v>
      </c>
      <c r="BJ93" s="59">
        <f t="shared" si="92"/>
        <v>241.18285512887638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73.44956486956346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73.44956486956346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358</v>
      </c>
      <c r="BW93" s="12">
        <f>VLOOKUP(A93,'Données projet'!$A$113:$I$133,9,0)</f>
        <v>6.6</v>
      </c>
      <c r="BX93" s="12">
        <f t="array" ref="BX93">INDEX(BW:BW,MIN(IF(ISNUMBER(BW93:BW289),ROW(BW93:BW289),"")))</f>
        <v>6.6</v>
      </c>
      <c r="BY93" s="12">
        <f>IF('Données projet'!$A$114&gt;35,BY92+BX93-CG92,IF(A93&lt;'Données projet'!$A$114,$BV$205^A93,IF(A93='Données projet'!$A$114,'Données projet'!$B$114,BY92+BX93-CG92)))</f>
        <v>358.00000000000011</v>
      </c>
      <c r="BZ93" s="13">
        <f>BY93*VLOOKUP('Données projet'!$B$12,Paramètres!$A$1:$I$89,3,0)*VLOOKUP('Données projet'!$B$12,Paramètres!$A$1:$I$89,5,0)</f>
        <v>301.57920000000013</v>
      </c>
      <c r="CA93" s="13">
        <f t="shared" si="93"/>
        <v>71.507423226130925</v>
      </c>
      <c r="CB93" s="20">
        <f t="shared" si="64"/>
        <v>649.79253545217819</v>
      </c>
      <c r="CC93" s="59">
        <f t="shared" si="65"/>
        <v>943.12586878551156</v>
      </c>
      <c r="CD93" s="59">
        <f ca="1">AVERAGE(OFFSET($CC$3,0,0,'Données projet'!$E$12+1,1))-AVERAGE(OFFSET($H$3,0,0,'Données projet'!$E$12+1,1))</f>
        <v>429.61977776013185</v>
      </c>
      <c r="CE93" s="59">
        <f t="shared" si="94"/>
        <v>261.95434270986385</v>
      </c>
      <c r="CF93" s="15">
        <f>IF(ISNA(VLOOKUP(A93,'Données projet'!$A$113:$I$133,3,0)),0,VLOOKUP(A93,'Données projet'!$A$113:$I$133,3,0))</f>
        <v>15</v>
      </c>
      <c r="CG93" s="15">
        <f>IF(ISNA(VLOOKUP(A93,'Données projet'!$A$113:$I$133,4,0)),0,VLOOKUP(A93,'Données projet'!$A$113:$I$133,4,0))</f>
        <v>56</v>
      </c>
      <c r="CH93" s="16">
        <f>IF(ISNA(VLOOKUP(A93,'Données projet'!$A$113:$I$133,5,0)),0%,VLOOKUP(A93,'Données projet'!$A$113:$I$133,5,0)*VLOOKUP('Données projet'!$B$12,Paramètres!$A$1:$I$89,7,0))</f>
        <v>0.30099999999999999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39.321143999452353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39.321143999452353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-1.7053025658242404E-13</v>
      </c>
      <c r="CU93" s="17">
        <f>CT93*VLOOKUP('Données projet'!$B$13,Paramètres!$A$1:$I$89,3,0)*VLOOKUP('Données projet'!$B$13,Paramètres!$A$1:$I$89,5,0)</f>
        <v>-1.1173142411280423E-13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255.09913504736693</v>
      </c>
      <c r="CZ93" s="59">
        <f t="shared" si="96"/>
        <v>248.42617382406644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49.930461409474056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49.930461409474056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275</v>
      </c>
      <c r="DM93" s="12">
        <f>VLOOKUP(A93,'Données projet'!$A$165:$I$185,9,0)</f>
        <v>5.4</v>
      </c>
      <c r="DN93" s="12">
        <f t="array" ref="DN93">INDEX(DM:DM,MIN(IF(ISNUMBER(DM93:DM289),ROW(DM93:DM289),"")))</f>
        <v>5.4</v>
      </c>
      <c r="DO93" s="12">
        <f>IF('Données projet'!$A$166&gt;35,DO92+DN93-DW92,IF(A93&lt;'Données projet'!$A$166,$DL$205^A93,IF(A93='Données projet'!$A$166,'Données projet'!$B$166,DO92+DN93-DW92)))</f>
        <v>274.99999999999983</v>
      </c>
      <c r="DP93" s="17">
        <f>DO93*VLOOKUP('Données projet'!$B$14,Paramètres!$A$1:$I$89,3,0)*VLOOKUP('Données projet'!$B$14,Paramètres!$A$1:$I$89,5,0)</f>
        <v>313.16999999999979</v>
      </c>
      <c r="DQ93" s="13">
        <f t="shared" si="97"/>
        <v>73.930459835341836</v>
      </c>
      <c r="DR93" s="20">
        <f t="shared" si="70"/>
        <v>674.19996754655324</v>
      </c>
      <c r="DS93" s="59">
        <f t="shared" si="71"/>
        <v>967.53330087988661</v>
      </c>
      <c r="DT93" s="59">
        <f ca="1">AVERAGE(OFFSET($DS$3,0,0,'Données projet'!$E$14+1,1))-AVERAGE(OFFSET($H$3,0,0,'Données projet'!$E$14+1,1))</f>
        <v>459.67331926893809</v>
      </c>
      <c r="DU93" s="59">
        <f t="shared" si="98"/>
        <v>280.33242658375497</v>
      </c>
      <c r="DV93" s="15">
        <f>IF(ISNA(VLOOKUP(A93,'Données projet'!$A$165:$I$185,3,0)),0,VLOOKUP(A93,'Données projet'!$A$165:$I$185,3,0))</f>
        <v>15</v>
      </c>
      <c r="DW93" s="15">
        <f>IF(ISNA(VLOOKUP(A93,'Données projet'!$A$165:$I$185,4,0)),0,VLOOKUP(A93,'Données projet'!$A$165:$I$185,4,0))</f>
        <v>21</v>
      </c>
      <c r="DX93" s="16">
        <f>IF(ISNA(VLOOKUP(A93,'Données projet'!$A$165:$I$185,5,0)),0%,VLOOKUP(A93,'Données projet'!$A$165:$I$185,5,0)*VLOOKUP('Données projet'!$B$14,Paramètres!$A$1:$I$89,7,0))</f>
        <v>0.30099999999999999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38.087438123093833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38.087438123093833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264.08053957457469</v>
      </c>
      <c r="EP93" s="59">
        <f t="shared" si="100"/>
        <v>284.83300065761051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89.458530480166274</v>
      </c>
      <c r="EW93" s="21">
        <f>EXP(-LN(2)/25)*EW92+(1-EXP(-LN(2)/25))/(LN(2)/25)*Calculateur!ER93*Calculateur!ET93*VLOOKUP('Données projet'!$B$15,Paramètres!$A$1:$I$89,3,0)*0.475*44/12</f>
        <v>9.1939227340611698</v>
      </c>
      <c r="EX93" s="21">
        <f>EXP(-LN(2)/2)*EX92+(1-EXP(-LN(2)/2))/(LN(2)/2)*ER93*EU93*VLOOKUP('Données projet'!$B$15,Paramètres!$A$1:$I$89,3,0)*0.475*44/12</f>
        <v>1.8417143469185353E-3</v>
      </c>
      <c r="EY93" s="22">
        <f t="shared" si="75"/>
        <v>98.654294928574373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166.27444639635013</v>
      </c>
      <c r="FK93" s="59">
        <f t="shared" si="102"/>
        <v>213.60182977243113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53.621414453000668</v>
      </c>
      <c r="FR93" s="21">
        <f>EXP(-LN(2)/25)*FR92+(1-EXP(-LN(2)/25))/(LN(2)/25)*Calculateur!FM93*Calculateur!FO93*VLOOKUP('Données projet'!$B$16,Paramètres!$A$1:$I$89,3,0)*0.475*44/12</f>
        <v>20.388053092858701</v>
      </c>
      <c r="FS93" s="21">
        <f>EXP(-LN(2)/2)*FS92+(1-EXP(-LN(2)/2))/(LN(2)/2)*FM93*FP93*VLOOKUP('Données projet'!$B$16,Paramètres!$A$1:$I$89,3,0)*0.475*44/12</f>
        <v>5.7830269576136127E-3</v>
      </c>
      <c r="FT93" s="22">
        <f t="shared" si="78"/>
        <v>74.015250572816981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</v>
      </c>
      <c r="N94" s="13">
        <f>IF('Données projet'!$A$36&gt;35,N93+M94-V93,IF(A94&lt;'Données projet'!$A$36,$K$205^A94,IF(A94='Données projet'!$A$36,'Données projet'!$B$36,N93+M94-V93)))</f>
        <v>308.00000000000011</v>
      </c>
      <c r="O94" s="13">
        <f>N94*VLOOKUP('Données projet'!$B$9,Paramètres!$A$1:$I$89,3,0)*VLOOKUP('Données projet'!$B$9,Paramètres!$A$1:$I$89,5,0)</f>
        <v>278.67840000000007</v>
      </c>
      <c r="P94" s="13">
        <f t="shared" si="87"/>
        <v>66.687639951856809</v>
      </c>
      <c r="Q94" s="20">
        <f t="shared" si="54"/>
        <v>601.51251958281739</v>
      </c>
      <c r="R94" s="59">
        <f t="shared" si="55"/>
        <v>894.84585291615076</v>
      </c>
      <c r="S94" s="59">
        <f ca="1">AVERAGE(OFFSET($R$3,0,0,'Données projet'!$E$9+1,1))-AVERAGE(OFFSET($H$3,0,0,'Données projet'!$E$9+1,1))</f>
        <v>458.37755197712164</v>
      </c>
      <c r="T94" s="59">
        <f t="shared" si="88"/>
        <v>278.21741231699917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41.40564185649739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41.40564185649739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</v>
      </c>
      <c r="AI94" s="13">
        <f>IF('Données projet'!$A$62&gt;35,AI93+AH94-AQ93,IF(A94&lt;'Données projet'!$A$62,$AF$205^A94,IF(A94='Données projet'!$A$62,'Données projet'!$B$62,AI93+AH94-AQ93)))</f>
        <v>308.00000000000011</v>
      </c>
      <c r="AJ94" s="13">
        <f>AI94*VLOOKUP('Données projet'!$B$10,Paramètres!$A$1:$I$89,3,0)*VLOOKUP('Données projet'!$B$10,Paramètres!$A$1:$I$89,5,0)</f>
        <v>312.31200000000013</v>
      </c>
      <c r="AK94" s="13">
        <f t="shared" si="89"/>
        <v>73.751458791112015</v>
      </c>
      <c r="AL94" s="20">
        <f t="shared" si="58"/>
        <v>672.3938573945203</v>
      </c>
      <c r="AM94" s="59">
        <f t="shared" si="59"/>
        <v>965.72719072785367</v>
      </c>
      <c r="AN94" s="59">
        <f ca="1">AVERAGE(OFFSET($AM$3,0,0,'Données projet'!$E$10+1,1))-AVERAGE(OFFSET($H$3,0,0,'Données projet'!$E$10+1,1))</f>
        <v>508.60701013958447</v>
      </c>
      <c r="AO94" s="59">
        <f t="shared" si="90"/>
        <v>306.61893266146654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46.402874494350527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46.402874494350527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-1.1368683772161603E-13</v>
      </c>
      <c r="BE94" s="13">
        <f>BD94*VLOOKUP('Données projet'!$B$11,Paramètres!$A$1:$I$89,3,0)*VLOOKUP('Données projet'!$B$11,Paramètres!$A$1:$I$89,5,0)</f>
        <v>-1.0818439477588981E-13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291.17074241052887</v>
      </c>
      <c r="BJ94" s="59">
        <f t="shared" si="92"/>
        <v>241.18285512887638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72.009263702282283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72.009263702282283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</v>
      </c>
      <c r="BY94" s="12">
        <f>IF('Données projet'!$A$114&gt;35,BY93+BX94-CG93,IF(A94&lt;'Données projet'!$A$114,$BV$205^A94,IF(A94='Données projet'!$A$114,'Données projet'!$B$114,BY93+BX94-CG93)))</f>
        <v>308.00000000000011</v>
      </c>
      <c r="BZ94" s="13">
        <f>BY94*VLOOKUP('Données projet'!$B$12,Paramètres!$A$1:$I$89,3,0)*VLOOKUP('Données projet'!$B$12,Paramètres!$A$1:$I$89,5,0)</f>
        <v>259.45920000000012</v>
      </c>
      <c r="CA94" s="13">
        <f t="shared" si="93"/>
        <v>62.607087284635185</v>
      </c>
      <c r="CB94" s="20">
        <f t="shared" si="64"/>
        <v>560.93211702073984</v>
      </c>
      <c r="CC94" s="59">
        <f t="shared" si="65"/>
        <v>854.26545035407321</v>
      </c>
      <c r="CD94" s="59">
        <f ca="1">AVERAGE(OFFSET($CC$3,0,0,'Données projet'!$E$12+1,1))-AVERAGE(OFFSET($H$3,0,0,'Données projet'!$E$12+1,1))</f>
        <v>429.61977776013185</v>
      </c>
      <c r="CE94" s="59">
        <f t="shared" si="94"/>
        <v>261.95434270986385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38.550080349152758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38.550080349152758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-1.7053025658242404E-13</v>
      </c>
      <c r="CU94" s="17">
        <f>CT94*VLOOKUP('Données projet'!$B$13,Paramètres!$A$1:$I$89,3,0)*VLOOKUP('Données projet'!$B$13,Paramètres!$A$1:$I$89,5,0)</f>
        <v>-1.1173142411280423E-13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255.09913504736693</v>
      </c>
      <c r="CZ94" s="59">
        <f t="shared" si="96"/>
        <v>248.42617382406644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48.951355515808586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48.951355515808586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2.8</v>
      </c>
      <c r="DO94" s="12">
        <f>IF('Données projet'!$A$166&gt;35,DO93+DN94-DW93,IF(A94&lt;'Données projet'!$A$166,$DL$205^A94,IF(A94='Données projet'!$A$166,'Données projet'!$B$166,DO93+DN94-DW93)))</f>
        <v>256.79999999999984</v>
      </c>
      <c r="DP94" s="17">
        <f>DO94*VLOOKUP('Données projet'!$B$14,Paramètres!$A$1:$I$89,3,0)*VLOOKUP('Données projet'!$B$14,Paramètres!$A$1:$I$89,5,0)</f>
        <v>292.44383999999985</v>
      </c>
      <c r="DQ94" s="13">
        <f t="shared" si="97"/>
        <v>69.590057977258411</v>
      </c>
      <c r="DR94" s="20">
        <f t="shared" si="70"/>
        <v>630.54237231039144</v>
      </c>
      <c r="DS94" s="59">
        <f t="shared" si="71"/>
        <v>923.87570564372481</v>
      </c>
      <c r="DT94" s="59">
        <f ca="1">AVERAGE(OFFSET($DS$3,0,0,'Données projet'!$E$14+1,1))-AVERAGE(OFFSET($H$3,0,0,'Données projet'!$E$14+1,1))</f>
        <v>459.67331926893809</v>
      </c>
      <c r="DU94" s="59">
        <f t="shared" si="98"/>
        <v>280.33242658375497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37.340566692543341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37.340566692543341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264.08053957457469</v>
      </c>
      <c r="EP94" s="59">
        <f t="shared" si="100"/>
        <v>284.83300065761051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87.704303261766029</v>
      </c>
      <c r="EW94" s="21">
        <f>EXP(-LN(2)/25)*EW93+(1-EXP(-LN(2)/25))/(LN(2)/25)*Calculateur!ER94*Calculateur!ET94*VLOOKUP('Données projet'!$B$15,Paramètres!$A$1:$I$89,3,0)*0.475*44/12</f>
        <v>8.9425144334108833</v>
      </c>
      <c r="EX94" s="21">
        <f>EXP(-LN(2)/2)*EX93+(1-EXP(-LN(2)/2))/(LN(2)/2)*ER94*EU94*VLOOKUP('Données projet'!$B$15,Paramètres!$A$1:$I$89,3,0)*0.475*44/12</f>
        <v>1.3022887037146501E-3</v>
      </c>
      <c r="EY94" s="22">
        <f t="shared" si="75"/>
        <v>96.648119983880619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166.27444639635013</v>
      </c>
      <c r="FK94" s="59">
        <f t="shared" si="102"/>
        <v>213.60182977243113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52.569931221410705</v>
      </c>
      <c r="FR94" s="21">
        <f>EXP(-LN(2)/25)*FR93+(1-EXP(-LN(2)/25))/(LN(2)/25)*Calculateur!FM94*Calculateur!FO94*VLOOKUP('Données projet'!$B$16,Paramètres!$A$1:$I$89,3,0)*0.475*44/12</f>
        <v>19.830540708873365</v>
      </c>
      <c r="FS94" s="21">
        <f>EXP(-LN(2)/2)*FS93+(1-EXP(-LN(2)/2))/(LN(2)/2)*FM94*FP94*VLOOKUP('Données projet'!$B$16,Paramètres!$A$1:$I$89,3,0)*0.475*44/12</f>
        <v>4.0892175775131944E-3</v>
      </c>
      <c r="FT94" s="22">
        <f t="shared" si="78"/>
        <v>72.404561147861585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</v>
      </c>
      <c r="N95" s="13">
        <f>IF('Données projet'!$A$36&gt;35,N94+M95-V94,IF(A95&lt;'Données projet'!$A$36,$K$205^A95,IF(A95='Données projet'!$A$36,'Données projet'!$B$36,N94+M95-V94)))</f>
        <v>314.00000000000011</v>
      </c>
      <c r="O95" s="13">
        <f>N95*VLOOKUP('Données projet'!$B$9,Paramètres!$A$1:$I$89,3,0)*VLOOKUP('Données projet'!$B$9,Paramètres!$A$1:$I$89,5,0)</f>
        <v>284.10720000000009</v>
      </c>
      <c r="P95" s="13">
        <f t="shared" si="87"/>
        <v>67.834241327943772</v>
      </c>
      <c r="Q95" s="20">
        <f t="shared" si="54"/>
        <v>612.96467697950209</v>
      </c>
      <c r="R95" s="59">
        <f t="shared" si="55"/>
        <v>906.29801031283546</v>
      </c>
      <c r="S95" s="59">
        <f ca="1">AVERAGE(OFFSET($R$3,0,0,'Données projet'!$E$9+1,1))-AVERAGE(OFFSET($H$3,0,0,'Données projet'!$E$9+1,1))</f>
        <v>458.37755197712164</v>
      </c>
      <c r="T95" s="59">
        <f t="shared" si="88"/>
        <v>278.21741231699917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40.593702474639286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40.593702474639286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</v>
      </c>
      <c r="AI95" s="13">
        <f>IF('Données projet'!$A$62&gt;35,AI94+AH95-AQ94,IF(A95&lt;'Données projet'!$A$62,$AF$205^A95,IF(A95='Données projet'!$A$62,'Données projet'!$B$62,AI94+AH95-AQ94)))</f>
        <v>314.00000000000011</v>
      </c>
      <c r="AJ95" s="13">
        <f>AI95*VLOOKUP('Données projet'!$B$10,Paramètres!$A$1:$I$89,3,0)*VLOOKUP('Données projet'!$B$10,Paramètres!$A$1:$I$89,5,0)</f>
        <v>318.39600000000013</v>
      </c>
      <c r="AK95" s="13">
        <f t="shared" si="89"/>
        <v>75.019512724335002</v>
      </c>
      <c r="AL95" s="20">
        <f t="shared" si="58"/>
        <v>685.19868466155037</v>
      </c>
      <c r="AM95" s="59">
        <f t="shared" si="59"/>
        <v>978.53201799488374</v>
      </c>
      <c r="AN95" s="59">
        <f ca="1">AVERAGE(OFFSET($AM$3,0,0,'Données projet'!$E$10+1,1))-AVERAGE(OFFSET($H$3,0,0,'Données projet'!$E$10+1,1))</f>
        <v>508.60701013958447</v>
      </c>
      <c r="AO95" s="59">
        <f t="shared" si="90"/>
        <v>306.61893266146654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45.492942428475068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45.492942428475068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-1.1368683772161603E-13</v>
      </c>
      <c r="BE95" s="13">
        <f>BD95*VLOOKUP('Données projet'!$B$11,Paramètres!$A$1:$I$89,3,0)*VLOOKUP('Données projet'!$B$11,Paramètres!$A$1:$I$89,5,0)</f>
        <v>-1.0818439477588981E-13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291.17074241052887</v>
      </c>
      <c r="BJ95" s="59">
        <f t="shared" si="92"/>
        <v>241.18285512887638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70.597205962394511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70.597205962394511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</v>
      </c>
      <c r="BY95" s="12">
        <f>IF('Données projet'!$A$114&gt;35,BY94+BX95-CG94,IF(A95&lt;'Données projet'!$A$114,$BV$205^A95,IF(A95='Données projet'!$A$114,'Données projet'!$B$114,BY94+BX95-CG94)))</f>
        <v>314.00000000000011</v>
      </c>
      <c r="BZ95" s="13">
        <f>BY95*VLOOKUP('Données projet'!$B$12,Paramètres!$A$1:$I$89,3,0)*VLOOKUP('Données projet'!$B$12,Paramètres!$A$1:$I$89,5,0)</f>
        <v>264.51360000000011</v>
      </c>
      <c r="CA95" s="13">
        <f t="shared" si="93"/>
        <v>63.683529223279031</v>
      </c>
      <c r="CB95" s="20">
        <f t="shared" si="64"/>
        <v>571.61000006387781</v>
      </c>
      <c r="CC95" s="59">
        <f t="shared" si="65"/>
        <v>864.94333339721106</v>
      </c>
      <c r="CD95" s="59">
        <f ca="1">AVERAGE(OFFSET($CC$3,0,0,'Données projet'!$E$12+1,1))-AVERAGE(OFFSET($H$3,0,0,'Données projet'!$E$12+1,1))</f>
        <v>429.61977776013185</v>
      </c>
      <c r="CE95" s="59">
        <f t="shared" si="94"/>
        <v>261.95434270986385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37.794136786733148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37.794136786733148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-1.7053025658242404E-13</v>
      </c>
      <c r="CU95" s="17">
        <f>CT95*VLOOKUP('Données projet'!$B$13,Paramètres!$A$1:$I$89,3,0)*VLOOKUP('Données projet'!$B$13,Paramètres!$A$1:$I$89,5,0)</f>
        <v>-1.1173142411280423E-13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255.09913504736693</v>
      </c>
      <c r="CZ95" s="59">
        <f t="shared" si="96"/>
        <v>248.42617382406644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47.991449291522272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47.991449291522272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2.8</v>
      </c>
      <c r="DO95" s="12">
        <f>IF('Données projet'!$A$166&gt;35,DO94+DN95-DW94,IF(A95&lt;'Données projet'!$A$166,$DL$205^A95,IF(A95='Données projet'!$A$166,'Données projet'!$B$166,DO94+DN95-DW94)))</f>
        <v>259.59999999999985</v>
      </c>
      <c r="DP95" s="17">
        <f>DO95*VLOOKUP('Données projet'!$B$14,Paramètres!$A$1:$I$89,3,0)*VLOOKUP('Données projet'!$B$14,Paramètres!$A$1:$I$89,5,0)</f>
        <v>295.63247999999987</v>
      </c>
      <c r="DQ95" s="13">
        <f t="shared" si="97"/>
        <v>70.260083502956803</v>
      </c>
      <c r="DR95" s="20">
        <f t="shared" si="70"/>
        <v>637.26288143431623</v>
      </c>
      <c r="DS95" s="59">
        <f t="shared" si="71"/>
        <v>930.5962147676496</v>
      </c>
      <c r="DT95" s="59">
        <f ca="1">AVERAGE(OFFSET($DS$3,0,0,'Données projet'!$E$14+1,1))-AVERAGE(OFFSET($H$3,0,0,'Données projet'!$E$14+1,1))</f>
        <v>459.67331926893809</v>
      </c>
      <c r="DU95" s="59">
        <f t="shared" si="98"/>
        <v>280.33242658375497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36.608340955199353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36.608340955199353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264.08053957457469</v>
      </c>
      <c r="EP95" s="59">
        <f t="shared" si="100"/>
        <v>284.83300065761051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85.984475369145656</v>
      </c>
      <c r="EW95" s="21">
        <f>EXP(-LN(2)/25)*EW94+(1-EXP(-LN(2)/25))/(LN(2)/25)*Calculateur!ER95*Calculateur!ET95*VLOOKUP('Données projet'!$B$15,Paramètres!$A$1:$I$89,3,0)*0.475*44/12</f>
        <v>8.6979809059628668</v>
      </c>
      <c r="EX95" s="21">
        <f>EXP(-LN(2)/2)*EX94+(1-EXP(-LN(2)/2))/(LN(2)/2)*ER95*EU95*VLOOKUP('Données projet'!$B$15,Paramètres!$A$1:$I$89,3,0)*0.475*44/12</f>
        <v>9.2085717345926775E-4</v>
      </c>
      <c r="EY95" s="22">
        <f t="shared" si="75"/>
        <v>94.683377132281976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166.27444639635013</v>
      </c>
      <c r="FK95" s="59">
        <f t="shared" si="102"/>
        <v>213.60182977243113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51.539066934650783</v>
      </c>
      <c r="FR95" s="21">
        <f>EXP(-LN(2)/25)*FR94+(1-EXP(-LN(2)/25))/(LN(2)/25)*Calculateur!FM95*Calculateur!FO95*VLOOKUP('Données projet'!$B$16,Paramètres!$A$1:$I$89,3,0)*0.475*44/12</f>
        <v>19.288273530346409</v>
      </c>
      <c r="FS95" s="21">
        <f>EXP(-LN(2)/2)*FS94+(1-EXP(-LN(2)/2))/(LN(2)/2)*FM95*FP95*VLOOKUP('Données projet'!$B$16,Paramètres!$A$1:$I$89,3,0)*0.475*44/12</f>
        <v>2.8915134788068063E-3</v>
      </c>
      <c r="FT95" s="22">
        <f t="shared" si="78"/>
        <v>70.830231978475993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</v>
      </c>
      <c r="N96" s="13">
        <f>IF('Données projet'!$A$36&gt;35,N95+M96-V95,IF(A96&lt;'Données projet'!$A$36,$K$205^A96,IF(A96='Données projet'!$A$36,'Données projet'!$B$36,N95+M96-V95)))</f>
        <v>320.00000000000011</v>
      </c>
      <c r="O96" s="13">
        <f>N96*VLOOKUP('Données projet'!$B$9,Paramètres!$A$1:$I$89,3,0)*VLOOKUP('Données projet'!$B$9,Paramètres!$A$1:$I$89,5,0)</f>
        <v>289.53600000000012</v>
      </c>
      <c r="P96" s="13">
        <f t="shared" si="87"/>
        <v>68.978295099044416</v>
      </c>
      <c r="Q96" s="20">
        <f t="shared" si="54"/>
        <v>624.41239729750248</v>
      </c>
      <c r="R96" s="59">
        <f t="shared" si="55"/>
        <v>917.74573063083585</v>
      </c>
      <c r="S96" s="59">
        <f ca="1">AVERAGE(OFFSET($R$3,0,0,'Données projet'!$E$9+1,1))-AVERAGE(OFFSET($H$3,0,0,'Données projet'!$E$9+1,1))</f>
        <v>458.37755197712164</v>
      </c>
      <c r="T96" s="59">
        <f t="shared" si="88"/>
        <v>278.21741231699917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39.797684728825303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39.797684728825303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</v>
      </c>
      <c r="AI96" s="13">
        <f>IF('Données projet'!$A$62&gt;35,AI95+AH96-AQ95,IF(A96&lt;'Données projet'!$A$62,$AF$205^A96,IF(A96='Données projet'!$A$62,'Données projet'!$B$62,AI95+AH96-AQ95)))</f>
        <v>320.00000000000011</v>
      </c>
      <c r="AJ96" s="13">
        <f>AI96*VLOOKUP('Données projet'!$B$10,Paramètres!$A$1:$I$89,3,0)*VLOOKUP('Données projet'!$B$10,Paramètres!$A$1:$I$89,5,0)</f>
        <v>324.48000000000013</v>
      </c>
      <c r="AK96" s="13">
        <f t="shared" si="89"/>
        <v>76.284749200165578</v>
      </c>
      <c r="AL96" s="20">
        <f t="shared" si="58"/>
        <v>697.99860485695535</v>
      </c>
      <c r="AM96" s="59">
        <f t="shared" si="59"/>
        <v>991.33193819028861</v>
      </c>
      <c r="AN96" s="59">
        <f ca="1">AVERAGE(OFFSET($AM$3,0,0,'Données projet'!$E$10+1,1))-AVERAGE(OFFSET($H$3,0,0,'Données projet'!$E$10+1,1))</f>
        <v>508.60701013958447</v>
      </c>
      <c r="AO96" s="59">
        <f t="shared" si="90"/>
        <v>306.61893266146654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44.600853575407669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44.600853575407669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-1.1368683772161603E-13</v>
      </c>
      <c r="BE96" s="13">
        <f>BD96*VLOOKUP('Données projet'!$B$11,Paramètres!$A$1:$I$89,3,0)*VLOOKUP('Données projet'!$B$11,Paramètres!$A$1:$I$89,5,0)</f>
        <v>-1.0818439477588981E-13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291.17074241052887</v>
      </c>
      <c r="BJ96" s="59">
        <f t="shared" si="92"/>
        <v>241.18285512887638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69.212837813515762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69.212837813515762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</v>
      </c>
      <c r="BY96" s="12">
        <f>IF('Données projet'!$A$114&gt;35,BY95+BX96-CG95,IF(A96&lt;'Données projet'!$A$114,$BV$205^A96,IF(A96='Données projet'!$A$114,'Données projet'!$B$114,BY95+BX96-CG95)))</f>
        <v>320.00000000000011</v>
      </c>
      <c r="BZ96" s="13">
        <f>BY96*VLOOKUP('Données projet'!$B$12,Paramètres!$A$1:$I$89,3,0)*VLOOKUP('Données projet'!$B$12,Paramètres!$A$1:$I$89,5,0)</f>
        <v>269.5680000000001</v>
      </c>
      <c r="CA96" s="13">
        <f t="shared" si="93"/>
        <v>64.757579442439862</v>
      </c>
      <c r="CB96" s="20">
        <f t="shared" si="64"/>
        <v>582.28371752891621</v>
      </c>
      <c r="CC96" s="59">
        <f t="shared" si="65"/>
        <v>875.61705086224947</v>
      </c>
      <c r="CD96" s="59">
        <f ca="1">AVERAGE(OFFSET($CC$3,0,0,'Données projet'!$E$12+1,1))-AVERAGE(OFFSET($H$3,0,0,'Données projet'!$E$12+1,1))</f>
        <v>429.61977776013185</v>
      </c>
      <c r="CE96" s="59">
        <f t="shared" si="94"/>
        <v>261.95434270986385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37.053016816492537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37.053016816492537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-1.7053025658242404E-13</v>
      </c>
      <c r="CU96" s="17">
        <f>CT96*VLOOKUP('Données projet'!$B$13,Paramètres!$A$1:$I$89,3,0)*VLOOKUP('Données projet'!$B$13,Paramètres!$A$1:$I$89,5,0)</f>
        <v>-1.1173142411280423E-13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255.09913504736693</v>
      </c>
      <c r="CZ96" s="59">
        <f t="shared" si="96"/>
        <v>248.42617382406644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47.050366242809226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47.050366242809226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2.8</v>
      </c>
      <c r="DO96" s="12">
        <f>IF('Données projet'!$A$166&gt;35,DO95+DN96-DW95,IF(A96&lt;'Données projet'!$A$166,$DL$205^A96,IF(A96='Données projet'!$A$166,'Données projet'!$B$166,DO95+DN96-DW95)))</f>
        <v>262.39999999999986</v>
      </c>
      <c r="DP96" s="17">
        <f>DO96*VLOOKUP('Données projet'!$B$14,Paramètres!$A$1:$I$89,3,0)*VLOOKUP('Données projet'!$B$14,Paramètres!$A$1:$I$89,5,0)</f>
        <v>298.82111999999984</v>
      </c>
      <c r="DQ96" s="13">
        <f t="shared" si="97"/>
        <v>70.929268342328783</v>
      </c>
      <c r="DR96" s="20">
        <f t="shared" si="70"/>
        <v>643.98192636288888</v>
      </c>
      <c r="DS96" s="59">
        <f t="shared" si="71"/>
        <v>937.31525969622226</v>
      </c>
      <c r="DT96" s="59">
        <f ca="1">AVERAGE(OFFSET($DS$3,0,0,'Données projet'!$E$14+1,1))-AVERAGE(OFFSET($H$3,0,0,'Données projet'!$E$14+1,1))</f>
        <v>459.67331926893809</v>
      </c>
      <c r="DU96" s="59">
        <f t="shared" si="98"/>
        <v>280.33242658375497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35.890473717951082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35.890473717951082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264.08053957457469</v>
      </c>
      <c r="EP96" s="59">
        <f t="shared" si="100"/>
        <v>284.83300065761051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84.29837225250813</v>
      </c>
      <c r="EW96" s="21">
        <f>EXP(-LN(2)/25)*EW95+(1-EXP(-LN(2)/25))/(LN(2)/25)*Calculateur!ER96*Calculateur!ET96*VLOOKUP('Données projet'!$B$15,Paramètres!$A$1:$I$89,3,0)*0.475*44/12</f>
        <v>8.4601341606823759</v>
      </c>
      <c r="EX96" s="21">
        <f>EXP(-LN(2)/2)*EX95+(1-EXP(-LN(2)/2))/(LN(2)/2)*ER96*EU96*VLOOKUP('Données projet'!$B$15,Paramètres!$A$1:$I$89,3,0)*0.475*44/12</f>
        <v>6.5114435185732516E-4</v>
      </c>
      <c r="EY96" s="22">
        <f t="shared" si="75"/>
        <v>92.759157557542366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166.27444639635013</v>
      </c>
      <c r="FK96" s="59">
        <f t="shared" si="102"/>
        <v>213.60182977243113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50.528417267789095</v>
      </c>
      <c r="FR96" s="21">
        <f>EXP(-LN(2)/25)*FR95+(1-EXP(-LN(2)/25))/(LN(2)/25)*Calculateur!FM96*Calculateur!FO96*VLOOKUP('Données projet'!$B$16,Paramètres!$A$1:$I$89,3,0)*0.475*44/12</f>
        <v>18.760834676332866</v>
      </c>
      <c r="FS96" s="21">
        <f>EXP(-LN(2)/2)*FS95+(1-EXP(-LN(2)/2))/(LN(2)/2)*FM96*FP96*VLOOKUP('Données projet'!$B$16,Paramètres!$A$1:$I$89,3,0)*0.475*44/12</f>
        <v>2.0446087887565972E-3</v>
      </c>
      <c r="FT96" s="22">
        <f t="shared" si="78"/>
        <v>69.291296552910708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</v>
      </c>
      <c r="N97" s="13">
        <f>IF('Données projet'!$A$36&gt;35,N96+M97-V96,IF(A97&lt;'Données projet'!$A$36,$K$205^A97,IF(A97='Données projet'!$A$36,'Données projet'!$B$36,N96+M97-V96)))</f>
        <v>326.00000000000011</v>
      </c>
      <c r="O97" s="13">
        <f>N97*VLOOKUP('Données projet'!$B$9,Paramètres!$A$1:$I$89,3,0)*VLOOKUP('Données projet'!$B$9,Paramètres!$A$1:$I$89,5,0)</f>
        <v>294.96480000000008</v>
      </c>
      <c r="P97" s="13">
        <f t="shared" si="87"/>
        <v>70.119854541045001</v>
      </c>
      <c r="Q97" s="20">
        <f t="shared" si="54"/>
        <v>635.85577332565356</v>
      </c>
      <c r="R97" s="59">
        <f t="shared" si="55"/>
        <v>929.18910665898693</v>
      </c>
      <c r="S97" s="59">
        <f ca="1">AVERAGE(OFFSET($R$3,0,0,'Données projet'!$E$9+1,1))-AVERAGE(OFFSET($H$3,0,0,'Données projet'!$E$9+1,1))</f>
        <v>458.37755197712164</v>
      </c>
      <c r="T97" s="59">
        <f t="shared" si="88"/>
        <v>278.21741231699917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39.017276405483848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39.017276405483848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</v>
      </c>
      <c r="AI97" s="13">
        <f>IF('Données projet'!$A$62&gt;35,AI96+AH97-AQ96,IF(A97&lt;'Données projet'!$A$62,$AF$205^A97,IF(A97='Données projet'!$A$62,'Données projet'!$B$62,AI96+AH97-AQ96)))</f>
        <v>326.00000000000011</v>
      </c>
      <c r="AJ97" s="13">
        <f>AI97*VLOOKUP('Données projet'!$B$10,Paramètres!$A$1:$I$89,3,0)*VLOOKUP('Données projet'!$B$10,Paramètres!$A$1:$I$89,5,0)</f>
        <v>330.56400000000014</v>
      </c>
      <c r="AK97" s="13">
        <f t="shared" si="89"/>
        <v>77.547227137682924</v>
      </c>
      <c r="AL97" s="20">
        <f t="shared" si="58"/>
        <v>710.79372059813124</v>
      </c>
      <c r="AM97" s="59">
        <f t="shared" si="59"/>
        <v>1004.1270539314646</v>
      </c>
      <c r="AN97" s="59">
        <f ca="1">AVERAGE(OFFSET($AM$3,0,0,'Données projet'!$E$10+1,1))-AVERAGE(OFFSET($H$3,0,0,'Données projet'!$E$10+1,1))</f>
        <v>508.60701013958447</v>
      </c>
      <c r="AO97" s="59">
        <f t="shared" si="90"/>
        <v>306.61893266146654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43.726258040628451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43.726258040628451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-1.1368683772161603E-13</v>
      </c>
      <c r="BE97" s="13">
        <f>BD97*VLOOKUP('Données projet'!$B$11,Paramètres!$A$1:$I$89,3,0)*VLOOKUP('Données projet'!$B$11,Paramètres!$A$1:$I$89,5,0)</f>
        <v>-1.0818439477588981E-13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291.17074241052887</v>
      </c>
      <c r="BJ97" s="59">
        <f t="shared" si="92"/>
        <v>241.18285512887638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67.855616279655337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67.855616279655337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6</v>
      </c>
      <c r="BY97" s="12">
        <f>IF('Données projet'!$A$114&gt;35,BY96+BX97-CG96,IF(A97&lt;'Données projet'!$A$114,$BV$205^A97,IF(A97='Données projet'!$A$114,'Données projet'!$B$114,BY96+BX97-CG96)))</f>
        <v>326.00000000000011</v>
      </c>
      <c r="BZ97" s="13">
        <f>BY97*VLOOKUP('Données projet'!$B$12,Paramètres!$A$1:$I$89,3,0)*VLOOKUP('Données projet'!$B$12,Paramètres!$A$1:$I$89,5,0)</f>
        <v>274.62240000000014</v>
      </c>
      <c r="CA97" s="13">
        <f t="shared" si="93"/>
        <v>65.829287958103762</v>
      </c>
      <c r="CB97" s="20">
        <f t="shared" si="64"/>
        <v>592.95335652703091</v>
      </c>
      <c r="CC97" s="59">
        <f t="shared" si="65"/>
        <v>886.28668986036428</v>
      </c>
      <c r="CD97" s="59">
        <f ca="1">AVERAGE(OFFSET($CC$3,0,0,'Données projet'!$E$12+1,1))-AVERAGE(OFFSET($H$3,0,0,'Données projet'!$E$12+1,1))</f>
        <v>429.61977776013185</v>
      </c>
      <c r="CE97" s="59">
        <f t="shared" si="94"/>
        <v>261.95434270986385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36.326429756829803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36.326429756829803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-1.7053025658242404E-13</v>
      </c>
      <c r="CU97" s="17">
        <f>CT97*VLOOKUP('Données projet'!$B$13,Paramètres!$A$1:$I$89,3,0)*VLOOKUP('Données projet'!$B$13,Paramètres!$A$1:$I$89,5,0)</f>
        <v>-1.1173142411280423E-13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255.09913504736693</v>
      </c>
      <c r="CZ97" s="59">
        <f t="shared" si="96"/>
        <v>248.42617382406644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46.127737258677463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46.127737258677463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2.8</v>
      </c>
      <c r="DO97" s="12">
        <f>IF('Données projet'!$A$166&gt;35,DO96+DN97-DW96,IF(A97&lt;'Données projet'!$A$166,$DL$205^A97,IF(A97='Données projet'!$A$166,'Données projet'!$B$166,DO96+DN97-DW96)))</f>
        <v>265.19999999999987</v>
      </c>
      <c r="DP97" s="17">
        <f>DO97*VLOOKUP('Données projet'!$B$14,Paramètres!$A$1:$I$89,3,0)*VLOOKUP('Données projet'!$B$14,Paramètres!$A$1:$I$89,5,0)</f>
        <v>302.00975999999986</v>
      </c>
      <c r="DQ97" s="13">
        <f t="shared" si="97"/>
        <v>71.597622504471275</v>
      </c>
      <c r="DR97" s="20">
        <f t="shared" si="70"/>
        <v>650.6995245286206</v>
      </c>
      <c r="DS97" s="59">
        <f t="shared" si="71"/>
        <v>944.03285786195397</v>
      </c>
      <c r="DT97" s="59">
        <f ca="1">AVERAGE(OFFSET($DS$3,0,0,'Données projet'!$E$14+1,1))-AVERAGE(OFFSET($H$3,0,0,'Données projet'!$E$14+1,1))</f>
        <v>459.67331926893809</v>
      </c>
      <c r="DU97" s="59">
        <f t="shared" si="98"/>
        <v>280.33242658375497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35.186683419369473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35.186683419369473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264.08053957457469</v>
      </c>
      <c r="EP97" s="59">
        <f t="shared" si="100"/>
        <v>284.83300065761051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82.645332589566522</v>
      </c>
      <c r="EW97" s="21">
        <f>EXP(-LN(2)/25)*EW96+(1-EXP(-LN(2)/25))/(LN(2)/25)*Calculateur!ER97*Calculateur!ET97*VLOOKUP('Données projet'!$B$15,Paramètres!$A$1:$I$89,3,0)*0.475*44/12</f>
        <v>8.2287913471593974</v>
      </c>
      <c r="EX97" s="21">
        <f>EXP(-LN(2)/2)*EX96+(1-EXP(-LN(2)/2))/(LN(2)/2)*ER97*EU97*VLOOKUP('Données projet'!$B$15,Paramètres!$A$1:$I$89,3,0)*0.475*44/12</f>
        <v>4.6042858672963398E-4</v>
      </c>
      <c r="EY97" s="22">
        <f t="shared" si="75"/>
        <v>90.874584365312657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166.27444639635013</v>
      </c>
      <c r="FK97" s="59">
        <f t="shared" si="102"/>
        <v>213.60182977243113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49.537585824459129</v>
      </c>
      <c r="FR97" s="21">
        <f>EXP(-LN(2)/25)*FR96+(1-EXP(-LN(2)/25))/(LN(2)/25)*Calculateur!FM97*Calculateur!FO97*VLOOKUP('Données projet'!$B$16,Paramètres!$A$1:$I$89,3,0)*0.475*44/12</f>
        <v>18.247818665519127</v>
      </c>
      <c r="FS97" s="21">
        <f>EXP(-LN(2)/2)*FS96+(1-EXP(-LN(2)/2))/(LN(2)/2)*FM97*FP97*VLOOKUP('Données projet'!$B$16,Paramètres!$A$1:$I$89,3,0)*0.475*44/12</f>
        <v>1.4457567394034032E-3</v>
      </c>
      <c r="FT97" s="22">
        <f t="shared" si="78"/>
        <v>67.786850246717648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6</v>
      </c>
      <c r="N98" s="13">
        <f>IF('Données projet'!$A$36&gt;35,N97+M98-V97,IF(A98&lt;'Données projet'!$A$36,$K$205^A98,IF(A98='Données projet'!$A$36,'Données projet'!$B$36,N97+M98-V97)))</f>
        <v>332.00000000000011</v>
      </c>
      <c r="O98" s="13">
        <f>N98*VLOOKUP('Données projet'!$B$9,Paramètres!$A$1:$I$89,3,0)*VLOOKUP('Données projet'!$B$9,Paramètres!$A$1:$I$89,5,0)</f>
        <v>300.39360000000011</v>
      </c>
      <c r="P98" s="13">
        <f t="shared" si="87"/>
        <v>71.258970856492738</v>
      </c>
      <c r="Q98" s="20">
        <f t="shared" si="54"/>
        <v>647.29489424172505</v>
      </c>
      <c r="R98" s="59">
        <f t="shared" si="55"/>
        <v>940.62822757505842</v>
      </c>
      <c r="S98" s="59">
        <f ca="1">AVERAGE(OFFSET($R$3,0,0,'Données projet'!$E$9+1,1))-AVERAGE(OFFSET($H$3,0,0,'Données projet'!$E$9+1,1))</f>
        <v>458.37755197712164</v>
      </c>
      <c r="T98" s="59">
        <f t="shared" si="88"/>
        <v>278.21741231699917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38.25217141336104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38.25217141336104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</v>
      </c>
      <c r="AI98" s="13">
        <f>IF('Données projet'!$A$62&gt;35,AI97+AH98-AQ97,IF(A98&lt;'Données projet'!$A$62,$AF$205^A98,IF(A98='Données projet'!$A$62,'Données projet'!$B$62,AI97+AH98-AQ97)))</f>
        <v>332.00000000000011</v>
      </c>
      <c r="AJ98" s="13">
        <f>AI98*VLOOKUP('Données projet'!$B$10,Paramètres!$A$1:$I$89,3,0)*VLOOKUP('Données projet'!$B$10,Paramètres!$A$1:$I$89,5,0)</f>
        <v>336.64800000000014</v>
      </c>
      <c r="AK98" s="13">
        <f t="shared" si="89"/>
        <v>78.807003163010378</v>
      </c>
      <c r="AL98" s="20">
        <f t="shared" si="58"/>
        <v>723.58413050891011</v>
      </c>
      <c r="AM98" s="59">
        <f t="shared" si="59"/>
        <v>1016.9174638422435</v>
      </c>
      <c r="AN98" s="59">
        <f ca="1">AVERAGE(OFFSET($AM$3,0,0,'Données projet'!$E$10+1,1))-AVERAGE(OFFSET($H$3,0,0,'Données projet'!$E$10+1,1))</f>
        <v>508.60701013958447</v>
      </c>
      <c r="AO98" s="59">
        <f t="shared" si="90"/>
        <v>306.61893266146654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42.868812790835648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42.868812790835648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-1.1368683772161603E-13</v>
      </c>
      <c r="BE98" s="13">
        <f>BD98*VLOOKUP('Données projet'!$B$11,Paramètres!$A$1:$I$89,3,0)*VLOOKUP('Données projet'!$B$11,Paramètres!$A$1:$I$89,5,0)</f>
        <v>-1.0818439477588981E-13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291.17074241052887</v>
      </c>
      <c r="BJ98" s="59">
        <f t="shared" si="92"/>
        <v>241.18285512887638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66.525009032250523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66.525009032250523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6</v>
      </c>
      <c r="BY98" s="12">
        <f>IF('Données projet'!$A$114&gt;35,BY97+BX98-CG97,IF(A98&lt;'Données projet'!$A$114,$BV$205^A98,IF(A98='Données projet'!$A$114,'Données projet'!$B$114,BY97+BX98-CG97)))</f>
        <v>332.00000000000011</v>
      </c>
      <c r="BZ98" s="13">
        <f>BY98*VLOOKUP('Données projet'!$B$12,Paramètres!$A$1:$I$89,3,0)*VLOOKUP('Données projet'!$B$12,Paramètres!$A$1:$I$89,5,0)</f>
        <v>279.67680000000013</v>
      </c>
      <c r="CA98" s="13">
        <f t="shared" si="93"/>
        <v>66.898702839783098</v>
      </c>
      <c r="CB98" s="20">
        <f t="shared" si="64"/>
        <v>603.61900077928908</v>
      </c>
      <c r="CC98" s="59">
        <f t="shared" si="65"/>
        <v>896.95233411262234</v>
      </c>
      <c r="CD98" s="59">
        <f ca="1">AVERAGE(OFFSET($CC$3,0,0,'Données projet'!$E$12+1,1))-AVERAGE(OFFSET($H$3,0,0,'Données projet'!$E$12+1,1))</f>
        <v>429.61977776013185</v>
      </c>
      <c r="CE98" s="59">
        <f t="shared" si="94"/>
        <v>261.95434270986385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35.614090626232709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35.614090626232709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-1.7053025658242404E-13</v>
      </c>
      <c r="CU98" s="17">
        <f>CT98*VLOOKUP('Données projet'!$B$13,Paramètres!$A$1:$I$89,3,0)*VLOOKUP('Données projet'!$B$13,Paramètres!$A$1:$I$89,5,0)</f>
        <v>-1.1173142411280423E-13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255.09913504736693</v>
      </c>
      <c r="CZ98" s="59">
        <f t="shared" si="96"/>
        <v>248.42617382406644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45.223200466176408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45.223200466176408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2.8</v>
      </c>
      <c r="DO98" s="12">
        <f>IF('Données projet'!$A$166&gt;35,DO97+DN98-DW97,IF(A98&lt;'Données projet'!$A$166,$DL$205^A98,IF(A98='Données projet'!$A$166,'Données projet'!$B$166,DO97+DN98-DW97)))</f>
        <v>267.99999999999989</v>
      </c>
      <c r="DP98" s="17">
        <f>DO98*VLOOKUP('Données projet'!$B$14,Paramètres!$A$1:$I$89,3,0)*VLOOKUP('Données projet'!$B$14,Paramètres!$A$1:$I$89,5,0)</f>
        <v>305.19839999999988</v>
      </c>
      <c r="DQ98" s="13">
        <f t="shared" si="97"/>
        <v>72.265155774951779</v>
      </c>
      <c r="DR98" s="20">
        <f t="shared" si="70"/>
        <v>657.41569297470744</v>
      </c>
      <c r="DS98" s="59">
        <f t="shared" si="71"/>
        <v>950.74902630804081</v>
      </c>
      <c r="DT98" s="59">
        <f ca="1">AVERAGE(OFFSET($DS$3,0,0,'Données projet'!$E$14+1,1))-AVERAGE(OFFSET($H$3,0,0,'Données projet'!$E$14+1,1))</f>
        <v>459.67331926893809</v>
      </c>
      <c r="DU98" s="59">
        <f t="shared" si="98"/>
        <v>280.33242658375497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34.496694019273349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34.496694019273349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264.08053957457469</v>
      </c>
      <c r="EP98" s="59">
        <f t="shared" si="100"/>
        <v>284.83300065761051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81.024708026160553</v>
      </c>
      <c r="EW98" s="21">
        <f>EXP(-LN(2)/25)*EW97+(1-EXP(-LN(2)/25))/(LN(2)/25)*Calculateur!ER98*Calculateur!ET98*VLOOKUP('Données projet'!$B$15,Paramètres!$A$1:$I$89,3,0)*0.475*44/12</f>
        <v>8.0037746150379938</v>
      </c>
      <c r="EX98" s="21">
        <f>EXP(-LN(2)/2)*EX97+(1-EXP(-LN(2)/2))/(LN(2)/2)*ER98*EU98*VLOOKUP('Données projet'!$B$15,Paramètres!$A$1:$I$89,3,0)*0.475*44/12</f>
        <v>3.2557217592866264E-4</v>
      </c>
      <c r="EY98" s="22">
        <f t="shared" si="75"/>
        <v>89.028808213374475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166.27444639635013</v>
      </c>
      <c r="FK98" s="59">
        <f t="shared" si="102"/>
        <v>213.60182977243113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48.566183981385358</v>
      </c>
      <c r="FR98" s="21">
        <f>EXP(-LN(2)/25)*FR97+(1-EXP(-LN(2)/25))/(LN(2)/25)*Calculateur!FM98*Calculateur!FO98*VLOOKUP('Données projet'!$B$16,Paramètres!$A$1:$I$89,3,0)*0.475*44/12</f>
        <v>17.748831104499427</v>
      </c>
      <c r="FS98" s="21">
        <f>EXP(-LN(2)/2)*FS97+(1-EXP(-LN(2)/2))/(LN(2)/2)*FM98*FP98*VLOOKUP('Données projet'!$B$16,Paramètres!$A$1:$I$89,3,0)*0.475*44/12</f>
        <v>1.0223043943782986E-3</v>
      </c>
      <c r="FT98" s="22">
        <f t="shared" si="78"/>
        <v>66.316037390279163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6</v>
      </c>
      <c r="N99" s="13">
        <f>IF('Données projet'!$A$36&gt;35,N98+M99-V98,IF(A99&lt;'Données projet'!$A$36,$K$205^A99,IF(A99='Données projet'!$A$36,'Données projet'!$B$36,N98+M99-V98)))</f>
        <v>338.00000000000011</v>
      </c>
      <c r="O99" s="13">
        <f>N99*VLOOKUP('Données projet'!$B$9,Paramètres!$A$1:$I$89,3,0)*VLOOKUP('Données projet'!$B$9,Paramètres!$A$1:$I$89,5,0)</f>
        <v>305.82240000000007</v>
      </c>
      <c r="P99" s="13">
        <f t="shared" si="87"/>
        <v>72.395693291268941</v>
      </c>
      <c r="Q99" s="20">
        <f t="shared" ref="Q99:Q130" si="107">(O99+P99)*0.475*44/12</f>
        <v>658.72984581562685</v>
      </c>
      <c r="R99" s="59">
        <f t="shared" si="55"/>
        <v>952.06317914896022</v>
      </c>
      <c r="S99" s="59">
        <f ca="1">AVERAGE(OFFSET($R$3,0,0,'Données projet'!$E$9+1,1))-AVERAGE(OFFSET($H$3,0,0,'Données projet'!$E$9+1,1))</f>
        <v>458.37755197712164</v>
      </c>
      <c r="T99" s="59">
        <f t="shared" si="88"/>
        <v>278.21741231699917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37.502069663465797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37.502069663465797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</v>
      </c>
      <c r="AI99" s="13">
        <f>IF('Données projet'!$A$62&gt;35,AI98+AH99-AQ98,IF(A99&lt;'Données projet'!$A$62,$AF$205^A99,IF(A99='Données projet'!$A$62,'Données projet'!$B$62,AI98+AH99-AQ98)))</f>
        <v>338.00000000000011</v>
      </c>
      <c r="AJ99" s="13">
        <f>AI99*VLOOKUP('Données projet'!$B$10,Paramètres!$A$1:$I$89,3,0)*VLOOKUP('Données projet'!$B$10,Paramètres!$A$1:$I$89,5,0)</f>
        <v>342.73200000000014</v>
      </c>
      <c r="AK99" s="13">
        <f t="shared" si="89"/>
        <v>80.064131738348422</v>
      </c>
      <c r="AL99" s="20">
        <f t="shared" si="58"/>
        <v>736.36992944429028</v>
      </c>
      <c r="AM99" s="59">
        <f t="shared" si="59"/>
        <v>1029.7032627776236</v>
      </c>
      <c r="AN99" s="59">
        <f ca="1">AVERAGE(OFFSET($AM$3,0,0,'Données projet'!$E$10+1,1))-AVERAGE(OFFSET($H$3,0,0,'Données projet'!$E$10+1,1))</f>
        <v>508.60701013958447</v>
      </c>
      <c r="AO99" s="59">
        <f t="shared" si="90"/>
        <v>306.61893266146654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42.028181519401322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42.028181519401322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-1.1368683772161603E-13</v>
      </c>
      <c r="BE99" s="13">
        <f>BD99*VLOOKUP('Données projet'!$B$11,Paramètres!$A$1:$I$89,3,0)*VLOOKUP('Données projet'!$B$11,Paramètres!$A$1:$I$89,5,0)</f>
        <v>-1.0818439477588981E-13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291.17074241052887</v>
      </c>
      <c r="BJ99" s="59">
        <f t="shared" si="92"/>
        <v>241.18285512887638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65.220494181377035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65.220494181377035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6</v>
      </c>
      <c r="BY99" s="12">
        <f>IF('Données projet'!$A$114&gt;35,BY98+BX99-CG98,IF(A99&lt;'Données projet'!$A$114,$BV$205^A99,IF(A99='Données projet'!$A$114,'Données projet'!$B$114,BY98+BX99-CG98)))</f>
        <v>338.00000000000011</v>
      </c>
      <c r="BZ99" s="13">
        <f>BY99*VLOOKUP('Données projet'!$B$12,Paramètres!$A$1:$I$89,3,0)*VLOOKUP('Données projet'!$B$12,Paramètres!$A$1:$I$89,5,0)</f>
        <v>284.73120000000011</v>
      </c>
      <c r="CA99" s="13">
        <f t="shared" si="93"/>
        <v>67.96587032005101</v>
      </c>
      <c r="CB99" s="20">
        <f t="shared" si="64"/>
        <v>614.2807308074224</v>
      </c>
      <c r="CC99" s="59">
        <f t="shared" si="65"/>
        <v>907.61406414075577</v>
      </c>
      <c r="CD99" s="59">
        <f ca="1">AVERAGE(OFFSET($CC$3,0,0,'Données projet'!$E$12+1,1))-AVERAGE(OFFSET($H$3,0,0,'Données projet'!$E$12+1,1))</f>
        <v>429.61977776013185</v>
      </c>
      <c r="CE99" s="59">
        <f t="shared" si="94"/>
        <v>261.95434270986385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34.915720031502651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34.915720031502651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-1.7053025658242404E-13</v>
      </c>
      <c r="CU99" s="17">
        <f>CT99*VLOOKUP('Données projet'!$B$13,Paramètres!$A$1:$I$89,3,0)*VLOOKUP('Données projet'!$B$13,Paramètres!$A$1:$I$89,5,0)</f>
        <v>-1.1173142411280423E-13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255.09913504736693</v>
      </c>
      <c r="CZ99" s="59">
        <f t="shared" si="96"/>
        <v>248.42617382406644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44.336401088463333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44.336401088463333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2.8</v>
      </c>
      <c r="DO99" s="12">
        <f>IF('Données projet'!$A$166&gt;35,DO98+DN99-DW98,IF(A99&lt;'Données projet'!$A$166,$DL$205^A99,IF(A99='Données projet'!$A$166,'Données projet'!$B$166,DO98+DN99-DW98)))</f>
        <v>270.7999999999999</v>
      </c>
      <c r="DP99" s="17">
        <f>DO99*VLOOKUP('Données projet'!$B$14,Paramètres!$A$1:$I$89,3,0)*VLOOKUP('Données projet'!$B$14,Paramètres!$A$1:$I$89,5,0)</f>
        <v>308.3870399999999</v>
      </c>
      <c r="DQ99" s="13">
        <f t="shared" si="97"/>
        <v>72.931877723082849</v>
      </c>
      <c r="DR99" s="20">
        <f t="shared" si="70"/>
        <v>664.13044836770234</v>
      </c>
      <c r="DS99" s="59">
        <f t="shared" si="71"/>
        <v>957.46378170103571</v>
      </c>
      <c r="DT99" s="59">
        <f ca="1">AVERAGE(OFFSET($DS$3,0,0,'Données projet'!$E$14+1,1))-AVERAGE(OFFSET($H$3,0,0,'Données projet'!$E$14+1,1))</f>
        <v>459.67331926893809</v>
      </c>
      <c r="DU99" s="59">
        <f t="shared" si="98"/>
        <v>280.33242658375497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33.82023489046113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33.82023489046113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264.08053957457469</v>
      </c>
      <c r="EP99" s="59">
        <f t="shared" si="100"/>
        <v>284.83300065761051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79.435862921959597</v>
      </c>
      <c r="EW99" s="21">
        <f>EXP(-LN(2)/25)*EW98+(1-EXP(-LN(2)/25))/(LN(2)/25)*Calculateur!ER99*Calculateur!ET99*VLOOKUP('Données projet'!$B$15,Paramètres!$A$1:$I$89,3,0)*0.475*44/12</f>
        <v>7.7849109772895657</v>
      </c>
      <c r="EX99" s="21">
        <f>EXP(-LN(2)/2)*EX98+(1-EXP(-LN(2)/2))/(LN(2)/2)*ER99*EU99*VLOOKUP('Données projet'!$B$15,Paramètres!$A$1:$I$89,3,0)*0.475*44/12</f>
        <v>2.3021429336481702E-4</v>
      </c>
      <c r="EY99" s="22">
        <f t="shared" si="75"/>
        <v>87.221004113542534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166.27444639635013</v>
      </c>
      <c r="FK99" s="59">
        <f t="shared" si="102"/>
        <v>213.60182977243113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47.613830735957649</v>
      </c>
      <c r="FR99" s="21">
        <f>EXP(-LN(2)/25)*FR98+(1-EXP(-LN(2)/25))/(LN(2)/25)*Calculateur!FM99*Calculateur!FO99*VLOOKUP('Données projet'!$B$16,Paramètres!$A$1:$I$89,3,0)*0.475*44/12</f>
        <v>17.263488384576426</v>
      </c>
      <c r="FS99" s="21">
        <f>EXP(-LN(2)/2)*FS98+(1-EXP(-LN(2)/2))/(LN(2)/2)*FM99*FP99*VLOOKUP('Données projet'!$B$16,Paramètres!$A$1:$I$89,3,0)*0.475*44/12</f>
        <v>7.2287836970170158E-4</v>
      </c>
      <c r="FT99" s="22">
        <f t="shared" si="78"/>
        <v>64.878041998903782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6</v>
      </c>
      <c r="N100" s="13">
        <f>IF('Données projet'!$A$36&gt;35,N99+M100-V99,IF(A100&lt;'Données projet'!$A$36,$K$205^A100,IF(A100='Données projet'!$A$36,'Données projet'!$B$36,N99+M100-V99)))</f>
        <v>344.00000000000011</v>
      </c>
      <c r="O100" s="13">
        <f>N100*VLOOKUP('Données projet'!$B$9,Paramètres!$A$1:$I$89,3,0)*VLOOKUP('Données projet'!$B$9,Paramètres!$A$1:$I$89,5,0)</f>
        <v>311.2512000000001</v>
      </c>
      <c r="P100" s="13">
        <f t="shared" si="87"/>
        <v>73.530069242745114</v>
      </c>
      <c r="Q100" s="20">
        <f t="shared" si="107"/>
        <v>670.1607105977813</v>
      </c>
      <c r="R100" s="59">
        <f t="shared" si="55"/>
        <v>963.49404393111467</v>
      </c>
      <c r="S100" s="59">
        <f ca="1">AVERAGE(OFFSET($R$3,0,0,'Données projet'!$E$9+1,1))-AVERAGE(OFFSET($H$3,0,0,'Données projet'!$E$9+1,1))</f>
        <v>458.37755197712164</v>
      </c>
      <c r="T100" s="59">
        <f t="shared" si="88"/>
        <v>278.21741231699917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36.766676951369107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36.766676951369107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</v>
      </c>
      <c r="AI100" s="13">
        <f>IF('Données projet'!$A$62&gt;35,AI99+AH100-AQ99,IF(A100&lt;'Données projet'!$A$62,$AF$205^A100,IF(A100='Données projet'!$A$62,'Données projet'!$B$62,AI99+AH100-AQ99)))</f>
        <v>344.00000000000011</v>
      </c>
      <c r="AJ100" s="13">
        <f>AI100*VLOOKUP('Données projet'!$B$10,Paramètres!$A$1:$I$89,3,0)*VLOOKUP('Données projet'!$B$10,Paramètres!$A$1:$I$89,5,0)</f>
        <v>348.81600000000014</v>
      </c>
      <c r="AK100" s="13">
        <f t="shared" si="89"/>
        <v>81.318665281585453</v>
      </c>
      <c r="AL100" s="20">
        <f t="shared" si="58"/>
        <v>749.15120869876171</v>
      </c>
      <c r="AM100" s="59">
        <f t="shared" si="59"/>
        <v>1042.4845420320951</v>
      </c>
      <c r="AN100" s="59">
        <f ca="1">AVERAGE(OFFSET($AM$3,0,0,'Données projet'!$E$10+1,1))-AVERAGE(OFFSET($H$3,0,0,'Données projet'!$E$10+1,1))</f>
        <v>508.60701013958447</v>
      </c>
      <c r="AO100" s="59">
        <f t="shared" si="90"/>
        <v>306.61893266146654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41.204034514465377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41.204034514465377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-1.1368683772161603E-13</v>
      </c>
      <c r="BE100" s="13">
        <f>BD100*VLOOKUP('Données projet'!$B$11,Paramètres!$A$1:$I$89,3,0)*VLOOKUP('Données projet'!$B$11,Paramètres!$A$1:$I$89,5,0)</f>
        <v>-1.0818439477588981E-13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291.17074241052887</v>
      </c>
      <c r="BJ100" s="59">
        <f t="shared" si="92"/>
        <v>241.18285512887638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63.941560071053679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63.941560071053679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6</v>
      </c>
      <c r="BY100" s="12">
        <f>IF('Données projet'!$A$114&gt;35,BY99+BX100-CG99,IF(A100&lt;'Données projet'!$A$114,$BV$205^A100,IF(A100='Données projet'!$A$114,'Données projet'!$B$114,BY99+BX100-CG99)))</f>
        <v>344.00000000000011</v>
      </c>
      <c r="BZ100" s="13">
        <f>BY100*VLOOKUP('Données projet'!$B$12,Paramètres!$A$1:$I$89,3,0)*VLOOKUP('Données projet'!$B$12,Paramètres!$A$1:$I$89,5,0)</f>
        <v>289.7856000000001</v>
      </c>
      <c r="CA100" s="13">
        <f t="shared" si="93"/>
        <v>69.030834896079284</v>
      </c>
      <c r="CB100" s="20">
        <f t="shared" si="64"/>
        <v>624.93862411067153</v>
      </c>
      <c r="CC100" s="59">
        <f t="shared" si="65"/>
        <v>918.27195744400478</v>
      </c>
      <c r="CD100" s="59">
        <f ca="1">AVERAGE(OFFSET($CC$3,0,0,'Données projet'!$E$12+1,1))-AVERAGE(OFFSET($H$3,0,0,'Données projet'!$E$12+1,1))</f>
        <v>429.61977776013185</v>
      </c>
      <c r="CE100" s="59">
        <f t="shared" si="94"/>
        <v>261.95434270986385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34.23104405817125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34.23104405817125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-1.7053025658242404E-13</v>
      </c>
      <c r="CU100" s="17">
        <f>CT100*VLOOKUP('Données projet'!$B$13,Paramètres!$A$1:$I$89,3,0)*VLOOKUP('Données projet'!$B$13,Paramètres!$A$1:$I$89,5,0)</f>
        <v>-1.1173142411280423E-13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255.09913504736693</v>
      </c>
      <c r="CZ100" s="59">
        <f t="shared" si="96"/>
        <v>248.42617382406644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43.466991305653004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43.466991305653004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2.8</v>
      </c>
      <c r="DO100" s="12">
        <f>IF('Données projet'!$A$166&gt;35,DO99+DN100-DW99,IF(A100&lt;'Données projet'!$A$166,$DL$205^A100,IF(A100='Données projet'!$A$166,'Données projet'!$B$166,DO99+DN100-DW99)))</f>
        <v>273.59999999999991</v>
      </c>
      <c r="DP100" s="17">
        <f>DO100*VLOOKUP('Données projet'!$B$14,Paramètres!$A$1:$I$89,3,0)*VLOOKUP('Données projet'!$B$14,Paramètres!$A$1:$I$89,5,0)</f>
        <v>311.57567999999986</v>
      </c>
      <c r="DQ100" s="13">
        <f t="shared" si="97"/>
        <v>73.597797708886347</v>
      </c>
      <c r="DR100" s="20">
        <f t="shared" si="70"/>
        <v>670.84380700964346</v>
      </c>
      <c r="DS100" s="59">
        <f t="shared" si="71"/>
        <v>964.17714034297683</v>
      </c>
      <c r="DT100" s="59">
        <f ca="1">AVERAGE(OFFSET($DS$3,0,0,'Données projet'!$E$14+1,1))-AVERAGE(OFFSET($H$3,0,0,'Données projet'!$E$14+1,1))</f>
        <v>459.67331926893809</v>
      </c>
      <c r="DU100" s="59">
        <f t="shared" si="98"/>
        <v>280.33242658375497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33.157040712565596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33.157040712565596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264.08053957457469</v>
      </c>
      <c r="EP100" s="59">
        <f t="shared" si="100"/>
        <v>284.83300065761051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77.878174101152197</v>
      </c>
      <c r="EW100" s="21">
        <f>EXP(-LN(2)/25)*EW99+(1-EXP(-LN(2)/25))/(LN(2)/25)*Calculateur!ER100*Calculateur!ET100*VLOOKUP('Données projet'!$B$15,Paramètres!$A$1:$I$89,3,0)*0.475*44/12</f>
        <v>7.5720321772249068</v>
      </c>
      <c r="EX100" s="21">
        <f>EXP(-LN(2)/2)*EX99+(1-EXP(-LN(2)/2))/(LN(2)/2)*ER100*EU100*VLOOKUP('Données projet'!$B$15,Paramètres!$A$1:$I$89,3,0)*0.475*44/12</f>
        <v>1.6278608796433134E-4</v>
      </c>
      <c r="EY100" s="22">
        <f t="shared" si="75"/>
        <v>85.450369064465079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166.27444639635013</v>
      </c>
      <c r="FK100" s="59">
        <f t="shared" si="102"/>
        <v>213.60182977243113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46.680152556794653</v>
      </c>
      <c r="FR100" s="21">
        <f>EXP(-LN(2)/25)*FR99+(1-EXP(-LN(2)/25))/(LN(2)/25)*Calculateur!FM100*Calculateur!FO100*VLOOKUP('Données projet'!$B$16,Paramètres!$A$1:$I$89,3,0)*0.475*44/12</f>
        <v>16.791417386852785</v>
      </c>
      <c r="FS100" s="21">
        <f>EXP(-LN(2)/2)*FS99+(1-EXP(-LN(2)/2))/(LN(2)/2)*FM100*FP100*VLOOKUP('Données projet'!$B$16,Paramètres!$A$1:$I$89,3,0)*0.475*44/12</f>
        <v>5.111521971891493E-4</v>
      </c>
      <c r="FT100" s="22">
        <f t="shared" si="78"/>
        <v>63.472081095844629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6</v>
      </c>
      <c r="N101" s="13">
        <f>IF('Données projet'!$A$36&gt;35,N100+M101-V100,IF(A101&lt;'Données projet'!$A$36,$K$205^A101,IF(A101='Données projet'!$A$36,'Données projet'!$B$36,N100+M101-V100)))</f>
        <v>350.00000000000011</v>
      </c>
      <c r="O101" s="13">
        <f>N101*VLOOKUP('Données projet'!$B$9,Paramètres!$A$1:$I$89,3,0)*VLOOKUP('Données projet'!$B$9,Paramètres!$A$1:$I$89,5,0)</f>
        <v>316.68000000000012</v>
      </c>
      <c r="P101" s="13">
        <f t="shared" si="87"/>
        <v>74.662144360177763</v>
      </c>
      <c r="Q101" s="20">
        <f t="shared" si="107"/>
        <v>681.58756809397642</v>
      </c>
      <c r="R101" s="59">
        <f t="shared" si="55"/>
        <v>974.92090142730967</v>
      </c>
      <c r="S101" s="59">
        <f ca="1">AVERAGE(OFFSET($R$3,0,0,'Données projet'!$E$9+1,1))-AVERAGE(OFFSET($H$3,0,0,'Données projet'!$E$9+1,1))</f>
        <v>458.37755197712164</v>
      </c>
      <c r="T101" s="59">
        <f t="shared" si="88"/>
        <v>278.21741231699917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36.045704841811371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36.045704841811371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</v>
      </c>
      <c r="AI101" s="13">
        <f>IF('Données projet'!$A$62&gt;35,AI100+AH101-AQ100,IF(A101&lt;'Données projet'!$A$62,$AF$205^A101,IF(A101='Données projet'!$A$62,'Données projet'!$B$62,AI100+AH101-AQ100)))</f>
        <v>350.00000000000011</v>
      </c>
      <c r="AJ101" s="13">
        <f>AI101*VLOOKUP('Données projet'!$B$10,Paramètres!$A$1:$I$89,3,0)*VLOOKUP('Données projet'!$B$10,Paramètres!$A$1:$I$89,5,0)</f>
        <v>354.90000000000015</v>
      </c>
      <c r="AK101" s="13">
        <f t="shared" si="89"/>
        <v>82.570654277328188</v>
      </c>
      <c r="AL101" s="20">
        <f t="shared" si="58"/>
        <v>761.9280561996801</v>
      </c>
      <c r="AM101" s="59">
        <f t="shared" si="59"/>
        <v>1055.2613895330135</v>
      </c>
      <c r="AN101" s="59">
        <f ca="1">AVERAGE(OFFSET($AM$3,0,0,'Données projet'!$E$10+1,1))-AVERAGE(OFFSET($H$3,0,0,'Données projet'!$E$10+1,1))</f>
        <v>508.60701013958447</v>
      </c>
      <c r="AO101" s="59">
        <f t="shared" si="90"/>
        <v>306.61893266146654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40.396048529616188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40.396048529616188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-1.1368683772161603E-13</v>
      </c>
      <c r="BE101" s="13">
        <f>BD101*VLOOKUP('Données projet'!$B$11,Paramètres!$A$1:$I$89,3,0)*VLOOKUP('Données projet'!$B$11,Paramètres!$A$1:$I$89,5,0)</f>
        <v>-1.0818439477588981E-13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291.17074241052887</v>
      </c>
      <c r="BJ101" s="59">
        <f t="shared" si="92"/>
        <v>241.18285512887638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62.687705078560981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62.687705078560981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6</v>
      </c>
      <c r="BY101" s="12">
        <f>IF('Données projet'!$A$114&gt;35,BY100+BX101-CG100,IF(A101&lt;'Données projet'!$A$114,$BV$205^A101,IF(A101='Données projet'!$A$114,'Données projet'!$B$114,BY100+BX101-CG100)))</f>
        <v>350.00000000000011</v>
      </c>
      <c r="BZ101" s="13">
        <f>BY101*VLOOKUP('Données projet'!$B$12,Paramètres!$A$1:$I$89,3,0)*VLOOKUP('Données projet'!$B$12,Paramètres!$A$1:$I$89,5,0)</f>
        <v>294.84000000000015</v>
      </c>
      <c r="CA101" s="13">
        <f t="shared" si="93"/>
        <v>70.093639423890451</v>
      </c>
      <c r="CB101" s="20">
        <f t="shared" si="64"/>
        <v>635.59275532994275</v>
      </c>
      <c r="CC101" s="59">
        <f t="shared" si="65"/>
        <v>928.926088663276</v>
      </c>
      <c r="CD101" s="59">
        <f ca="1">AVERAGE(OFFSET($CC$3,0,0,'Données projet'!$E$12+1,1))-AVERAGE(OFFSET($H$3,0,0,'Données projet'!$E$12+1,1))</f>
        <v>429.61977776013185</v>
      </c>
      <c r="CE101" s="59">
        <f t="shared" si="94"/>
        <v>261.95434270986385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33.559794163065767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33.559794163065767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-1.7053025658242404E-13</v>
      </c>
      <c r="CU101" s="17">
        <f>CT101*VLOOKUP('Données projet'!$B$13,Paramètres!$A$1:$I$89,3,0)*VLOOKUP('Données projet'!$B$13,Paramètres!$A$1:$I$89,5,0)</f>
        <v>-1.1173142411280423E-13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255.09913504736693</v>
      </c>
      <c r="CZ101" s="59">
        <f t="shared" si="96"/>
        <v>248.42617382406644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42.614630118395979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42.614630118395979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2.8</v>
      </c>
      <c r="DO101" s="12">
        <f>IF('Données projet'!$A$166&gt;35,DO100+DN101-DW100,IF(A101&lt;'Données projet'!$A$166,$DL$205^A101,IF(A101='Données projet'!$A$166,'Données projet'!$B$166,DO100+DN101-DW100)))</f>
        <v>276.39999999999992</v>
      </c>
      <c r="DP101" s="17">
        <f>DO101*VLOOKUP('Données projet'!$B$14,Paramètres!$A$1:$I$89,3,0)*VLOOKUP('Données projet'!$B$14,Paramètres!$A$1:$I$89,5,0)</f>
        <v>314.76431999999988</v>
      </c>
      <c r="DQ101" s="13">
        <f t="shared" si="97"/>
        <v>74.262924889765188</v>
      </c>
      <c r="DR101" s="20">
        <f t="shared" si="70"/>
        <v>677.55578484967418</v>
      </c>
      <c r="DS101" s="59">
        <f t="shared" si="71"/>
        <v>970.88911818300744</v>
      </c>
      <c r="DT101" s="59">
        <f ca="1">AVERAGE(OFFSET($DS$3,0,0,'Données projet'!$E$14+1,1))-AVERAGE(OFFSET($H$3,0,0,'Données projet'!$E$14+1,1))</f>
        <v>459.67331926893809</v>
      </c>
      <c r="DU101" s="59">
        <f t="shared" si="98"/>
        <v>280.33242658375497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32.506851367990087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32.506851367990087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264.08053957457469</v>
      </c>
      <c r="EP101" s="59">
        <f t="shared" si="100"/>
        <v>284.83300065761051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76.351030608024473</v>
      </c>
      <c r="EW101" s="21">
        <f>EXP(-LN(2)/25)*EW100+(1-EXP(-LN(2)/25))/(LN(2)/25)*Calculateur!ER101*Calculateur!ET101*VLOOKUP('Données projet'!$B$15,Paramètres!$A$1:$I$89,3,0)*0.475*44/12</f>
        <v>7.3649745591428255</v>
      </c>
      <c r="EX101" s="21">
        <f>EXP(-LN(2)/2)*EX100+(1-EXP(-LN(2)/2))/(LN(2)/2)*ER101*EU101*VLOOKUP('Données projet'!$B$15,Paramètres!$A$1:$I$89,3,0)*0.475*44/12</f>
        <v>1.1510714668240852E-4</v>
      </c>
      <c r="EY101" s="22">
        <f t="shared" si="75"/>
        <v>83.71612027431398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166.27444639635013</v>
      </c>
      <c r="FK101" s="59">
        <f t="shared" si="102"/>
        <v>213.60182977243113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45.764783237237587</v>
      </c>
      <c r="FR101" s="21">
        <f>EXP(-LN(2)/25)*FR100+(1-EXP(-LN(2)/25))/(LN(2)/25)*Calculateur!FM101*Calculateur!FO101*VLOOKUP('Données projet'!$B$16,Paramètres!$A$1:$I$89,3,0)*0.475*44/12</f>
        <v>16.332255195387035</v>
      </c>
      <c r="FS101" s="21">
        <f>EXP(-LN(2)/2)*FS100+(1-EXP(-LN(2)/2))/(LN(2)/2)*FM101*FP101*VLOOKUP('Données projet'!$B$16,Paramètres!$A$1:$I$89,3,0)*0.475*44/12</f>
        <v>3.6143918485085079E-4</v>
      </c>
      <c r="FT101" s="22">
        <f t="shared" si="78"/>
        <v>62.097399871809472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6</v>
      </c>
      <c r="N102" s="13">
        <f>IF('Données projet'!$A$36&gt;35,N101+M102-V101,IF(A102&lt;'Données projet'!$A$36,$K$205^A102,IF(A102='Données projet'!$A$36,'Données projet'!$B$36,N101+M102-V101)))</f>
        <v>356.00000000000011</v>
      </c>
      <c r="O102" s="13">
        <f>N102*VLOOKUP('Données projet'!$B$9,Paramètres!$A$1:$I$89,3,0)*VLOOKUP('Données projet'!$B$9,Paramètres!$A$1:$I$89,5,0)</f>
        <v>322.10880000000009</v>
      </c>
      <c r="P102" s="13">
        <f t="shared" si="87"/>
        <v>75.791962638025339</v>
      </c>
      <c r="Q102" s="20">
        <f t="shared" si="107"/>
        <v>693.01049492789423</v>
      </c>
      <c r="R102" s="59">
        <f t="shared" si="55"/>
        <v>986.3438282612276</v>
      </c>
      <c r="S102" s="59">
        <f ca="1">AVERAGE(OFFSET($R$3,0,0,'Données projet'!$E$9+1,1))-AVERAGE(OFFSET($H$3,0,0,'Données projet'!$E$9+1,1))</f>
        <v>458.37755197712164</v>
      </c>
      <c r="T102" s="59">
        <f t="shared" si="88"/>
        <v>278.21741231699917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35.338870555572498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35.338870555572498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</v>
      </c>
      <c r="AI102" s="13">
        <f>IF('Données projet'!$A$62&gt;35,AI101+AH102-AQ101,IF(A102&lt;'Données projet'!$A$62,$AF$205^A102,IF(A102='Données projet'!$A$62,'Données projet'!$B$62,AI101+AH102-AQ101)))</f>
        <v>356.00000000000011</v>
      </c>
      <c r="AJ102" s="13">
        <f>AI102*VLOOKUP('Données projet'!$B$10,Paramètres!$A$1:$I$89,3,0)*VLOOKUP('Données projet'!$B$10,Paramètres!$A$1:$I$89,5,0)</f>
        <v>360.98400000000015</v>
      </c>
      <c r="AK102" s="13">
        <f t="shared" si="89"/>
        <v>83.820147380102171</v>
      </c>
      <c r="AL102" s="20">
        <f t="shared" si="58"/>
        <v>774.7005566870115</v>
      </c>
      <c r="AM102" s="59">
        <f t="shared" si="59"/>
        <v>1068.0338900203449</v>
      </c>
      <c r="AN102" s="59">
        <f ca="1">AVERAGE(OFFSET($AM$3,0,0,'Données projet'!$E$10+1,1))-AVERAGE(OFFSET($H$3,0,0,'Données projet'!$E$10+1,1))</f>
        <v>508.60701013958447</v>
      </c>
      <c r="AO102" s="59">
        <f t="shared" si="90"/>
        <v>306.61893266146654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39.603906657107103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39.603906657107103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-1.1368683772161603E-13</v>
      </c>
      <c r="BE102" s="13">
        <f>BD102*VLOOKUP('Données projet'!$B$11,Paramètres!$A$1:$I$89,3,0)*VLOOKUP('Données projet'!$B$11,Paramètres!$A$1:$I$89,5,0)</f>
        <v>-1.0818439477588981E-13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291.17074241052887</v>
      </c>
      <c r="BJ102" s="59">
        <f t="shared" si="92"/>
        <v>241.18285512887638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61.458437417695031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61.458437417695031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6</v>
      </c>
      <c r="BY102" s="12">
        <f>IF('Données projet'!$A$114&gt;35,BY101+BX102-CG101,IF(A102&lt;'Données projet'!$A$114,$BV$205^A102,IF(A102='Données projet'!$A$114,'Données projet'!$B$114,BY101+BX102-CG101)))</f>
        <v>356.00000000000011</v>
      </c>
      <c r="BZ102" s="13">
        <f>BY102*VLOOKUP('Données projet'!$B$12,Paramètres!$A$1:$I$89,3,0)*VLOOKUP('Données projet'!$B$12,Paramètres!$A$1:$I$89,5,0)</f>
        <v>299.89440000000013</v>
      </c>
      <c r="CA102" s="13">
        <f t="shared" si="93"/>
        <v>71.154325205964</v>
      </c>
      <c r="CB102" s="20">
        <f t="shared" si="64"/>
        <v>646.24319640038755</v>
      </c>
      <c r="CC102" s="59">
        <f t="shared" si="65"/>
        <v>939.57652973372092</v>
      </c>
      <c r="CD102" s="59">
        <f ca="1">AVERAGE(OFFSET($CC$3,0,0,'Données projet'!$E$12+1,1))-AVERAGE(OFFSET($H$3,0,0,'Données projet'!$E$12+1,1))</f>
        <v>429.61977776013185</v>
      </c>
      <c r="CE102" s="59">
        <f t="shared" si="94"/>
        <v>261.95434270986385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32.901707068981295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32.901707068981295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-1.7053025658242404E-13</v>
      </c>
      <c r="CU102" s="17">
        <f>CT102*VLOOKUP('Données projet'!$B$13,Paramètres!$A$1:$I$89,3,0)*VLOOKUP('Données projet'!$B$13,Paramètres!$A$1:$I$89,5,0)</f>
        <v>-1.1173142411280423E-13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255.09913504736693</v>
      </c>
      <c r="CZ102" s="59">
        <f t="shared" si="96"/>
        <v>248.42617382406644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41.778983214132076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41.778983214132076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2.8</v>
      </c>
      <c r="DO102" s="12">
        <f>IF('Données projet'!$A$166&gt;35,DO101+DN102-DW101,IF(A102&lt;'Données projet'!$A$166,$DL$205^A102,IF(A102='Données projet'!$A$166,'Données projet'!$B$166,DO101+DN102-DW101)))</f>
        <v>279.19999999999993</v>
      </c>
      <c r="DP102" s="17">
        <f>DO102*VLOOKUP('Données projet'!$B$14,Paramètres!$A$1:$I$89,3,0)*VLOOKUP('Données projet'!$B$14,Paramètres!$A$1:$I$89,5,0)</f>
        <v>317.9529599999999</v>
      </c>
      <c r="DQ102" s="13">
        <f t="shared" si="97"/>
        <v>74.927268226896373</v>
      </c>
      <c r="DR102" s="20">
        <f t="shared" si="70"/>
        <v>684.26639749517778</v>
      </c>
      <c r="DS102" s="59">
        <f t="shared" si="71"/>
        <v>977.59973082851116</v>
      </c>
      <c r="DT102" s="59">
        <f ca="1">AVERAGE(OFFSET($DS$3,0,0,'Données projet'!$E$14+1,1))-AVERAGE(OFFSET($H$3,0,0,'Données projet'!$E$14+1,1))</f>
        <v>459.67331926893809</v>
      </c>
      <c r="DU102" s="59">
        <f t="shared" si="98"/>
        <v>280.33242658375497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31.869411839885363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31.869411839885363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264.08053957457469</v>
      </c>
      <c r="EP102" s="59">
        <f t="shared" si="100"/>
        <v>284.83300065761051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74.853833467331427</v>
      </c>
      <c r="EW102" s="21">
        <f>EXP(-LN(2)/25)*EW101+(1-EXP(-LN(2)/25))/(LN(2)/25)*Calculateur!ER102*Calculateur!ET102*VLOOKUP('Données projet'!$B$15,Paramètres!$A$1:$I$89,3,0)*0.475*44/12</f>
        <v>7.163578942515886</v>
      </c>
      <c r="EX102" s="21">
        <f>EXP(-LN(2)/2)*EX101+(1-EXP(-LN(2)/2))/(LN(2)/2)*ER102*EU102*VLOOKUP('Données projet'!$B$15,Paramètres!$A$1:$I$89,3,0)*0.475*44/12</f>
        <v>8.1393043982165672E-5</v>
      </c>
      <c r="EY102" s="22">
        <f t="shared" si="75"/>
        <v>82.017493802891295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166.27444639635013</v>
      </c>
      <c r="FK102" s="59">
        <f t="shared" si="102"/>
        <v>213.60182977243113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44.86736375171688</v>
      </c>
      <c r="FR102" s="21">
        <f>EXP(-LN(2)/25)*FR101+(1-EXP(-LN(2)/25))/(LN(2)/25)*Calculateur!FM102*Calculateur!FO102*VLOOKUP('Données projet'!$B$16,Paramètres!$A$1:$I$89,3,0)*0.475*44/12</f>
        <v>15.885648818193204</v>
      </c>
      <c r="FS102" s="21">
        <f>EXP(-LN(2)/2)*FS101+(1-EXP(-LN(2)/2))/(LN(2)/2)*FM102*FP102*VLOOKUP('Données projet'!$B$16,Paramètres!$A$1:$I$89,3,0)*0.475*44/12</f>
        <v>2.5557609859457465E-4</v>
      </c>
      <c r="FT102" s="22">
        <f t="shared" si="78"/>
        <v>60.753268146008679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362</v>
      </c>
      <c r="L103" s="12">
        <f>VLOOKUP(A103,'Données projet'!$A$35:$I$55,9,0)</f>
        <v>6</v>
      </c>
      <c r="M103" s="12">
        <f t="array" ref="M103">INDEX(L:L,MIN(IF(ISNUMBER(L103:L299),ROW(L103:L299),"")))</f>
        <v>6</v>
      </c>
      <c r="N103" s="13">
        <f>IF('Données projet'!$A$36&gt;35,N102+M103-V102,IF(A103&lt;'Données projet'!$A$36,$K$205^A103,IF(A103='Données projet'!$A$36,'Données projet'!$B$36,N102+M103-V102)))</f>
        <v>362.00000000000011</v>
      </c>
      <c r="O103" s="13">
        <f>N103*VLOOKUP('Données projet'!$B$9,Paramètres!$A$1:$I$89,3,0)*VLOOKUP('Données projet'!$B$9,Paramètres!$A$1:$I$89,5,0)</f>
        <v>327.53760000000011</v>
      </c>
      <c r="P103" s="13">
        <f t="shared" si="87"/>
        <v>76.919566502794808</v>
      </c>
      <c r="Q103" s="20">
        <f t="shared" si="107"/>
        <v>704.42956499236777</v>
      </c>
      <c r="R103" s="59">
        <f t="shared" si="55"/>
        <v>997.76289832570114</v>
      </c>
      <c r="S103" s="59">
        <f ca="1">AVERAGE(OFFSET($R$3,0,0,'Données projet'!$E$9+1,1))-AVERAGE(OFFSET($H$3,0,0,'Données projet'!$E$9+1,1))</f>
        <v>458.37755197712164</v>
      </c>
      <c r="T103" s="59">
        <f t="shared" si="88"/>
        <v>278.21741231699917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56</v>
      </c>
      <c r="W103" s="16">
        <f>IF(ISNA(VLOOKUP(A103,'Données projet'!$A$35:$I$55,5,0)),0%,VLOOKUP(A103,'Données projet'!$A$35:$I$55,5,0)*VLOOKUP('Données projet'!$B$9,Paramètres!$A$1:$I$89,7,0))</f>
        <v>0.34400000000000003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53.914319861429249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53.914319861429249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362</v>
      </c>
      <c r="AG103" s="12">
        <f>VLOOKUP(A103,'Données projet'!$A$61:$I$81,9,0)</f>
        <v>6</v>
      </c>
      <c r="AH103" s="12">
        <f t="array" ref="AH103">INDEX(AG:AG,MIN(IF(ISNUMBER(AG103:AG299),ROW(AG103:AG299),"")))</f>
        <v>6</v>
      </c>
      <c r="AI103" s="13">
        <f>IF('Données projet'!$A$62&gt;35,AI102+AH103-AQ102,IF(A103&lt;'Données projet'!$A$62,$AF$205^A103,IF(A103='Données projet'!$A$62,'Données projet'!$B$62,AI102+AH103-AQ102)))</f>
        <v>362.00000000000011</v>
      </c>
      <c r="AJ103" s="13">
        <f>AI103*VLOOKUP('Données projet'!$B$10,Paramètres!$A$1:$I$89,3,0)*VLOOKUP('Données projet'!$B$10,Paramètres!$A$1:$I$89,5,0)</f>
        <v>367.0680000000001</v>
      </c>
      <c r="AK103" s="13">
        <f t="shared" si="89"/>
        <v>85.067191510398061</v>
      </c>
      <c r="AL103" s="20">
        <f t="shared" si="58"/>
        <v>787.46879188061018</v>
      </c>
      <c r="AM103" s="59">
        <f t="shared" si="59"/>
        <v>1080.8021252139436</v>
      </c>
      <c r="AN103" s="59">
        <f ca="1">AVERAGE(OFFSET($AM$3,0,0,'Données projet'!$E$10+1,1))-AVERAGE(OFFSET($H$3,0,0,'Données projet'!$E$10+1,1))</f>
        <v>508.60701013958447</v>
      </c>
      <c r="AO103" s="59">
        <f t="shared" si="90"/>
        <v>306.61893266146654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56</v>
      </c>
      <c r="AR103" s="16">
        <f>IF(ISNA(VLOOKUP(A103,'Données projet'!$A$61:$I$81,5,0)),0%,VLOOKUP(A103,'Données projet'!$A$61:$I$81,5,0)*VLOOKUP('Données projet'!$B$10,Paramètres!$A$1:$I$89,7,0))</f>
        <v>0.34400000000000003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60.421220534360359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60.421220534360359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-1.1368683772161603E-13</v>
      </c>
      <c r="BE103" s="13">
        <f>BD103*VLOOKUP('Données projet'!$B$11,Paramètres!$A$1:$I$89,3,0)*VLOOKUP('Données projet'!$B$11,Paramètres!$A$1:$I$89,5,0)</f>
        <v>-1.0818439477588981E-13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291.17074241052887</v>
      </c>
      <c r="BJ103" s="59">
        <f t="shared" si="92"/>
        <v>241.18285512887638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60.253274945879426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60.253274945879426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362</v>
      </c>
      <c r="BW103" s="12">
        <f>VLOOKUP(A103,'Données projet'!$A$113:$I$133,9,0)</f>
        <v>6</v>
      </c>
      <c r="BX103" s="12">
        <f t="array" ref="BX103">INDEX(BW:BW,MIN(IF(ISNUMBER(BW103:BW299),ROW(BW103:BW299),"")))</f>
        <v>6</v>
      </c>
      <c r="BY103" s="12">
        <f>IF('Données projet'!$A$114&gt;35,BY102+BX103-CG102,IF(A103&lt;'Données projet'!$A$114,$BV$205^A103,IF(A103='Données projet'!$A$114,'Données projet'!$B$114,BY102+BX103-CG102)))</f>
        <v>362.00000000000011</v>
      </c>
      <c r="BZ103" s="13">
        <f>BY103*VLOOKUP('Données projet'!$B$12,Paramètres!$A$1:$I$89,3,0)*VLOOKUP('Données projet'!$B$12,Paramètres!$A$1:$I$89,5,0)</f>
        <v>304.94880000000012</v>
      </c>
      <c r="CA103" s="13">
        <f t="shared" si="93"/>
        <v>72.212932072769945</v>
      </c>
      <c r="CB103" s="20">
        <f t="shared" si="64"/>
        <v>656.8900166934078</v>
      </c>
      <c r="CC103" s="59">
        <f t="shared" si="65"/>
        <v>950.22335002674117</v>
      </c>
      <c r="CD103" s="59">
        <f ca="1">AVERAGE(OFFSET($CC$3,0,0,'Données projet'!$E$12+1,1))-AVERAGE(OFFSET($H$3,0,0,'Données projet'!$E$12+1,1))</f>
        <v>429.61977776013185</v>
      </c>
      <c r="CE103" s="59">
        <f t="shared" si="94"/>
        <v>261.95434270986385</v>
      </c>
      <c r="CF103" s="15">
        <f>IF(ISNA(VLOOKUP(A103,'Données projet'!$A$113:$I$133,3,0)),0,VLOOKUP(A103,'Données projet'!$A$113:$I$133,3,0))</f>
        <v>17</v>
      </c>
      <c r="CG103" s="15">
        <f>IF(ISNA(VLOOKUP(A103,'Données projet'!$A$113:$I$133,4,0)),0,VLOOKUP(A103,'Données projet'!$A$113:$I$133,4,0))</f>
        <v>56</v>
      </c>
      <c r="CH103" s="16">
        <f>IF(ISNA(VLOOKUP(A103,'Données projet'!$A$113:$I$133,5,0)),0%,VLOOKUP(A103,'Données projet'!$A$113:$I$133,5,0)*VLOOKUP('Données projet'!$B$12,Paramètres!$A$1:$I$89,7,0))</f>
        <v>0.34400000000000003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50.196090905468616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50.196090905468616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-1.7053025658242404E-13</v>
      </c>
      <c r="CU103" s="17">
        <f>CT103*VLOOKUP('Données projet'!$B$13,Paramètres!$A$1:$I$89,3,0)*VLOOKUP('Données projet'!$B$13,Paramètres!$A$1:$I$89,5,0)</f>
        <v>-1.1173142411280423E-13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255.09913504736693</v>
      </c>
      <c r="CZ103" s="59">
        <f t="shared" si="96"/>
        <v>248.42617382406644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40.959722835966502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40.959722835966502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282</v>
      </c>
      <c r="DM103" s="12">
        <f>VLOOKUP(A103,'Données projet'!$A$165:$I$185,9,0)</f>
        <v>2.8</v>
      </c>
      <c r="DN103" s="12">
        <f t="array" ref="DN103">INDEX(DM:DM,MIN(IF(ISNUMBER(DM103:DM299),ROW(DM103:DM299),"")))</f>
        <v>2.8</v>
      </c>
      <c r="DO103" s="12">
        <f>IF('Données projet'!$A$166&gt;35,DO102+DN103-DW102,IF(A103&lt;'Données projet'!$A$166,$DL$205^A103,IF(A103='Données projet'!$A$166,'Données projet'!$B$166,DO102+DN103-DW102)))</f>
        <v>281.99999999999994</v>
      </c>
      <c r="DP103" s="17">
        <f>DO103*VLOOKUP('Données projet'!$B$14,Paramètres!$A$1:$I$89,3,0)*VLOOKUP('Données projet'!$B$14,Paramètres!$A$1:$I$89,5,0)</f>
        <v>321.14159999999993</v>
      </c>
      <c r="DQ103" s="13">
        <f t="shared" si="97"/>
        <v>75.590836491360662</v>
      </c>
      <c r="DR103" s="20">
        <f t="shared" si="70"/>
        <v>690.97566022245303</v>
      </c>
      <c r="DS103" s="59">
        <f t="shared" si="71"/>
        <v>984.3089935557864</v>
      </c>
      <c r="DT103" s="59">
        <f ca="1">AVERAGE(OFFSET($DS$3,0,0,'Données projet'!$E$14+1,1))-AVERAGE(OFFSET($H$3,0,0,'Données projet'!$E$14+1,1))</f>
        <v>459.67331926893809</v>
      </c>
      <c r="DU103" s="59">
        <f t="shared" si="98"/>
        <v>280.33242658375497</v>
      </c>
      <c r="DV103" s="15">
        <f>IF(ISNA(VLOOKUP(A103,'Données projet'!$A$165:$I$185,3,0)),0,VLOOKUP(A103,'Données projet'!$A$165:$I$185,3,0))</f>
        <v>16</v>
      </c>
      <c r="DW103" s="15">
        <f>IF(ISNA(VLOOKUP(A103,'Données projet'!$A$165:$I$185,4,0)),0,VLOOKUP(A103,'Données projet'!$A$165:$I$185,4,0))</f>
        <v>21</v>
      </c>
      <c r="DX103" s="16">
        <f>IF(ISNA(VLOOKUP(A103,'Données projet'!$A$165:$I$185,5,0)),0%,VLOOKUP(A103,'Données projet'!$A$165:$I$185,5,0)*VLOOKUP('Données projet'!$B$14,Paramètres!$A$1:$I$89,7,0))</f>
        <v>0.30099999999999999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39.202040124895881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39.202040124895881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264.08053957457469</v>
      </c>
      <c r="EP103" s="59">
        <f t="shared" si="100"/>
        <v>284.83300065761051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73.385995449367286</v>
      </c>
      <c r="EW103" s="21">
        <f>EXP(-LN(2)/25)*EW102+(1-EXP(-LN(2)/25))/(LN(2)/25)*Calculateur!ER103*Calculateur!ET103*VLOOKUP('Données projet'!$B$15,Paramètres!$A$1:$I$89,3,0)*0.475*44/12</f>
        <v>6.9676904996165447</v>
      </c>
      <c r="EX103" s="21">
        <f>EXP(-LN(2)/2)*EX102+(1-EXP(-LN(2)/2))/(LN(2)/2)*ER103*EU103*VLOOKUP('Données projet'!$B$15,Paramètres!$A$1:$I$89,3,0)*0.475*44/12</f>
        <v>5.7553573341204262E-5</v>
      </c>
      <c r="EY103" s="22">
        <f t="shared" si="75"/>
        <v>80.35374350255718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166.27444639635013</v>
      </c>
      <c r="FK103" s="59">
        <f t="shared" si="102"/>
        <v>213.60182977243113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43.987542114935394</v>
      </c>
      <c r="FR103" s="21">
        <f>EXP(-LN(2)/25)*FR102+(1-EXP(-LN(2)/25))/(LN(2)/25)*Calculateur!FM103*Calculateur!FO103*VLOOKUP('Données projet'!$B$16,Paramètres!$A$1:$I$89,3,0)*0.475*44/12</f>
        <v>15.451254915869747</v>
      </c>
      <c r="FS103" s="21">
        <f>EXP(-LN(2)/2)*FS102+(1-EXP(-LN(2)/2))/(LN(2)/2)*FM103*FP103*VLOOKUP('Données projet'!$B$16,Paramètres!$A$1:$I$89,3,0)*0.475*44/12</f>
        <v>1.807195924254254E-4</v>
      </c>
      <c r="FT103" s="22">
        <f t="shared" si="78"/>
        <v>59.438977750397569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</v>
      </c>
      <c r="N104" s="13">
        <f>IF('Données projet'!$A$36&gt;35,N103+M104-V103,IF(A104&lt;'Données projet'!$A$36,$K$205^A104,IF(A104='Données projet'!$A$36,'Données projet'!$B$36,N103+M104-V103)))</f>
        <v>311.2000000000001</v>
      </c>
      <c r="O104" s="13">
        <f>N104*VLOOKUP('Données projet'!$B$9,Paramètres!$A$1:$I$89,3,0)*VLOOKUP('Données projet'!$B$9,Paramètres!$A$1:$I$89,5,0)</f>
        <v>281.57376000000005</v>
      </c>
      <c r="P104" s="13">
        <f t="shared" si="87"/>
        <v>67.299481043335049</v>
      </c>
      <c r="Q104" s="20">
        <f t="shared" si="107"/>
        <v>607.6208948171419</v>
      </c>
      <c r="R104" s="59">
        <f t="shared" si="55"/>
        <v>900.95422815047527</v>
      </c>
      <c r="S104" s="59">
        <f ca="1">AVERAGE(OFFSET($R$3,0,0,'Données projet'!$E$9+1,1))-AVERAGE(OFFSET($H$3,0,0,'Données projet'!$E$9+1,1))</f>
        <v>458.37755197712164</v>
      </c>
      <c r="T104" s="59">
        <f t="shared" si="88"/>
        <v>278.21741231699917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52.857092933434664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52.857092933434664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311.2000000000001</v>
      </c>
      <c r="AJ104" s="13">
        <f>AI104*VLOOKUP('Données projet'!$B$10,Paramètres!$A$1:$I$89,3,0)*VLOOKUP('Données projet'!$B$10,Paramètres!$A$1:$I$89,5,0)</f>
        <v>315.55680000000012</v>
      </c>
      <c r="AK104" s="13">
        <f t="shared" si="89"/>
        <v>74.42810851327107</v>
      </c>
      <c r="AL104" s="20">
        <f t="shared" si="58"/>
        <v>679.22371566061395</v>
      </c>
      <c r="AM104" s="59">
        <f t="shared" si="59"/>
        <v>972.55704899394732</v>
      </c>
      <c r="AN104" s="59">
        <f ca="1">AVERAGE(OFFSET($AM$3,0,0,'Données projet'!$E$10+1,1))-AVERAGE(OFFSET($H$3,0,0,'Données projet'!$E$10+1,1))</f>
        <v>508.60701013958447</v>
      </c>
      <c r="AO104" s="59">
        <f t="shared" si="90"/>
        <v>306.61893266146654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59.236397252987118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59.236397252987118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-1.0818439477588981E-13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291.17074241052887</v>
      </c>
      <c r="BJ104" s="59">
        <f t="shared" si="92"/>
        <v>241.18285512887638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59.071744975059602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59.071744975059602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5.2</v>
      </c>
      <c r="BY104" s="12">
        <f>IF('Données projet'!$A$114&gt;35,BY103+BX104-CG103,IF(A104&lt;'Données projet'!$A$114,$BV$205^A104,IF(A104='Données projet'!$A$114,'Données projet'!$B$114,BY103+BX104-CG103)))</f>
        <v>311.2000000000001</v>
      </c>
      <c r="BZ104" s="13">
        <f>BY104*VLOOKUP('Données projet'!$B$12,Paramètres!$A$1:$I$89,3,0)*VLOOKUP('Données projet'!$B$12,Paramètres!$A$1:$I$89,5,0)</f>
        <v>262.15488000000011</v>
      </c>
      <c r="CA104" s="13">
        <f t="shared" si="93"/>
        <v>63.181490407105237</v>
      </c>
      <c r="CB104" s="20">
        <f t="shared" si="64"/>
        <v>566.62751179237512</v>
      </c>
      <c r="CC104" s="59">
        <f t="shared" si="65"/>
        <v>859.96084512570837</v>
      </c>
      <c r="CD104" s="59">
        <f ca="1">AVERAGE(OFFSET($CC$3,0,0,'Données projet'!$E$12+1,1))-AVERAGE(OFFSET($H$3,0,0,'Données projet'!$E$12+1,1))</f>
        <v>429.61977776013185</v>
      </c>
      <c r="CE104" s="59">
        <f t="shared" si="94"/>
        <v>261.95434270986385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49.211776179404694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49.211776179404694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-1.7053025658242404E-13</v>
      </c>
      <c r="CU104" s="17">
        <f>CT104*VLOOKUP('Données projet'!$B$13,Paramètres!$A$1:$I$89,3,0)*VLOOKUP('Données projet'!$B$13,Paramètres!$A$1:$I$89,5,0)</f>
        <v>-1.1173142411280423E-13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255.09913504736693</v>
      </c>
      <c r="CZ104" s="59">
        <f t="shared" si="96"/>
        <v>248.42617382406644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40.156527654117269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40.156527654117269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2.4</v>
      </c>
      <c r="DO104" s="12">
        <f>IF('Données projet'!$A$166&gt;35,DO103+DN104-DW103,IF(A104&lt;'Données projet'!$A$166,$DL$205^A104,IF(A104='Données projet'!$A$166,'Données projet'!$B$166,DO103+DN104-DW103)))</f>
        <v>263.39999999999992</v>
      </c>
      <c r="DP104" s="17">
        <f>DO104*VLOOKUP('Données projet'!$B$14,Paramètres!$A$1:$I$89,3,0)*VLOOKUP('Données projet'!$B$14,Paramètres!$A$1:$I$89,5,0)</f>
        <v>299.9599199999999</v>
      </c>
      <c r="DQ104" s="13">
        <f t="shared" si="97"/>
        <v>71.168061102862907</v>
      </c>
      <c r="DR104" s="20">
        <f t="shared" si="70"/>
        <v>646.38123375415262</v>
      </c>
      <c r="DS104" s="59">
        <f t="shared" si="71"/>
        <v>939.71456708748588</v>
      </c>
      <c r="DT104" s="59">
        <f ca="1">AVERAGE(OFFSET($DS$3,0,0,'Données projet'!$E$14+1,1))-AVERAGE(OFFSET($H$3,0,0,'Données projet'!$E$14+1,1))</f>
        <v>459.67331926893809</v>
      </c>
      <c r="DU104" s="59">
        <f t="shared" si="98"/>
        <v>280.33242658375497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38.433312028930146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38.433312028930146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264.08053957457469</v>
      </c>
      <c r="EP104" s="59">
        <f t="shared" si="100"/>
        <v>284.83300065761051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71.946940839642636</v>
      </c>
      <c r="EW104" s="21">
        <f>EXP(-LN(2)/25)*EW103+(1-EXP(-LN(2)/25))/(LN(2)/25)*Calculateur!ER104*Calculateur!ET104*VLOOKUP('Données projet'!$B$15,Paramètres!$A$1:$I$89,3,0)*0.475*44/12</f>
        <v>6.7771586364896121</v>
      </c>
      <c r="EX104" s="21">
        <f>EXP(-LN(2)/2)*EX103+(1-EXP(-LN(2)/2))/(LN(2)/2)*ER104*EU104*VLOOKUP('Données projet'!$B$15,Paramètres!$A$1:$I$89,3,0)*0.475*44/12</f>
        <v>4.0696521991082836E-5</v>
      </c>
      <c r="EY104" s="22">
        <f t="shared" si="75"/>
        <v>78.724140172654245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166.27444639635013</v>
      </c>
      <c r="FK104" s="59">
        <f t="shared" si="102"/>
        <v>213.60182977243113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43.124973243812981</v>
      </c>
      <c r="FR104" s="21">
        <f>EXP(-LN(2)/25)*FR103+(1-EXP(-LN(2)/25))/(LN(2)/25)*Calculateur!FM104*Calculateur!FO104*VLOOKUP('Données projet'!$B$16,Paramètres!$A$1:$I$89,3,0)*0.475*44/12</f>
        <v>15.028739537649107</v>
      </c>
      <c r="FS104" s="21">
        <f>EXP(-LN(2)/2)*FS103+(1-EXP(-LN(2)/2))/(LN(2)/2)*FM104*FP104*VLOOKUP('Données projet'!$B$16,Paramètres!$A$1:$I$89,3,0)*0.475*44/12</f>
        <v>1.2778804929728733E-4</v>
      </c>
      <c r="FT104" s="22">
        <f t="shared" si="78"/>
        <v>58.153840569511388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</v>
      </c>
      <c r="N105" s="13">
        <f>IF('Données projet'!$A$36&gt;35,N104+M105-V104,IF(A105&lt;'Données projet'!$A$36,$K$205^A105,IF(A105='Données projet'!$A$36,'Données projet'!$B$36,N104+M105-V104)))</f>
        <v>316.40000000000009</v>
      </c>
      <c r="O105" s="13">
        <f>N105*VLOOKUP('Données projet'!$B$9,Paramètres!$A$1:$I$89,3,0)*VLOOKUP('Données projet'!$B$9,Paramètres!$A$1:$I$89,5,0)</f>
        <v>286.27872000000008</v>
      </c>
      <c r="P105" s="13">
        <f t="shared" si="87"/>
        <v>68.292165517667613</v>
      </c>
      <c r="Q105" s="20">
        <f t="shared" si="107"/>
        <v>617.54429227660455</v>
      </c>
      <c r="R105" s="59">
        <f t="shared" si="55"/>
        <v>910.87762560993792</v>
      </c>
      <c r="S105" s="59">
        <f ca="1">AVERAGE(OFFSET($R$3,0,0,'Données projet'!$E$9+1,1))-AVERAGE(OFFSET($H$3,0,0,'Données projet'!$E$9+1,1))</f>
        <v>458.37755197712164</v>
      </c>
      <c r="T105" s="59">
        <f t="shared" si="88"/>
        <v>278.21741231699917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51.820597580653299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51.820597580653299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316.40000000000009</v>
      </c>
      <c r="AJ105" s="13">
        <f>AI105*VLOOKUP('Données projet'!$B$10,Paramètres!$A$1:$I$89,3,0)*VLOOKUP('Données projet'!$B$10,Paramètres!$A$1:$I$89,5,0)</f>
        <v>320.82960000000008</v>
      </c>
      <c r="AK105" s="13">
        <f t="shared" si="89"/>
        <v>75.525942057150672</v>
      </c>
      <c r="AL105" s="20">
        <f t="shared" si="58"/>
        <v>690.31923574953737</v>
      </c>
      <c r="AM105" s="59">
        <f t="shared" si="59"/>
        <v>983.65256908287074</v>
      </c>
      <c r="AN105" s="59">
        <f ca="1">AVERAGE(OFFSET($AM$3,0,0,'Données projet'!$E$10+1,1))-AVERAGE(OFFSET($H$3,0,0,'Données projet'!$E$10+1,1))</f>
        <v>508.60701013958447</v>
      </c>
      <c r="AO105" s="59">
        <f t="shared" si="90"/>
        <v>306.61893266146654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58.074807633490764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58.074807633490764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-1.0818439477588981E-13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291.17074241052887</v>
      </c>
      <c r="BJ105" s="59">
        <f t="shared" si="92"/>
        <v>241.18285512887638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57.913384086305427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57.913384086305427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5.2</v>
      </c>
      <c r="BY105" s="12">
        <f>IF('Données projet'!$A$114&gt;35,BY104+BX105-CG104,IF(A105&lt;'Données projet'!$A$114,$BV$205^A105,IF(A105='Données projet'!$A$114,'Données projet'!$B$114,BY104+BX105-CG104)))</f>
        <v>316.40000000000009</v>
      </c>
      <c r="BZ105" s="13">
        <f>BY105*VLOOKUP('Données projet'!$B$12,Paramètres!$A$1:$I$89,3,0)*VLOOKUP('Données projet'!$B$12,Paramètres!$A$1:$I$89,5,0)</f>
        <v>266.53536000000008</v>
      </c>
      <c r="CA105" s="13">
        <f t="shared" si="93"/>
        <v>64.113433471449795</v>
      </c>
      <c r="CB105" s="20">
        <f t="shared" si="64"/>
        <v>575.8799819627751</v>
      </c>
      <c r="CC105" s="59">
        <f t="shared" si="65"/>
        <v>869.21331529610848</v>
      </c>
      <c r="CD105" s="59">
        <f ca="1">AVERAGE(OFFSET($CC$3,0,0,'Données projet'!$E$12+1,1))-AVERAGE(OFFSET($H$3,0,0,'Données projet'!$E$12+1,1))</f>
        <v>429.61977776013185</v>
      </c>
      <c r="CE105" s="59">
        <f t="shared" si="94"/>
        <v>261.95434270986385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48.246763264746185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48.246763264746185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-1.7053025658242404E-13</v>
      </c>
      <c r="CU105" s="17">
        <f>CT105*VLOOKUP('Données projet'!$B$13,Paramètres!$A$1:$I$89,3,0)*VLOOKUP('Données projet'!$B$13,Paramètres!$A$1:$I$89,5,0)</f>
        <v>-1.1173142411280423E-13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255.09913504736693</v>
      </c>
      <c r="CZ105" s="59">
        <f t="shared" si="96"/>
        <v>248.42617382406644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39.369082639883409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39.369082639883409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2.4</v>
      </c>
      <c r="DO105" s="12">
        <f>IF('Données projet'!$A$166&gt;35,DO104+DN105-DW104,IF(A105&lt;'Données projet'!$A$166,$DL$205^A105,IF(A105='Données projet'!$A$166,'Données projet'!$B$166,DO104+DN105-DW104)))</f>
        <v>265.7999999999999</v>
      </c>
      <c r="DP105" s="17">
        <f>DO105*VLOOKUP('Données projet'!$B$14,Paramètres!$A$1:$I$89,3,0)*VLOOKUP('Données projet'!$B$14,Paramètres!$A$1:$I$89,5,0)</f>
        <v>302.69303999999988</v>
      </c>
      <c r="DQ105" s="13">
        <f t="shared" si="97"/>
        <v>71.740734124511476</v>
      </c>
      <c r="DR105" s="20">
        <f t="shared" si="70"/>
        <v>652.13882326685734</v>
      </c>
      <c r="DS105" s="59">
        <f t="shared" si="71"/>
        <v>945.4721566001906</v>
      </c>
      <c r="DT105" s="59">
        <f ca="1">AVERAGE(OFFSET($DS$3,0,0,'Données projet'!$E$14+1,1))-AVERAGE(OFFSET($H$3,0,0,'Données projet'!$E$14+1,1))</f>
        <v>459.67331926893809</v>
      </c>
      <c r="DU105" s="59">
        <f t="shared" si="98"/>
        <v>280.33242658375497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37.679658222048459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37.679658222048459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264.08053957457469</v>
      </c>
      <c r="EP105" s="59">
        <f t="shared" si="100"/>
        <v>284.83300065761051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70.536105213078045</v>
      </c>
      <c r="EW105" s="21">
        <f>EXP(-LN(2)/25)*EW104+(1-EXP(-LN(2)/25))/(LN(2)/25)*Calculateur!ER105*Calculateur!ET105*VLOOKUP('Données projet'!$B$15,Paramètres!$A$1:$I$89,3,0)*0.475*44/12</f>
        <v>6.5918368771795208</v>
      </c>
      <c r="EX105" s="21">
        <f>EXP(-LN(2)/2)*EX104+(1-EXP(-LN(2)/2))/(LN(2)/2)*ER105*EU105*VLOOKUP('Données projet'!$B$15,Paramètres!$A$1:$I$89,3,0)*0.475*44/12</f>
        <v>2.8776786670602131E-5</v>
      </c>
      <c r="EY105" s="22">
        <f t="shared" si="75"/>
        <v>77.127970867044226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166.27444639635013</v>
      </c>
      <c r="FK105" s="59">
        <f t="shared" si="102"/>
        <v>213.60182977243113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42.279318822138222</v>
      </c>
      <c r="FR105" s="21">
        <f>EXP(-LN(2)/25)*FR104+(1-EXP(-LN(2)/25))/(LN(2)/25)*Calculateur!FM105*Calculateur!FO105*VLOOKUP('Données projet'!$B$16,Paramètres!$A$1:$I$89,3,0)*0.475*44/12</f>
        <v>14.61777786466503</v>
      </c>
      <c r="FS105" s="21">
        <f>EXP(-LN(2)/2)*FS104+(1-EXP(-LN(2)/2))/(LN(2)/2)*FM105*FP105*VLOOKUP('Données projet'!$B$16,Paramètres!$A$1:$I$89,3,0)*0.475*44/12</f>
        <v>9.0359796212712698E-5</v>
      </c>
      <c r="FT105" s="22">
        <f t="shared" si="78"/>
        <v>56.897187046599463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5.2</v>
      </c>
      <c r="N106" s="13">
        <f>IF('Données projet'!$A$36&gt;35,N105+M106-V105,IF(A106&lt;'Données projet'!$A$36,$K$205^A106,IF(A106='Données projet'!$A$36,'Données projet'!$B$36,N105+M106-V105)))</f>
        <v>321.60000000000008</v>
      </c>
      <c r="O106" s="13">
        <f>N106*VLOOKUP('Données projet'!$B$9,Paramètres!$A$1:$I$89,3,0)*VLOOKUP('Données projet'!$B$9,Paramètres!$A$1:$I$89,5,0)</f>
        <v>290.98368000000005</v>
      </c>
      <c r="P106" s="13">
        <f t="shared" si="87"/>
        <v>69.282952690245423</v>
      </c>
      <c r="Q106" s="20">
        <f t="shared" si="107"/>
        <v>627.46438526884424</v>
      </c>
      <c r="R106" s="59">
        <f t="shared" si="55"/>
        <v>920.79771860217761</v>
      </c>
      <c r="S106" s="59">
        <f ca="1">AVERAGE(OFFSET($R$3,0,0,'Données projet'!$E$9+1,1))-AVERAGE(OFFSET($H$3,0,0,'Données projet'!$E$9+1,1))</f>
        <v>458.37755197712164</v>
      </c>
      <c r="T106" s="59">
        <f t="shared" si="88"/>
        <v>278.21741231699917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50.804427269540234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50.804427269540234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321.60000000000008</v>
      </c>
      <c r="AJ106" s="13">
        <f>AI106*VLOOKUP('Données projet'!$B$10,Paramètres!$A$1:$I$89,3,0)*VLOOKUP('Données projet'!$B$10,Paramètres!$A$1:$I$89,5,0)</f>
        <v>326.1024000000001</v>
      </c>
      <c r="AK106" s="13">
        <f t="shared" si="89"/>
        <v>76.621677329562345</v>
      </c>
      <c r="AL106" s="20">
        <f t="shared" si="58"/>
        <v>701.41110134898781</v>
      </c>
      <c r="AM106" s="59">
        <f t="shared" si="59"/>
        <v>994.74443468232107</v>
      </c>
      <c r="AN106" s="59">
        <f ca="1">AVERAGE(OFFSET($AM$3,0,0,'Données projet'!$E$10+1,1))-AVERAGE(OFFSET($H$3,0,0,'Données projet'!$E$10+1,1))</f>
        <v>508.60701013958447</v>
      </c>
      <c r="AO106" s="59">
        <f t="shared" si="90"/>
        <v>306.61893266146654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56.935996077933019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56.935996077933019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-1.0818439477588981E-13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291.17074241052887</v>
      </c>
      <c r="BJ106" s="59">
        <f t="shared" si="92"/>
        <v>241.18285512887638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56.777737948049349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56.777737948049349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5.2</v>
      </c>
      <c r="BY106" s="12">
        <f>IF('Données projet'!$A$114&gt;35,BY105+BX106-CG105,IF(A106&lt;'Données projet'!$A$114,$BV$205^A106,IF(A106='Données projet'!$A$114,'Données projet'!$B$114,BY105+BX106-CG105)))</f>
        <v>321.60000000000008</v>
      </c>
      <c r="BZ106" s="13">
        <f>BY106*VLOOKUP('Données projet'!$B$12,Paramètres!$A$1:$I$89,3,0)*VLOOKUP('Données projet'!$B$12,Paramètres!$A$1:$I$89,5,0)</f>
        <v>270.91584000000006</v>
      </c>
      <c r="CA106" s="13">
        <f t="shared" si="93"/>
        <v>65.043595328112545</v>
      </c>
      <c r="CB106" s="20">
        <f t="shared" si="64"/>
        <v>585.12934986312951</v>
      </c>
      <c r="CC106" s="59">
        <f t="shared" si="65"/>
        <v>878.46268319646288</v>
      </c>
      <c r="CD106" s="59">
        <f ca="1">AVERAGE(OFFSET($CC$3,0,0,'Données projet'!$E$12+1,1))-AVERAGE(OFFSET($H$3,0,0,'Données projet'!$E$12+1,1))</f>
        <v>429.61977776013185</v>
      </c>
      <c r="CE106" s="59">
        <f t="shared" si="94"/>
        <v>261.95434270986385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47.300673664744366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47.300673664744366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-1.7053025658242404E-13</v>
      </c>
      <c r="CU106" s="17">
        <f>CT106*VLOOKUP('Données projet'!$B$13,Paramètres!$A$1:$I$89,3,0)*VLOOKUP('Données projet'!$B$13,Paramètres!$A$1:$I$89,5,0)</f>
        <v>-1.1173142411280423E-13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255.09913504736693</v>
      </c>
      <c r="CZ106" s="59">
        <f t="shared" si="96"/>
        <v>248.42617382406644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38.597078942084643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38.597078942084643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2.4</v>
      </c>
      <c r="DO106" s="12">
        <f>IF('Données projet'!$A$166&gt;35,DO105+DN106-DW105,IF(A106&lt;'Données projet'!$A$166,$DL$205^A106,IF(A106='Données projet'!$A$166,'Données projet'!$B$166,DO105+DN106-DW105)))</f>
        <v>268.19999999999987</v>
      </c>
      <c r="DP106" s="17">
        <f>DO106*VLOOKUP('Données projet'!$B$14,Paramètres!$A$1:$I$89,3,0)*VLOOKUP('Données projet'!$B$14,Paramètres!$A$1:$I$89,5,0)</f>
        <v>305.42615999999987</v>
      </c>
      <c r="DQ106" s="13">
        <f t="shared" si="97"/>
        <v>72.312805565305823</v>
      </c>
      <c r="DR106" s="20">
        <f t="shared" si="70"/>
        <v>657.89536502624071</v>
      </c>
      <c r="DS106" s="59">
        <f t="shared" si="71"/>
        <v>951.22869835957408</v>
      </c>
      <c r="DT106" s="59">
        <f ca="1">AVERAGE(OFFSET($DS$3,0,0,'Données projet'!$E$14+1,1))-AVERAGE(OFFSET($H$3,0,0,'Données projet'!$E$14+1,1))</f>
        <v>459.67331926893809</v>
      </c>
      <c r="DU106" s="59">
        <f t="shared" si="98"/>
        <v>280.33242658375497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36.940783106636289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36.940783106636289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264.08053957457469</v>
      </c>
      <c r="EP106" s="59">
        <f t="shared" si="100"/>
        <v>284.83300065761051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69.152935212625621</v>
      </c>
      <c r="EW106" s="21">
        <f>EXP(-LN(2)/25)*EW105+(1-EXP(-LN(2)/25))/(LN(2)/25)*Calculateur!ER106*Calculateur!ET106*VLOOKUP('Données projet'!$B$15,Paramètres!$A$1:$I$89,3,0)*0.475*44/12</f>
        <v>6.4115827511234116</v>
      </c>
      <c r="EX106" s="21">
        <f>EXP(-LN(2)/2)*EX105+(1-EXP(-LN(2)/2))/(LN(2)/2)*ER106*EU106*VLOOKUP('Données projet'!$B$15,Paramètres!$A$1:$I$89,3,0)*0.475*44/12</f>
        <v>2.0348260995541418E-5</v>
      </c>
      <c r="EY106" s="22">
        <f t="shared" si="75"/>
        <v>75.564538312010029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166.27444639635013</v>
      </c>
      <c r="FK106" s="59">
        <f t="shared" si="102"/>
        <v>213.60182977243113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41.450247167874238</v>
      </c>
      <c r="FR106" s="21">
        <f>EXP(-LN(2)/25)*FR105+(1-EXP(-LN(2)/25))/(LN(2)/25)*Calculateur!FM106*Calculateur!FO106*VLOOKUP('Données projet'!$B$16,Paramètres!$A$1:$I$89,3,0)*0.475*44/12</f>
        <v>14.218053960240235</v>
      </c>
      <c r="FS106" s="21">
        <f>EXP(-LN(2)/2)*FS105+(1-EXP(-LN(2)/2))/(LN(2)/2)*FM106*FP106*VLOOKUP('Données projet'!$B$16,Paramètres!$A$1:$I$89,3,0)*0.475*44/12</f>
        <v>6.3894024648643663E-5</v>
      </c>
      <c r="FT106" s="22">
        <f t="shared" si="78"/>
        <v>55.66836502213912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5.2</v>
      </c>
      <c r="N107" s="13">
        <f>IF('Données projet'!$A$36&gt;35,N106+M107-V106,IF(A107&lt;'Données projet'!$A$36,$K$205^A107,IF(A107='Données projet'!$A$36,'Données projet'!$B$36,N106+M107-V106)))</f>
        <v>326.80000000000007</v>
      </c>
      <c r="O107" s="13">
        <f>N107*VLOOKUP('Données projet'!$B$9,Paramètres!$A$1:$I$89,3,0)*VLOOKUP('Données projet'!$B$9,Paramètres!$A$1:$I$89,5,0)</f>
        <v>295.68864000000008</v>
      </c>
      <c r="P107" s="13">
        <f t="shared" si="87"/>
        <v>70.271876780519747</v>
      </c>
      <c r="Q107" s="20">
        <f t="shared" si="107"/>
        <v>637.38123339273864</v>
      </c>
      <c r="R107" s="59">
        <f t="shared" si="55"/>
        <v>930.71456672607201</v>
      </c>
      <c r="S107" s="59">
        <f ca="1">AVERAGE(OFFSET($R$3,0,0,'Données projet'!$E$9+1,1))-AVERAGE(OFFSET($H$3,0,0,'Données projet'!$E$9+1,1))</f>
        <v>458.37755197712164</v>
      </c>
      <c r="T107" s="59">
        <f t="shared" si="88"/>
        <v>278.21741231699917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49.808183438425409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49.808183438425409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326.80000000000007</v>
      </c>
      <c r="AJ107" s="13">
        <f>AI107*VLOOKUP('Données projet'!$B$10,Paramètres!$A$1:$I$89,3,0)*VLOOKUP('Données projet'!$B$10,Paramètres!$A$1:$I$89,5,0)</f>
        <v>331.37520000000006</v>
      </c>
      <c r="AK107" s="13">
        <f t="shared" si="89"/>
        <v>77.715352174616896</v>
      </c>
      <c r="AL107" s="20">
        <f t="shared" si="58"/>
        <v>712.49937837079108</v>
      </c>
      <c r="AM107" s="59">
        <f t="shared" si="59"/>
        <v>1005.8327117041244</v>
      </c>
      <c r="AN107" s="59">
        <f ca="1">AVERAGE(OFFSET($AM$3,0,0,'Données projet'!$E$10+1,1))-AVERAGE(OFFSET($H$3,0,0,'Données projet'!$E$10+1,1))</f>
        <v>508.60701013958447</v>
      </c>
      <c r="AO107" s="59">
        <f t="shared" si="90"/>
        <v>306.61893266146654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55.819515922373299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55.819515922373299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-1.0818439477588981E-13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291.17074241052887</v>
      </c>
      <c r="BJ107" s="59">
        <f t="shared" si="92"/>
        <v>241.18285512887638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55.664361137888726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55.664361137888726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5.2</v>
      </c>
      <c r="BY107" s="12">
        <f>IF('Données projet'!$A$114&gt;35,BY106+BX107-CG106,IF(A107&lt;'Données projet'!$A$114,$BV$205^A107,IF(A107='Données projet'!$A$114,'Données projet'!$B$114,BY106+BX107-CG106)))</f>
        <v>326.80000000000007</v>
      </c>
      <c r="BZ107" s="13">
        <f>BY107*VLOOKUP('Données projet'!$B$12,Paramètres!$A$1:$I$89,3,0)*VLOOKUP('Données projet'!$B$12,Paramètres!$A$1:$I$89,5,0)</f>
        <v>275.29632000000009</v>
      </c>
      <c r="CA107" s="13">
        <f t="shared" si="93"/>
        <v>65.972008102689358</v>
      </c>
      <c r="CB107" s="20">
        <f t="shared" si="64"/>
        <v>594.37567144551747</v>
      </c>
      <c r="CC107" s="59">
        <f t="shared" si="65"/>
        <v>887.70900477885084</v>
      </c>
      <c r="CD107" s="59">
        <f ca="1">AVERAGE(OFFSET($CC$3,0,0,'Données projet'!$E$12+1,1))-AVERAGE(OFFSET($H$3,0,0,'Données projet'!$E$12+1,1))</f>
        <v>429.61977776013185</v>
      </c>
      <c r="CE107" s="59">
        <f t="shared" si="94"/>
        <v>261.95434270986385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46.37313630474091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46.37313630474091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-1.7053025658242404E-13</v>
      </c>
      <c r="CU107" s="17">
        <f>CT107*VLOOKUP('Données projet'!$B$13,Paramètres!$A$1:$I$89,3,0)*VLOOKUP('Données projet'!$B$13,Paramètres!$A$1:$I$89,5,0)</f>
        <v>-1.1173142411280423E-13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255.09913504736693</v>
      </c>
      <c r="CZ107" s="59">
        <f t="shared" si="96"/>
        <v>248.42617382406644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37.840213765923949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37.840213765923949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2.4</v>
      </c>
      <c r="DO107" s="12">
        <f>IF('Données projet'!$A$166&gt;35,DO106+DN107-DW106,IF(A107&lt;'Données projet'!$A$166,$DL$205^A107,IF(A107='Données projet'!$A$166,'Données projet'!$B$166,DO106+DN107-DW106)))</f>
        <v>270.59999999999985</v>
      </c>
      <c r="DP107" s="17">
        <f>DO107*VLOOKUP('Données projet'!$B$14,Paramètres!$A$1:$I$89,3,0)*VLOOKUP('Données projet'!$B$14,Paramètres!$A$1:$I$89,5,0)</f>
        <v>308.15927999999985</v>
      </c>
      <c r="DQ107" s="13">
        <f t="shared" si="97"/>
        <v>72.884281432165011</v>
      </c>
      <c r="DR107" s="20">
        <f t="shared" si="70"/>
        <v>663.65086949435386</v>
      </c>
      <c r="DS107" s="59">
        <f t="shared" si="71"/>
        <v>956.98420282768711</v>
      </c>
      <c r="DT107" s="59">
        <f ca="1">AVERAGE(OFFSET($DS$3,0,0,'Données projet'!$E$14+1,1))-AVERAGE(OFFSET($H$3,0,0,'Données projet'!$E$14+1,1))</f>
        <v>459.67331926893809</v>
      </c>
      <c r="DU107" s="59">
        <f t="shared" si="98"/>
        <v>280.33242658375497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36.216396881568031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36.216396881568031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264.08053957457469</v>
      </c>
      <c r="EP107" s="59">
        <f t="shared" si="100"/>
        <v>284.83300065761051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67.796888332231674</v>
      </c>
      <c r="EW107" s="21">
        <f>EXP(-LN(2)/25)*EW106+(1-EXP(-LN(2)/25))/(LN(2)/25)*Calculateur!ER107*Calculateur!ET107*VLOOKUP('Données projet'!$B$15,Paramètres!$A$1:$I$89,3,0)*0.475*44/12</f>
        <v>6.2362576836234584</v>
      </c>
      <c r="EX107" s="21">
        <f>EXP(-LN(2)/2)*EX106+(1-EXP(-LN(2)/2))/(LN(2)/2)*ER107*EU107*VLOOKUP('Données projet'!$B$15,Paramètres!$A$1:$I$89,3,0)*0.475*44/12</f>
        <v>1.4388393335301065E-5</v>
      </c>
      <c r="EY107" s="22">
        <f t="shared" si="75"/>
        <v>74.033160404248477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166.27444639635013</v>
      </c>
      <c r="FK107" s="59">
        <f t="shared" si="102"/>
        <v>213.60182977243113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40.637433103066591</v>
      </c>
      <c r="FR107" s="21">
        <f>EXP(-LN(2)/25)*FR106+(1-EXP(-LN(2)/25))/(LN(2)/25)*Calculateur!FM107*Calculateur!FO107*VLOOKUP('Données projet'!$B$16,Paramètres!$A$1:$I$89,3,0)*0.475*44/12</f>
        <v>13.829260527002504</v>
      </c>
      <c r="FS107" s="21">
        <f>EXP(-LN(2)/2)*FS106+(1-EXP(-LN(2)/2))/(LN(2)/2)*FM107*FP107*VLOOKUP('Données projet'!$B$16,Paramètres!$A$1:$I$89,3,0)*0.475*44/12</f>
        <v>4.5179898106356349E-5</v>
      </c>
      <c r="FT107" s="22">
        <f t="shared" si="78"/>
        <v>54.466738809967204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5.2</v>
      </c>
      <c r="N108" s="13">
        <f>IF('Données projet'!$A$36&gt;35,N107+M108-V107,IF(A108&lt;'Données projet'!$A$36,$K$205^A108,IF(A108='Données projet'!$A$36,'Données projet'!$B$36,N107+M108-V107)))</f>
        <v>332.00000000000006</v>
      </c>
      <c r="O108" s="13">
        <f>N108*VLOOKUP('Données projet'!$B$9,Paramètres!$A$1:$I$89,3,0)*VLOOKUP('Données projet'!$B$9,Paramètres!$A$1:$I$89,5,0)</f>
        <v>300.39360000000005</v>
      </c>
      <c r="P108" s="13">
        <f t="shared" si="87"/>
        <v>71.258970856492738</v>
      </c>
      <c r="Q108" s="20">
        <f t="shared" si="107"/>
        <v>647.29489424172493</v>
      </c>
      <c r="R108" s="59">
        <f t="shared" si="55"/>
        <v>940.62822757505819</v>
      </c>
      <c r="S108" s="59">
        <f ca="1">AVERAGE(OFFSET($R$3,0,0,'Données projet'!$E$9+1,1))-AVERAGE(OFFSET($H$3,0,0,'Données projet'!$E$9+1,1))</f>
        <v>458.37755197712164</v>
      </c>
      <c r="T108" s="59">
        <f t="shared" si="88"/>
        <v>278.21741231699917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48.831475341190007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48.831475341190007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332.00000000000006</v>
      </c>
      <c r="AJ108" s="13">
        <f>AI108*VLOOKUP('Données projet'!$B$10,Paramètres!$A$1:$I$89,3,0)*VLOOKUP('Données projet'!$B$10,Paramètres!$A$1:$I$89,5,0)</f>
        <v>336.64800000000008</v>
      </c>
      <c r="AK108" s="13">
        <f t="shared" si="89"/>
        <v>78.807003163010378</v>
      </c>
      <c r="AL108" s="20">
        <f t="shared" si="58"/>
        <v>723.58413050890988</v>
      </c>
      <c r="AM108" s="59">
        <f t="shared" si="59"/>
        <v>1016.9174638422433</v>
      </c>
      <c r="AN108" s="59">
        <f ca="1">AVERAGE(OFFSET($AM$3,0,0,'Données projet'!$E$10+1,1))-AVERAGE(OFFSET($H$3,0,0,'Données projet'!$E$10+1,1))</f>
        <v>508.60701013958447</v>
      </c>
      <c r="AO108" s="59">
        <f t="shared" si="90"/>
        <v>306.61893266146654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54.724929261678454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54.724929261678454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-1.0818439477588981E-13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291.17074241052887</v>
      </c>
      <c r="BJ108" s="59">
        <f t="shared" si="92"/>
        <v>241.18285512887638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54.572816967882552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54.572816967882552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5.2</v>
      </c>
      <c r="BY108" s="12">
        <f>IF('Données projet'!$A$114&gt;35,BY107+BX108-CG107,IF(A108&lt;'Données projet'!$A$114,$BV$205^A108,IF(A108='Données projet'!$A$114,'Données projet'!$B$114,BY107+BX108-CG107)))</f>
        <v>332.00000000000006</v>
      </c>
      <c r="BZ108" s="13">
        <f>BY108*VLOOKUP('Données projet'!$B$12,Paramètres!$A$1:$I$89,3,0)*VLOOKUP('Données projet'!$B$12,Paramètres!$A$1:$I$89,5,0)</f>
        <v>279.67680000000007</v>
      </c>
      <c r="CA108" s="13">
        <f t="shared" si="93"/>
        <v>66.898702839783041</v>
      </c>
      <c r="CB108" s="20">
        <f t="shared" si="64"/>
        <v>603.61900077928885</v>
      </c>
      <c r="CC108" s="59">
        <f t="shared" si="65"/>
        <v>896.95233411262211</v>
      </c>
      <c r="CD108" s="59">
        <f ca="1">AVERAGE(OFFSET($CC$3,0,0,'Données projet'!$E$12+1,1))-AVERAGE(OFFSET($H$3,0,0,'Données projet'!$E$12+1,1))</f>
        <v>429.61977776013185</v>
      </c>
      <c r="CE108" s="59">
        <f t="shared" si="94"/>
        <v>261.95434270986385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45.463787386625192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45.463787386625192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-1.7053025658242404E-13</v>
      </c>
      <c r="CU108" s="17">
        <f>CT108*VLOOKUP('Données projet'!$B$13,Paramètres!$A$1:$I$89,3,0)*VLOOKUP('Données projet'!$B$13,Paramètres!$A$1:$I$89,5,0)</f>
        <v>-1.1173142411280423E-13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255.09913504736693</v>
      </c>
      <c r="CZ108" s="59">
        <f t="shared" si="96"/>
        <v>248.42617382406644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37.098190254225592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37.098190254225592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2.4</v>
      </c>
      <c r="DO108" s="12">
        <f>IF('Données projet'!$A$166&gt;35,DO107+DN108-DW107,IF(A108&lt;'Données projet'!$A$166,$DL$205^A108,IF(A108='Données projet'!$A$166,'Données projet'!$B$166,DO107+DN108-DW107)))</f>
        <v>272.99999999999983</v>
      </c>
      <c r="DP108" s="17">
        <f>DO108*VLOOKUP('Données projet'!$B$14,Paramètres!$A$1:$I$89,3,0)*VLOOKUP('Données projet'!$B$14,Paramètres!$A$1:$I$89,5,0)</f>
        <v>310.89239999999984</v>
      </c>
      <c r="DQ108" s="13">
        <f t="shared" si="97"/>
        <v>73.455167619307602</v>
      </c>
      <c r="DR108" s="20">
        <f t="shared" si="70"/>
        <v>669.40534693696043</v>
      </c>
      <c r="DS108" s="59">
        <f t="shared" si="71"/>
        <v>962.7386802702938</v>
      </c>
      <c r="DT108" s="59">
        <f ca="1">AVERAGE(OFFSET($DS$3,0,0,'Données projet'!$E$14+1,1))-AVERAGE(OFFSET($H$3,0,0,'Données projet'!$E$14+1,1))</f>
        <v>459.67331926893809</v>
      </c>
      <c r="DU108" s="59">
        <f t="shared" si="98"/>
        <v>280.33242658375497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35.506215428541388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35.506215428541388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264.08053957457469</v>
      </c>
      <c r="EP108" s="59">
        <f t="shared" si="100"/>
        <v>284.83300065761051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66.467432704055327</v>
      </c>
      <c r="EW108" s="21">
        <f>EXP(-LN(2)/25)*EW107+(1-EXP(-LN(2)/25))/(LN(2)/25)*Calculateur!ER108*Calculateur!ET108*VLOOKUP('Données projet'!$B$15,Paramètres!$A$1:$I$89,3,0)*0.475*44/12</f>
        <v>6.0657268893142362</v>
      </c>
      <c r="EX108" s="21">
        <f>EXP(-LN(2)/2)*EX107+(1-EXP(-LN(2)/2))/(LN(2)/2)*ER108*EU108*VLOOKUP('Données projet'!$B$15,Paramètres!$A$1:$I$89,3,0)*0.475*44/12</f>
        <v>1.0174130497770709E-5</v>
      </c>
      <c r="EY108" s="22">
        <f t="shared" si="75"/>
        <v>72.533169767500056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166.27444639635013</v>
      </c>
      <c r="FK108" s="59">
        <f t="shared" si="102"/>
        <v>213.60182977243113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39.840557826302195</v>
      </c>
      <c r="FR108" s="21">
        <f>EXP(-LN(2)/25)*FR107+(1-EXP(-LN(2)/25))/(LN(2)/25)*Calculateur!FM108*Calculateur!FO108*VLOOKUP('Données projet'!$B$16,Paramètres!$A$1:$I$89,3,0)*0.475*44/12</f>
        <v>13.451098670642416</v>
      </c>
      <c r="FS108" s="21">
        <f>EXP(-LN(2)/2)*FS107+(1-EXP(-LN(2)/2))/(LN(2)/2)*FM108*FP108*VLOOKUP('Données projet'!$B$16,Paramètres!$A$1:$I$89,3,0)*0.475*44/12</f>
        <v>3.1947012324321831E-5</v>
      </c>
      <c r="FT108" s="22">
        <f t="shared" si="78"/>
        <v>53.291688443956936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5.2</v>
      </c>
      <c r="N109" s="13">
        <f>IF('Données projet'!$A$36&gt;35,N108+M109-V108,IF(A109&lt;'Données projet'!$A$36,$K$205^A109,IF(A109='Données projet'!$A$36,'Données projet'!$B$36,N108+M109-V108)))</f>
        <v>337.20000000000005</v>
      </c>
      <c r="O109" s="13">
        <f>N109*VLOOKUP('Données projet'!$B$9,Paramètres!$A$1:$I$89,3,0)*VLOOKUP('Données projet'!$B$9,Paramètres!$A$1:$I$89,5,0)</f>
        <v>305.09856000000002</v>
      </c>
      <c r="P109" s="13">
        <f t="shared" si="87"/>
        <v>72.244266890878791</v>
      </c>
      <c r="Q109" s="20">
        <f t="shared" si="107"/>
        <v>657.20542350161395</v>
      </c>
      <c r="R109" s="59">
        <f t="shared" si="55"/>
        <v>950.53875683494721</v>
      </c>
      <c r="S109" s="59">
        <f ca="1">AVERAGE(OFFSET($R$3,0,0,'Données projet'!$E$9+1,1))-AVERAGE(OFFSET($H$3,0,0,'Données projet'!$E$9+1,1))</f>
        <v>458.37755197712164</v>
      </c>
      <c r="T109" s="59">
        <f t="shared" si="88"/>
        <v>278.21741231699917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47.873919894008274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47.873919894008274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337.20000000000005</v>
      </c>
      <c r="AJ109" s="13">
        <f>AI109*VLOOKUP('Données projet'!$B$10,Paramètres!$A$1:$I$89,3,0)*VLOOKUP('Données projet'!$B$10,Paramètres!$A$1:$I$89,5,0)</f>
        <v>341.92080000000004</v>
      </c>
      <c r="AK109" s="13">
        <f t="shared" si="89"/>
        <v>79.89666565413367</v>
      </c>
      <c r="AL109" s="20">
        <f t="shared" si="58"/>
        <v>734.66541934761608</v>
      </c>
      <c r="AM109" s="59">
        <f t="shared" si="59"/>
        <v>1027.9987526809493</v>
      </c>
      <c r="AN109" s="59">
        <f ca="1">AVERAGE(OFFSET($AM$3,0,0,'Données projet'!$E$10+1,1))-AVERAGE(OFFSET($H$3,0,0,'Données projet'!$E$10+1,1))</f>
        <v>508.60701013958447</v>
      </c>
      <c r="AO109" s="59">
        <f t="shared" si="90"/>
        <v>306.61893266146654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53.651806777767895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53.651806777767895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-1.0818439477588981E-13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291.17074241052887</v>
      </c>
      <c r="BJ109" s="59">
        <f t="shared" si="92"/>
        <v>241.18285512887638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53.502677313273992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53.502677313273992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5.2</v>
      </c>
      <c r="BY109" s="12">
        <f>IF('Données projet'!$A$114&gt;35,BY108+BX109-CG108,IF(A109&lt;'Données projet'!$A$114,$BV$205^A109,IF(A109='Données projet'!$A$114,'Données projet'!$B$114,BY108+BX109-CG108)))</f>
        <v>337.20000000000005</v>
      </c>
      <c r="BZ109" s="13">
        <f>BY109*VLOOKUP('Données projet'!$B$12,Paramètres!$A$1:$I$89,3,0)*VLOOKUP('Données projet'!$B$12,Paramètres!$A$1:$I$89,5,0)</f>
        <v>284.05728000000011</v>
      </c>
      <c r="CA109" s="13">
        <f t="shared" si="93"/>
        <v>67.823709555728442</v>
      </c>
      <c r="CB109" s="20">
        <f t="shared" si="64"/>
        <v>612.85939014289386</v>
      </c>
      <c r="CC109" s="59">
        <f t="shared" si="65"/>
        <v>906.19272347622723</v>
      </c>
      <c r="CD109" s="59">
        <f ca="1">AVERAGE(OFFSET($CC$3,0,0,'Données projet'!$E$12+1,1))-AVERAGE(OFFSET($H$3,0,0,'Données projet'!$E$12+1,1))</f>
        <v>429.61977776013185</v>
      </c>
      <c r="CE109" s="59">
        <f t="shared" si="94"/>
        <v>261.95434270986385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44.572270246145649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44.572270246145649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-1.7053025658242404E-13</v>
      </c>
      <c r="CU109" s="17">
        <f>CT109*VLOOKUP('Données projet'!$B$13,Paramètres!$A$1:$I$89,3,0)*VLOOKUP('Données projet'!$B$13,Paramètres!$A$1:$I$89,5,0)</f>
        <v>-1.1173142411280423E-13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255.09913504736693</v>
      </c>
      <c r="CZ109" s="59">
        <f t="shared" si="96"/>
        <v>248.42617382406644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36.370717371001987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36.370717371001987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2.4</v>
      </c>
      <c r="DO109" s="12">
        <f>IF('Données projet'!$A$166&gt;35,DO108+DN109-DW108,IF(A109&lt;'Données projet'!$A$166,$DL$205^A109,IF(A109='Données projet'!$A$166,'Données projet'!$B$166,DO108+DN109-DW108)))</f>
        <v>275.39999999999981</v>
      </c>
      <c r="DP109" s="17">
        <f>DO109*VLOOKUP('Données projet'!$B$14,Paramètres!$A$1:$I$89,3,0)*VLOOKUP('Données projet'!$B$14,Paramètres!$A$1:$I$89,5,0)</f>
        <v>313.62551999999977</v>
      </c>
      <c r="DQ109" s="13">
        <f t="shared" si="97"/>
        <v>74.025469911337808</v>
      </c>
      <c r="DR109" s="20">
        <f t="shared" si="70"/>
        <v>675.15880742891284</v>
      </c>
      <c r="DS109" s="59">
        <f t="shared" si="71"/>
        <v>968.49214076224621</v>
      </c>
      <c r="DT109" s="59">
        <f ca="1">AVERAGE(OFFSET($DS$3,0,0,'Données projet'!$E$14+1,1))-AVERAGE(OFFSET($H$3,0,0,'Données projet'!$E$14+1,1))</f>
        <v>459.67331926893809</v>
      </c>
      <c r="DU109" s="59">
        <f t="shared" si="98"/>
        <v>280.33242658375497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34.809960200640688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34.809960200640688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264.08053957457469</v>
      </c>
      <c r="EP109" s="59">
        <f t="shared" si="100"/>
        <v>284.83300065761051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65.164046889859648</v>
      </c>
      <c r="EW109" s="21">
        <f>EXP(-LN(2)/25)*EW108+(1-EXP(-LN(2)/25))/(LN(2)/25)*Calculateur!ER109*Calculateur!ET109*VLOOKUP('Données projet'!$B$15,Paramètres!$A$1:$I$89,3,0)*0.475*44/12</f>
        <v>5.8998592685432243</v>
      </c>
      <c r="EX109" s="21">
        <f>EXP(-LN(2)/2)*EX108+(1-EXP(-LN(2)/2))/(LN(2)/2)*ER109*EU109*VLOOKUP('Données projet'!$B$15,Paramètres!$A$1:$I$89,3,0)*0.475*44/12</f>
        <v>7.1941966676505327E-6</v>
      </c>
      <c r="EY109" s="22">
        <f t="shared" si="75"/>
        <v>71.063913352599542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166.27444639635013</v>
      </c>
      <c r="FK109" s="59">
        <f t="shared" si="102"/>
        <v>213.60182977243113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39.059308787669224</v>
      </c>
      <c r="FR109" s="21">
        <f>EXP(-LN(2)/25)*FR108+(1-EXP(-LN(2)/25))/(LN(2)/25)*Calculateur!FM109*Calculateur!FO109*VLOOKUP('Données projet'!$B$16,Paramètres!$A$1:$I$89,3,0)*0.475*44/12</f>
        <v>13.083277670131164</v>
      </c>
      <c r="FS109" s="21">
        <f>EXP(-LN(2)/2)*FS108+(1-EXP(-LN(2)/2))/(LN(2)/2)*FM109*FP109*VLOOKUP('Données projet'!$B$16,Paramètres!$A$1:$I$89,3,0)*0.475*44/12</f>
        <v>2.2589949053178175E-5</v>
      </c>
      <c r="FT109" s="22">
        <f t="shared" si="78"/>
        <v>52.142609047749445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5.2</v>
      </c>
      <c r="N110" s="13">
        <f>IF('Données projet'!$A$36&gt;35,N109+M110-V109,IF(A110&lt;'Données projet'!$A$36,$K$205^A110,IF(A110='Données projet'!$A$36,'Données projet'!$B$36,N109+M110-V109)))</f>
        <v>342.40000000000003</v>
      </c>
      <c r="O110" s="13">
        <f>N110*VLOOKUP('Données projet'!$B$9,Paramètres!$A$1:$I$89,3,0)*VLOOKUP('Données projet'!$B$9,Paramètres!$A$1:$I$89,5,0)</f>
        <v>309.80352000000005</v>
      </c>
      <c r="P110" s="13">
        <f t="shared" si="87"/>
        <v>73.227795813703821</v>
      </c>
      <c r="Q110" s="20">
        <f t="shared" si="107"/>
        <v>667.11287504220093</v>
      </c>
      <c r="R110" s="59">
        <f t="shared" si="55"/>
        <v>960.4462083755343</v>
      </c>
      <c r="S110" s="59">
        <f ca="1">AVERAGE(OFFSET($R$3,0,0,'Données projet'!$E$9+1,1))-AVERAGE(OFFSET($H$3,0,0,'Données projet'!$E$9+1,1))</f>
        <v>458.37755197712164</v>
      </c>
      <c r="T110" s="59">
        <f t="shared" si="88"/>
        <v>278.21741231699917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46.935141525094629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46.935141525094629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342.40000000000003</v>
      </c>
      <c r="AJ110" s="13">
        <f>AI110*VLOOKUP('Données projet'!$B$10,Paramètres!$A$1:$I$89,3,0)*VLOOKUP('Données projet'!$B$10,Paramètres!$A$1:$I$89,5,0)</f>
        <v>347.19360000000006</v>
      </c>
      <c r="AK110" s="13">
        <f t="shared" si="89"/>
        <v>80.984373854243287</v>
      </c>
      <c r="AL110" s="20">
        <f t="shared" si="58"/>
        <v>745.74330446280726</v>
      </c>
      <c r="AM110" s="59">
        <f t="shared" si="59"/>
        <v>1039.0766377961406</v>
      </c>
      <c r="AN110" s="59">
        <f ca="1">AVERAGE(OFFSET($AM$3,0,0,'Données projet'!$E$10+1,1))-AVERAGE(OFFSET($H$3,0,0,'Données projet'!$E$10+1,1))</f>
        <v>508.60701013958447</v>
      </c>
      <c r="AO110" s="59">
        <f t="shared" si="90"/>
        <v>306.61893266146654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52.599727571226737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52.599727571226737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-1.0818439477588981E-13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291.17074241052887</v>
      </c>
      <c r="BJ110" s="59">
        <f t="shared" si="92"/>
        <v>241.18285512887638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52.453522444571568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52.453522444571568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5.2</v>
      </c>
      <c r="BY110" s="12">
        <f>IF('Données projet'!$A$114&gt;35,BY109+BX110-CG109,IF(A110&lt;'Données projet'!$A$114,$BV$205^A110,IF(A110='Données projet'!$A$114,'Données projet'!$B$114,BY109+BX110-CG109)))</f>
        <v>342.40000000000003</v>
      </c>
      <c r="BZ110" s="13">
        <f>BY110*VLOOKUP('Données projet'!$B$12,Paramètres!$A$1:$I$89,3,0)*VLOOKUP('Données projet'!$B$12,Paramètres!$A$1:$I$89,5,0)</f>
        <v>288.43776000000008</v>
      </c>
      <c r="CA110" s="13">
        <f t="shared" si="93"/>
        <v>68.747057287972666</v>
      </c>
      <c r="CB110" s="20">
        <f t="shared" si="64"/>
        <v>622.09689010988586</v>
      </c>
      <c r="CC110" s="59">
        <f t="shared" si="65"/>
        <v>915.43022344321912</v>
      </c>
      <c r="CD110" s="59">
        <f ca="1">AVERAGE(OFFSET($CC$3,0,0,'Données projet'!$E$12+1,1))-AVERAGE(OFFSET($H$3,0,0,'Données projet'!$E$12+1,1))</f>
        <v>429.61977776013185</v>
      </c>
      <c r="CE110" s="59">
        <f t="shared" si="94"/>
        <v>261.95434270986385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43.698235213019146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43.698235213019146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-1.7053025658242404E-13</v>
      </c>
      <c r="CU110" s="17">
        <f>CT110*VLOOKUP('Données projet'!$B$13,Paramètres!$A$1:$I$89,3,0)*VLOOKUP('Données projet'!$B$13,Paramètres!$A$1:$I$89,5,0)</f>
        <v>-1.1173142411280423E-13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255.09913504736693</v>
      </c>
      <c r="CZ110" s="59">
        <f t="shared" si="96"/>
        <v>248.42617382406644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35.657509787303752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35.657509787303752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2.4</v>
      </c>
      <c r="DO110" s="12">
        <f>IF('Données projet'!$A$166&gt;35,DO109+DN110-DW109,IF(A110&lt;'Données projet'!$A$166,$DL$205^A110,IF(A110='Données projet'!$A$166,'Données projet'!$B$166,DO109+DN110-DW109)))</f>
        <v>277.79999999999978</v>
      </c>
      <c r="DP110" s="17">
        <f>DO110*VLOOKUP('Données projet'!$B$14,Paramètres!$A$1:$I$89,3,0)*VLOOKUP('Données projet'!$B$14,Paramètres!$A$1:$I$89,5,0)</f>
        <v>316.35863999999975</v>
      </c>
      <c r="DQ110" s="13">
        <f t="shared" si="97"/>
        <v>74.595193986221346</v>
      </c>
      <c r="DR110" s="20">
        <f t="shared" si="70"/>
        <v>680.9112608593349</v>
      </c>
      <c r="DS110" s="59">
        <f t="shared" si="71"/>
        <v>974.24459419266827</v>
      </c>
      <c r="DT110" s="59">
        <f ca="1">AVERAGE(OFFSET($DS$3,0,0,'Données projet'!$E$14+1,1))-AVERAGE(OFFSET($H$3,0,0,'Données projet'!$E$14+1,1))</f>
        <v>459.67331926893809</v>
      </c>
      <c r="DU110" s="59">
        <f t="shared" si="98"/>
        <v>280.33242658375497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34.127358113085364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34.127358113085364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264.08053957457469</v>
      </c>
      <c r="EP110" s="59">
        <f t="shared" si="100"/>
        <v>284.83300065761051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63.886219676493496</v>
      </c>
      <c r="EW110" s="21">
        <f>EXP(-LN(2)/25)*EW109+(1-EXP(-LN(2)/25))/(LN(2)/25)*Calculateur!ER110*Calculateur!ET110*VLOOKUP('Données projet'!$B$15,Paramètres!$A$1:$I$89,3,0)*0.475*44/12</f>
        <v>5.7385273065847953</v>
      </c>
      <c r="EX110" s="21">
        <f>EXP(-LN(2)/2)*EX109+(1-EXP(-LN(2)/2))/(LN(2)/2)*ER110*EU110*VLOOKUP('Données projet'!$B$15,Paramètres!$A$1:$I$89,3,0)*0.475*44/12</f>
        <v>5.0870652488853545E-6</v>
      </c>
      <c r="EY110" s="22">
        <f t="shared" si="75"/>
        <v>69.624752070143543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166.27444639635013</v>
      </c>
      <c r="FK110" s="59">
        <f t="shared" si="102"/>
        <v>213.60182977243113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38.29337956616898</v>
      </c>
      <c r="FR110" s="21">
        <f>EXP(-LN(2)/25)*FR109+(1-EXP(-LN(2)/25))/(LN(2)/25)*Calculateur!FM110*Calculateur!FO110*VLOOKUP('Données projet'!$B$16,Paramètres!$A$1:$I$89,3,0)*0.475*44/12</f>
        <v>12.725514754221757</v>
      </c>
      <c r="FS110" s="21">
        <f>EXP(-LN(2)/2)*FS109+(1-EXP(-LN(2)/2))/(LN(2)/2)*FM110*FP110*VLOOKUP('Données projet'!$B$16,Paramètres!$A$1:$I$89,3,0)*0.475*44/12</f>
        <v>1.5973506162160916E-5</v>
      </c>
      <c r="FT110" s="22">
        <f t="shared" si="78"/>
        <v>51.018910293896894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5.2</v>
      </c>
      <c r="N111" s="13">
        <f>IF('Données projet'!$A$36&gt;35,N110+M111-V110,IF(A111&lt;'Données projet'!$A$36,$K$205^A111,IF(A111='Données projet'!$A$36,'Données projet'!$B$36,N110+M111-V110)))</f>
        <v>347.6</v>
      </c>
      <c r="O111" s="13">
        <f>N111*VLOOKUP('Données projet'!$B$9,Paramètres!$A$1:$I$89,3,0)*VLOOKUP('Données projet'!$B$9,Paramètres!$A$1:$I$89,5,0)</f>
        <v>314.50848000000002</v>
      </c>
      <c r="P111" s="13">
        <f t="shared" si="87"/>
        <v>74.20958756161744</v>
      </c>
      <c r="Q111" s="20">
        <f t="shared" si="107"/>
        <v>677.01730100315035</v>
      </c>
      <c r="R111" s="59">
        <f t="shared" si="55"/>
        <v>970.35063433648361</v>
      </c>
      <c r="S111" s="59">
        <f ca="1">AVERAGE(OFFSET($R$3,0,0,'Données projet'!$E$9+1,1))-AVERAGE(OFFSET($H$3,0,0,'Données projet'!$E$9+1,1))</f>
        <v>458.37755197712164</v>
      </c>
      <c r="T111" s="59">
        <f t="shared" si="88"/>
        <v>278.21741231699917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46.014772027397115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46.014772027397115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347.6</v>
      </c>
      <c r="AJ111" s="13">
        <f>AI111*VLOOKUP('Données projet'!$B$10,Paramètres!$A$1:$I$89,3,0)*VLOOKUP('Données projet'!$B$10,Paramètres!$A$1:$I$89,5,0)</f>
        <v>352.46640000000008</v>
      </c>
      <c r="AK111" s="13">
        <f t="shared" si="89"/>
        <v>82.070160870997498</v>
      </c>
      <c r="AL111" s="20">
        <f t="shared" si="58"/>
        <v>756.81784351698741</v>
      </c>
      <c r="AM111" s="59">
        <f t="shared" si="59"/>
        <v>1050.1511768503208</v>
      </c>
      <c r="AN111" s="59">
        <f ca="1">AVERAGE(OFFSET($AM$3,0,0,'Données projet'!$E$10+1,1))-AVERAGE(OFFSET($H$3,0,0,'Données projet'!$E$10+1,1))</f>
        <v>508.60701013958447</v>
      </c>
      <c r="AO111" s="59">
        <f t="shared" si="90"/>
        <v>306.61893266146654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51.568278996220897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51.568278996220897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-1.0818439477588981E-13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291.17074241052887</v>
      </c>
      <c r="BJ111" s="59">
        <f t="shared" si="92"/>
        <v>241.18285512887638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51.424940862923116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51.424940862923116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5.2</v>
      </c>
      <c r="BY111" s="12">
        <f>IF('Données projet'!$A$114&gt;35,BY110+BX111-CG110,IF(A111&lt;'Données projet'!$A$114,$BV$205^A111,IF(A111='Données projet'!$A$114,'Données projet'!$B$114,BY110+BX111-CG110)))</f>
        <v>347.6</v>
      </c>
      <c r="BZ111" s="13">
        <f>BY111*VLOOKUP('Données projet'!$B$12,Paramètres!$A$1:$I$89,3,0)*VLOOKUP('Données projet'!$B$12,Paramètres!$A$1:$I$89,5,0)</f>
        <v>292.81824000000006</v>
      </c>
      <c r="CA111" s="13">
        <f t="shared" si="93"/>
        <v>69.668774141370704</v>
      </c>
      <c r="CB111" s="20">
        <f t="shared" si="64"/>
        <v>631.33154962955405</v>
      </c>
      <c r="CC111" s="59">
        <f t="shared" si="65"/>
        <v>924.6648829628873</v>
      </c>
      <c r="CD111" s="59">
        <f ca="1">AVERAGE(OFFSET($CC$3,0,0,'Données projet'!$E$12+1,1))-AVERAGE(OFFSET($H$3,0,0,'Données projet'!$E$12+1,1))</f>
        <v>429.61977776013185</v>
      </c>
      <c r="CE111" s="59">
        <f t="shared" si="94"/>
        <v>261.95434270986385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42.841339473783528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42.841339473783528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-1.7053025658242404E-13</v>
      </c>
      <c r="CU111" s="17">
        <f>CT111*VLOOKUP('Données projet'!$B$13,Paramètres!$A$1:$I$89,3,0)*VLOOKUP('Données projet'!$B$13,Paramètres!$A$1:$I$89,5,0)</f>
        <v>-1.1173142411280423E-13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255.09913504736693</v>
      </c>
      <c r="CZ111" s="59">
        <f t="shared" si="96"/>
        <v>248.42617382406644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34.958287769308164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34.958287769308164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2.4</v>
      </c>
      <c r="DO111" s="12">
        <f>IF('Données projet'!$A$166&gt;35,DO110+DN111-DW110,IF(A111&lt;'Données projet'!$A$166,$DL$205^A111,IF(A111='Données projet'!$A$166,'Données projet'!$B$166,DO110+DN111-DW110)))</f>
        <v>280.19999999999976</v>
      </c>
      <c r="DP111" s="17">
        <f>DO111*VLOOKUP('Données projet'!$B$14,Paramètres!$A$1:$I$89,3,0)*VLOOKUP('Données projet'!$B$14,Paramètres!$A$1:$I$89,5,0)</f>
        <v>319.09175999999974</v>
      </c>
      <c r="DQ111" s="13">
        <f t="shared" si="97"/>
        <v>75.164345418154994</v>
      </c>
      <c r="DR111" s="20">
        <f t="shared" si="70"/>
        <v>686.6627169366194</v>
      </c>
      <c r="DS111" s="59">
        <f t="shared" si="71"/>
        <v>979.99605026995278</v>
      </c>
      <c r="DT111" s="59">
        <f ca="1">AVERAGE(OFFSET($DS$3,0,0,'Données projet'!$E$14+1,1))-AVERAGE(OFFSET($H$3,0,0,'Données projet'!$E$14+1,1))</f>
        <v>459.67331926893809</v>
      </c>
      <c r="DU111" s="59">
        <f t="shared" si="98"/>
        <v>280.33242658375497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33.458141436120833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33.458141436120833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264.08053957457469</v>
      </c>
      <c r="EP111" s="59">
        <f t="shared" si="100"/>
        <v>284.83300065761051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62.633449875383818</v>
      </c>
      <c r="EW111" s="21">
        <f>EXP(-LN(2)/25)*EW110+(1-EXP(-LN(2)/25))/(LN(2)/25)*Calculateur!ER111*Calculateur!ET111*VLOOKUP('Données projet'!$B$15,Paramètres!$A$1:$I$89,3,0)*0.475*44/12</f>
        <v>5.5816069756101987</v>
      </c>
      <c r="EX111" s="21">
        <f>EXP(-LN(2)/2)*EX110+(1-EXP(-LN(2)/2))/(LN(2)/2)*ER111*EU111*VLOOKUP('Données projet'!$B$15,Paramètres!$A$1:$I$89,3,0)*0.475*44/12</f>
        <v>3.5970983338252663E-6</v>
      </c>
      <c r="EY111" s="22">
        <f t="shared" si="75"/>
        <v>68.215060448092345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166.27444639635013</v>
      </c>
      <c r="FK111" s="59">
        <f t="shared" si="102"/>
        <v>213.60182977243113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37.542469749531662</v>
      </c>
      <c r="FR111" s="21">
        <f>EXP(-LN(2)/25)*FR110+(1-EXP(-LN(2)/25))/(LN(2)/25)*Calculateur!FM111*Calculateur!FO111*VLOOKUP('Données projet'!$B$16,Paramètres!$A$1:$I$89,3,0)*0.475*44/12</f>
        <v>12.377534884061827</v>
      </c>
      <c r="FS111" s="21">
        <f>EXP(-LN(2)/2)*FS110+(1-EXP(-LN(2)/2))/(LN(2)/2)*FM111*FP111*VLOOKUP('Données projet'!$B$16,Paramètres!$A$1:$I$89,3,0)*0.475*44/12</f>
        <v>1.1294974526589087E-5</v>
      </c>
      <c r="FT111" s="22">
        <f t="shared" si="78"/>
        <v>49.92001592856802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5.2</v>
      </c>
      <c r="N112" s="13">
        <f>IF('Données projet'!$A$36&gt;35,N111+M112-V111,IF(A112&lt;'Données projet'!$A$36,$K$205^A112,IF(A112='Données projet'!$A$36,'Données projet'!$B$36,N111+M112-V111)))</f>
        <v>352.8</v>
      </c>
      <c r="O112" s="13">
        <f>N112*VLOOKUP('Données projet'!$B$9,Paramètres!$A$1:$I$89,3,0)*VLOOKUP('Données projet'!$B$9,Paramètres!$A$1:$I$89,5,0)</f>
        <v>319.21343999999999</v>
      </c>
      <c r="P112" s="13">
        <f t="shared" si="87"/>
        <v>75.18967112417171</v>
      </c>
      <c r="Q112" s="20">
        <f t="shared" si="107"/>
        <v>686.91875187459891</v>
      </c>
      <c r="R112" s="59">
        <f t="shared" si="55"/>
        <v>980.25208520793217</v>
      </c>
      <c r="S112" s="59">
        <f ca="1">AVERAGE(OFFSET($R$3,0,0,'Données projet'!$E$9+1,1))-AVERAGE(OFFSET($H$3,0,0,'Données projet'!$E$9+1,1))</f>
        <v>458.37755197712164</v>
      </c>
      <c r="T112" s="59">
        <f t="shared" si="88"/>
        <v>278.21741231699917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45.112450414179484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45.112450414179484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352.8</v>
      </c>
      <c r="AJ112" s="13">
        <f>AI112*VLOOKUP('Données projet'!$B$10,Paramètres!$A$1:$I$89,3,0)*VLOOKUP('Données projet'!$B$10,Paramètres!$A$1:$I$89,5,0)</f>
        <v>357.73920000000004</v>
      </c>
      <c r="AK112" s="13">
        <f t="shared" si="89"/>
        <v>83.154058764636403</v>
      </c>
      <c r="AL112" s="20">
        <f t="shared" si="58"/>
        <v>767.88909234840855</v>
      </c>
      <c r="AM112" s="59">
        <f t="shared" si="59"/>
        <v>1061.2224256817419</v>
      </c>
      <c r="AN112" s="59">
        <f ca="1">AVERAGE(OFFSET($AM$3,0,0,'Données projet'!$E$10+1,1))-AVERAGE(OFFSET($H$3,0,0,'Données projet'!$E$10+1,1))</f>
        <v>508.60701013958447</v>
      </c>
      <c r="AO112" s="59">
        <f t="shared" si="90"/>
        <v>306.61893266146654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50.557056498649416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50.557056498649416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-1.0818439477588981E-13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291.17074241052887</v>
      </c>
      <c r="BJ112" s="59">
        <f t="shared" si="92"/>
        <v>241.18285512887638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50.416529138717969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50.416529138717969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5.2</v>
      </c>
      <c r="BY112" s="12">
        <f>IF('Données projet'!$A$114&gt;35,BY111+BX112-CG111,IF(A112&lt;'Données projet'!$A$114,$BV$205^A112,IF(A112='Données projet'!$A$114,'Données projet'!$B$114,BY111+BX112-CG111)))</f>
        <v>352.8</v>
      </c>
      <c r="BZ112" s="13">
        <f>BY112*VLOOKUP('Données projet'!$B$12,Paramètres!$A$1:$I$89,3,0)*VLOOKUP('Données projet'!$B$12,Paramètres!$A$1:$I$89,5,0)</f>
        <v>297.19872000000004</v>
      </c>
      <c r="CA112" s="13">
        <f t="shared" si="93"/>
        <v>70.588887331631568</v>
      </c>
      <c r="CB112" s="20">
        <f t="shared" si="64"/>
        <v>640.56341610259176</v>
      </c>
      <c r="CC112" s="59">
        <f t="shared" si="65"/>
        <v>933.89674943592513</v>
      </c>
      <c r="CD112" s="59">
        <f ca="1">AVERAGE(OFFSET($CC$3,0,0,'Données projet'!$E$12+1,1))-AVERAGE(OFFSET($H$3,0,0,'Données projet'!$E$12+1,1))</f>
        <v>429.61977776013185</v>
      </c>
      <c r="CE112" s="59">
        <f t="shared" si="94"/>
        <v>261.95434270986385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42.001246937339523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42.001246937339523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-1.7053025658242404E-13</v>
      </c>
      <c r="CU112" s="17">
        <f>CT112*VLOOKUP('Données projet'!$B$13,Paramètres!$A$1:$I$89,3,0)*VLOOKUP('Données projet'!$B$13,Paramètres!$A$1:$I$89,5,0)</f>
        <v>-1.1173142411280423E-13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255.09913504736693</v>
      </c>
      <c r="CZ112" s="59">
        <f t="shared" si="96"/>
        <v>248.42617382406644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34.272777068602153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34.272777068602153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2.4</v>
      </c>
      <c r="DO112" s="12">
        <f>IF('Données projet'!$A$166&gt;35,DO111+DN112-DW111,IF(A112&lt;'Données projet'!$A$166,$DL$205^A112,IF(A112='Données projet'!$A$166,'Données projet'!$B$166,DO111+DN112-DW111)))</f>
        <v>282.59999999999974</v>
      </c>
      <c r="DP112" s="17">
        <f>DO112*VLOOKUP('Données projet'!$B$14,Paramètres!$A$1:$I$89,3,0)*VLOOKUP('Données projet'!$B$14,Paramètres!$A$1:$I$89,5,0)</f>
        <v>321.82487999999972</v>
      </c>
      <c r="DQ112" s="13">
        <f t="shared" si="97"/>
        <v>75.732929680335189</v>
      </c>
      <c r="DR112" s="20">
        <f t="shared" si="70"/>
        <v>692.41318519324989</v>
      </c>
      <c r="DS112" s="59">
        <f t="shared" si="71"/>
        <v>985.74651852658326</v>
      </c>
      <c r="DT112" s="59">
        <f ca="1">AVERAGE(OFFSET($DS$3,0,0,'Données projet'!$E$14+1,1))-AVERAGE(OFFSET($H$3,0,0,'Données projet'!$E$14+1,1))</f>
        <v>459.67331926893809</v>
      </c>
      <c r="DU112" s="59">
        <f t="shared" si="98"/>
        <v>280.33242658375497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32.802047690009708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32.802047690009708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264.08053957457469</v>
      </c>
      <c r="EP112" s="59">
        <f t="shared" si="100"/>
        <v>284.83300065761051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61.405246125959771</v>
      </c>
      <c r="EW112" s="21">
        <f>EXP(-LN(2)/25)*EW111+(1-EXP(-LN(2)/25))/(LN(2)/25)*Calculateur!ER112*Calculateur!ET112*VLOOKUP('Données projet'!$B$15,Paramètres!$A$1:$I$89,3,0)*0.475*44/12</f>
        <v>5.4289776393381839</v>
      </c>
      <c r="EX112" s="21">
        <f>EXP(-LN(2)/2)*EX111+(1-EXP(-LN(2)/2))/(LN(2)/2)*ER112*EU112*VLOOKUP('Données projet'!$B$15,Paramètres!$A$1:$I$89,3,0)*0.475*44/12</f>
        <v>2.5435326244426773E-6</v>
      </c>
      <c r="EY112" s="22">
        <f t="shared" si="75"/>
        <v>66.83422630883058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166.27444639635013</v>
      </c>
      <c r="FK112" s="59">
        <f t="shared" si="102"/>
        <v>213.60182977243113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36.806284816388839</v>
      </c>
      <c r="FR112" s="21">
        <f>EXP(-LN(2)/25)*FR111+(1-EXP(-LN(2)/25))/(LN(2)/25)*Calculateur!FM112*Calculateur!FO112*VLOOKUP('Données projet'!$B$16,Paramètres!$A$1:$I$89,3,0)*0.475*44/12</f>
        <v>12.039070541750887</v>
      </c>
      <c r="FS112" s="21">
        <f>EXP(-LN(2)/2)*FS111+(1-EXP(-LN(2)/2))/(LN(2)/2)*FM112*FP112*VLOOKUP('Données projet'!$B$16,Paramètres!$A$1:$I$89,3,0)*0.475*44/12</f>
        <v>7.9867530810804578E-6</v>
      </c>
      <c r="FT112" s="22">
        <f t="shared" si="78"/>
        <v>48.84536334489281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358</v>
      </c>
      <c r="L113" s="12">
        <f>VLOOKUP(A113,'Données projet'!$A$35:$I$55,9,0)</f>
        <v>5.2</v>
      </c>
      <c r="M113" s="12">
        <f t="array" ref="M113">INDEX(L:L,MIN(IF(ISNUMBER(L113:L309),ROW(L113:L309),"")))</f>
        <v>5.2</v>
      </c>
      <c r="N113" s="13">
        <f>IF('Données projet'!$A$36&gt;35,N112+M113-V112,IF(A113&lt;'Données projet'!$A$36,$K$205^A113,IF(A113='Données projet'!$A$36,'Données projet'!$B$36,N112+M113-V112)))</f>
        <v>358</v>
      </c>
      <c r="O113" s="13">
        <f>N113*VLOOKUP('Données projet'!$B$9,Paramètres!$A$1:$I$89,3,0)*VLOOKUP('Données projet'!$B$9,Paramètres!$A$1:$I$89,5,0)</f>
        <v>323.91839999999996</v>
      </c>
      <c r="P113" s="13">
        <f t="shared" si="87"/>
        <v>76.168074587293091</v>
      </c>
      <c r="Q113" s="20">
        <f t="shared" si="107"/>
        <v>696.81727657286876</v>
      </c>
      <c r="R113" s="59">
        <f t="shared" si="55"/>
        <v>990.15060990620213</v>
      </c>
      <c r="S113" s="59">
        <f ca="1">AVERAGE(OFFSET($R$3,0,0,'Données projet'!$E$9+1,1))-AVERAGE(OFFSET($H$3,0,0,'Données projet'!$E$9+1,1))</f>
        <v>458.37755197712164</v>
      </c>
      <c r="T113" s="59">
        <f t="shared" si="88"/>
        <v>278.21741231699917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51</v>
      </c>
      <c r="W113" s="16">
        <f>IF(ISNA(VLOOKUP(A113,'Données projet'!$A$35:$I$55,5,0)),0%,VLOOKUP(A113,'Données projet'!$A$35:$I$55,5,0)*VLOOKUP('Données projet'!$B$9,Paramètres!$A$1:$I$89,7,0))</f>
        <v>0.34400000000000003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61.775850869333603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61.775850869333603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358</v>
      </c>
      <c r="AJ113" s="13">
        <f>AI113*VLOOKUP('Données projet'!$B$10,Paramètres!$A$1:$I$89,3,0)*VLOOKUP('Données projet'!$B$10,Paramètres!$A$1:$I$89,5,0)</f>
        <v>363.01200000000006</v>
      </c>
      <c r="AK113" s="13">
        <f t="shared" si="89"/>
        <v>84.236098596059009</v>
      </c>
      <c r="AL113" s="20">
        <f t="shared" si="58"/>
        <v>778.95710505480292</v>
      </c>
      <c r="AM113" s="59">
        <f t="shared" si="59"/>
        <v>1072.2904383881362</v>
      </c>
      <c r="AN113" s="59">
        <f ca="1">AVERAGE(OFFSET($AM$3,0,0,'Données projet'!$E$10+1,1))-AVERAGE(OFFSET($H$3,0,0,'Données projet'!$E$10+1,1))</f>
        <v>508.60701013958447</v>
      </c>
      <c r="AO113" s="59">
        <f t="shared" si="90"/>
        <v>306.61893266146654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0.34400000000000003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69.231557008735933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69.231557008735933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-1.0818439477588981E-13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291.17074241052887</v>
      </c>
      <c r="BJ113" s="59">
        <f t="shared" si="92"/>
        <v>241.18285512887638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49.427891753354068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49.427891753354068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358</v>
      </c>
      <c r="BW113" s="12">
        <f>VLOOKUP(A113,'Données projet'!$A$113:$I$133,9,0)</f>
        <v>5.2</v>
      </c>
      <c r="BX113" s="12">
        <f t="array" ref="BX113">INDEX(BW:BW,MIN(IF(ISNUMBER(BW113:BW309),ROW(BW113:BW309),"")))</f>
        <v>5.2</v>
      </c>
      <c r="BY113" s="12">
        <f>IF('Données projet'!$A$114&gt;35,BY112+BX113-CG112,IF(A113&lt;'Données projet'!$A$114,$BV$205^A113,IF(A113='Données projet'!$A$114,'Données projet'!$B$114,BY112+BX113-CG112)))</f>
        <v>358</v>
      </c>
      <c r="BZ113" s="13">
        <f>BY113*VLOOKUP('Données projet'!$B$12,Paramètres!$A$1:$I$89,3,0)*VLOOKUP('Données projet'!$B$12,Paramètres!$A$1:$I$89,5,0)</f>
        <v>301.57920000000007</v>
      </c>
      <c r="CA113" s="13">
        <f t="shared" si="93"/>
        <v>71.507423226130925</v>
      </c>
      <c r="CB113" s="20">
        <f t="shared" si="64"/>
        <v>649.79253545217807</v>
      </c>
      <c r="CC113" s="59">
        <f t="shared" si="65"/>
        <v>943.12586878551133</v>
      </c>
      <c r="CD113" s="59">
        <f ca="1">AVERAGE(OFFSET($CC$3,0,0,'Données projet'!$E$12+1,1))-AVERAGE(OFFSET($H$3,0,0,'Données projet'!$E$12+1,1))</f>
        <v>429.61977776013185</v>
      </c>
      <c r="CE113" s="59">
        <f t="shared" si="94"/>
        <v>261.95434270986385</v>
      </c>
      <c r="CF113" s="15">
        <f>IF(ISNA(VLOOKUP(A113,'Données projet'!$A$113:$I$133,3,0)),0,VLOOKUP(A113,'Données projet'!$A$113:$I$133,3,0))</f>
        <v>19</v>
      </c>
      <c r="CG113" s="15">
        <f>IF(ISNA(VLOOKUP(A113,'Données projet'!$A$113:$I$133,4,0)),0,VLOOKUP(A113,'Données projet'!$A$113:$I$133,4,0))</f>
        <v>51</v>
      </c>
      <c r="CH113" s="16">
        <f>IF(ISNA(VLOOKUP(A113,'Données projet'!$A$113:$I$133,5,0)),0%,VLOOKUP(A113,'Données projet'!$A$113:$I$133,5,0)*VLOOKUP('Données projet'!$B$12,Paramètres!$A$1:$I$89,7,0))</f>
        <v>0.34400000000000003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57.51544736110371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57.51544736110371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-1.7053025658242404E-13</v>
      </c>
      <c r="CU113" s="17">
        <f>CT113*VLOOKUP('Données projet'!$B$13,Paramètres!$A$1:$I$89,3,0)*VLOOKUP('Données projet'!$B$13,Paramètres!$A$1:$I$89,5,0)</f>
        <v>-1.1173142411280423E-13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255.09913504736693</v>
      </c>
      <c r="CZ113" s="59">
        <f t="shared" si="96"/>
        <v>248.42617382406644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33.600708814616745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33.600708814616745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285</v>
      </c>
      <c r="DM113" s="12">
        <f>VLOOKUP(A113,'Données projet'!$A$165:$I$185,9,0)</f>
        <v>2.4</v>
      </c>
      <c r="DN113" s="12">
        <f t="array" ref="DN113">INDEX(DM:DM,MIN(IF(ISNUMBER(DM113:DM309),ROW(DM113:DM309),"")))</f>
        <v>2.4</v>
      </c>
      <c r="DO113" s="12">
        <f>IF('Données projet'!$A$166&gt;35,DO112+DN113-DW112,IF(A113&lt;'Données projet'!$A$166,$DL$205^A113,IF(A113='Données projet'!$A$166,'Données projet'!$B$166,DO112+DN113-DW112)))</f>
        <v>284.99999999999972</v>
      </c>
      <c r="DP113" s="17">
        <f>DO113*VLOOKUP('Données projet'!$B$14,Paramètres!$A$1:$I$89,3,0)*VLOOKUP('Données projet'!$B$14,Paramètres!$A$1:$I$89,5,0)</f>
        <v>324.55799999999965</v>
      </c>
      <c r="DQ113" s="13">
        <f t="shared" si="97"/>
        <v>76.300952147630127</v>
      </c>
      <c r="DR113" s="20">
        <f t="shared" si="70"/>
        <v>698.16267499045523</v>
      </c>
      <c r="DS113" s="59">
        <f t="shared" si="71"/>
        <v>991.4960083237886</v>
      </c>
      <c r="DT113" s="59">
        <f ca="1">AVERAGE(OFFSET($DS$3,0,0,'Données projet'!$E$14+1,1))-AVERAGE(OFFSET($H$3,0,0,'Données projet'!$E$14+1,1))</f>
        <v>459.67331926893809</v>
      </c>
      <c r="DU113" s="59">
        <f t="shared" si="98"/>
        <v>280.33242658375497</v>
      </c>
      <c r="DV113" s="15">
        <f>IF(ISNA(VLOOKUP(A113,'Données projet'!$A$165:$I$185,3,0)),0,VLOOKUP(A113,'Données projet'!$A$165:$I$185,3,0))</f>
        <v>17</v>
      </c>
      <c r="DW113" s="15">
        <f>IF(ISNA(VLOOKUP(A113,'Données projet'!$A$165:$I$185,4,0)),0,VLOOKUP(A113,'Données projet'!$A$165:$I$185,4,0))</f>
        <v>19</v>
      </c>
      <c r="DX113" s="16">
        <f>IF(ISNA(VLOOKUP(A113,'Données projet'!$A$165:$I$185,5,0)),0%,VLOOKUP(A113,'Données projet'!$A$165:$I$185,5,0)*VLOOKUP('Données projet'!$B$14,Paramètres!$A$1:$I$89,7,0))</f>
        <v>0.34400000000000003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40.387053133516595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40.387053133516595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264.08053957457469</v>
      </c>
      <c r="EP113" s="59">
        <f t="shared" si="100"/>
        <v>284.83300065761051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60.20112670293161</v>
      </c>
      <c r="EW113" s="21">
        <f>EXP(-LN(2)/25)*EW112+(1-EXP(-LN(2)/25))/(LN(2)/25)*Calculateur!ER113*Calculateur!ET113*VLOOKUP('Données projet'!$B$15,Paramètres!$A$1:$I$89,3,0)*0.475*44/12</f>
        <v>5.2805219602929556</v>
      </c>
      <c r="EX113" s="21">
        <f>EXP(-LN(2)/2)*EX112+(1-EXP(-LN(2)/2))/(LN(2)/2)*ER113*EU113*VLOOKUP('Données projet'!$B$15,Paramètres!$A$1:$I$89,3,0)*0.475*44/12</f>
        <v>1.7985491669126332E-6</v>
      </c>
      <c r="EY113" s="22">
        <f t="shared" si="75"/>
        <v>65.481650461773725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166.27444639635013</v>
      </c>
      <c r="FK113" s="59">
        <f t="shared" si="102"/>
        <v>213.60182977243113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36.084536020756474</v>
      </c>
      <c r="FR113" s="21">
        <f>EXP(-LN(2)/25)*FR112+(1-EXP(-LN(2)/25))/(LN(2)/25)*Calculateur!FM113*Calculateur!FO113*VLOOKUP('Données projet'!$B$16,Paramètres!$A$1:$I$89,3,0)*0.475*44/12</f>
        <v>11.709861524679505</v>
      </c>
      <c r="FS113" s="21">
        <f>EXP(-LN(2)/2)*FS112+(1-EXP(-LN(2)/2))/(LN(2)/2)*FM113*FP113*VLOOKUP('Données projet'!$B$16,Paramètres!$A$1:$I$89,3,0)*0.475*44/12</f>
        <v>5.6474872632945436E-6</v>
      </c>
      <c r="FT113" s="22">
        <f t="shared" si="78"/>
        <v>47.794403192923241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4.5</v>
      </c>
      <c r="N114" s="13">
        <f>IF('Données projet'!$A$36&gt;35,N113+M114-V113,IF(A114&lt;'Données projet'!$A$36,$K$205^A114,IF(A114='Données projet'!$A$36,'Données projet'!$B$36,N113+M114-V113)))</f>
        <v>311.5</v>
      </c>
      <c r="O114" s="13">
        <f>N114*VLOOKUP('Données projet'!$B$9,Paramètres!$A$1:$I$89,3,0)*VLOOKUP('Données projet'!$B$9,Paramètres!$A$1:$I$89,5,0)</f>
        <v>281.84519999999998</v>
      </c>
      <c r="P114" s="13">
        <f t="shared" si="87"/>
        <v>67.356803491560484</v>
      </c>
      <c r="Q114" s="20">
        <f t="shared" si="107"/>
        <v>608.19348941446776</v>
      </c>
      <c r="R114" s="59">
        <f t="shared" si="55"/>
        <v>901.52682274780113</v>
      </c>
      <c r="S114" s="59">
        <f ca="1">AVERAGE(OFFSET($R$3,0,0,'Données projet'!$E$9+1,1))-AVERAGE(OFFSET($H$3,0,0,'Données projet'!$E$9+1,1))</f>
        <v>458.37755197712164</v>
      </c>
      <c r="T114" s="59">
        <f t="shared" si="88"/>
        <v>278.21741231699917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60.564464113334452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60.564464113334452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4.5</v>
      </c>
      <c r="AI114" s="13">
        <f>IF('Données projet'!$A$62&gt;35,AI113+AH114-AQ113,IF(A114&lt;'Données projet'!$A$62,$AF$205^A114,IF(A114='Données projet'!$A$62,'Données projet'!$B$62,AI113+AH114-AQ113)))</f>
        <v>311.5</v>
      </c>
      <c r="AJ114" s="13">
        <f>AI114*VLOOKUP('Données projet'!$B$10,Paramètres!$A$1:$I$89,3,0)*VLOOKUP('Données projet'!$B$10,Paramètres!$A$1:$I$89,5,0)</f>
        <v>315.86099999999999</v>
      </c>
      <c r="AK114" s="13">
        <f t="shared" si="89"/>
        <v>74.491502782151414</v>
      </c>
      <c r="AL114" s="20">
        <f t="shared" si="58"/>
        <v>679.86394234558043</v>
      </c>
      <c r="AM114" s="59">
        <f t="shared" si="59"/>
        <v>973.19727567891368</v>
      </c>
      <c r="AN114" s="59">
        <f ca="1">AVERAGE(OFFSET($AM$3,0,0,'Données projet'!$E$10+1,1))-AVERAGE(OFFSET($H$3,0,0,'Données projet'!$E$10+1,1))</f>
        <v>508.60701013958447</v>
      </c>
      <c r="AO114" s="59">
        <f t="shared" si="90"/>
        <v>306.61893266146654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67.873968402874823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67.873968402874823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-1.0818439477588981E-13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291.17074241052887</v>
      </c>
      <c r="BJ114" s="59">
        <f t="shared" si="92"/>
        <v>241.18285512887638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48.458640944107891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48.458640944107891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4.5</v>
      </c>
      <c r="BY114" s="12">
        <f>IF('Données projet'!$A$114&gt;35,BY113+BX114-CG113,IF(A114&lt;'Données projet'!$A$114,$BV$205^A114,IF(A114='Données projet'!$A$114,'Données projet'!$B$114,BY113+BX114-CG113)))</f>
        <v>311.5</v>
      </c>
      <c r="BZ114" s="13">
        <f>BY114*VLOOKUP('Données projet'!$B$12,Paramètres!$A$1:$I$89,3,0)*VLOOKUP('Données projet'!$B$12,Paramètres!$A$1:$I$89,5,0)</f>
        <v>262.4076</v>
      </c>
      <c r="CA114" s="13">
        <f t="shared" si="93"/>
        <v>63.23530534975442</v>
      </c>
      <c r="CB114" s="20">
        <f t="shared" si="64"/>
        <v>567.16139348415561</v>
      </c>
      <c r="CC114" s="59">
        <f t="shared" si="65"/>
        <v>860.49472681748898</v>
      </c>
      <c r="CD114" s="59">
        <f ca="1">AVERAGE(OFFSET($CC$3,0,0,'Données projet'!$E$12+1,1))-AVERAGE(OFFSET($H$3,0,0,'Données projet'!$E$12+1,1))</f>
        <v>429.61977776013185</v>
      </c>
      <c r="CE114" s="59">
        <f t="shared" si="94"/>
        <v>261.95434270986385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56.387604519311402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56.387604519311402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-1.7053025658242404E-13</v>
      </c>
      <c r="CU114" s="17">
        <f>CT114*VLOOKUP('Données projet'!$B$13,Paramètres!$A$1:$I$89,3,0)*VLOOKUP('Données projet'!$B$13,Paramètres!$A$1:$I$89,5,0)</f>
        <v>-1.1173142411280423E-13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255.09913504736693</v>
      </c>
      <c r="CZ114" s="59">
        <f t="shared" si="96"/>
        <v>248.42617382406644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32.941819409170833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32.941819409170833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1.9</v>
      </c>
      <c r="DO114" s="12">
        <f>IF('Données projet'!$A$166&gt;35,DO113+DN114-DW113,IF(A114&lt;'Données projet'!$A$166,$DL$205^A114,IF(A114='Données projet'!$A$166,'Données projet'!$B$166,DO113+DN114-DW113)))</f>
        <v>267.89999999999969</v>
      </c>
      <c r="DP114" s="17">
        <f>DO114*VLOOKUP('Données projet'!$B$14,Paramètres!$A$1:$I$89,3,0)*VLOOKUP('Données projet'!$B$14,Paramètres!$A$1:$I$89,5,0)</f>
        <v>305.08451999999966</v>
      </c>
      <c r="DQ114" s="13">
        <f t="shared" si="97"/>
        <v>72.241329327748588</v>
      </c>
      <c r="DR114" s="20">
        <f t="shared" si="70"/>
        <v>657.17585424582819</v>
      </c>
      <c r="DS114" s="59">
        <f t="shared" si="71"/>
        <v>950.50918757916156</v>
      </c>
      <c r="DT114" s="59">
        <f ca="1">AVERAGE(OFFSET($DS$3,0,0,'Données projet'!$E$14+1,1))-AVERAGE(OFFSET($H$3,0,0,'Données projet'!$E$14+1,1))</f>
        <v>459.67331926893809</v>
      </c>
      <c r="DU114" s="59">
        <f t="shared" si="98"/>
        <v>280.33242658375497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39.595087655238373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39.595087655238373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264.08053957457469</v>
      </c>
      <c r="EP114" s="59">
        <f t="shared" si="100"/>
        <v>284.83300065761051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59.020619327348705</v>
      </c>
      <c r="EW114" s="21">
        <f>EXP(-LN(2)/25)*EW113+(1-EXP(-LN(2)/25))/(LN(2)/25)*Calculateur!ER114*Calculateur!ET114*VLOOKUP('Données projet'!$B$15,Paramètres!$A$1:$I$89,3,0)*0.475*44/12</f>
        <v>5.1361258095981634</v>
      </c>
      <c r="EX114" s="21">
        <f>EXP(-LN(2)/2)*EX113+(1-EXP(-LN(2)/2))/(LN(2)/2)*ER114*EU114*VLOOKUP('Données projet'!$B$15,Paramètres!$A$1:$I$89,3,0)*0.475*44/12</f>
        <v>1.2717663122213386E-6</v>
      </c>
      <c r="EY114" s="22">
        <f t="shared" si="75"/>
        <v>64.156746408713175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166.27444639635013</v>
      </c>
      <c r="FK114" s="59">
        <f t="shared" si="102"/>
        <v>213.60182977243113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35.376940278783167</v>
      </c>
      <c r="FR114" s="21">
        <f>EXP(-LN(2)/25)*FR113+(1-EXP(-LN(2)/25))/(LN(2)/25)*Calculateur!FM114*Calculateur!FO114*VLOOKUP('Données projet'!$B$16,Paramètres!$A$1:$I$89,3,0)*0.475*44/12</f>
        <v>11.38965474549229</v>
      </c>
      <c r="FS114" s="21">
        <f>EXP(-LN(2)/2)*FS113+(1-EXP(-LN(2)/2))/(LN(2)/2)*FM114*FP114*VLOOKUP('Données projet'!$B$16,Paramètres!$A$1:$I$89,3,0)*0.475*44/12</f>
        <v>3.9933765405402289E-6</v>
      </c>
      <c r="FT114" s="22">
        <f t="shared" si="78"/>
        <v>46.766599017651998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4.5</v>
      </c>
      <c r="N115" s="13">
        <f>IF('Données projet'!$A$36&gt;35,N114+M115-V114,IF(A115&lt;'Données projet'!$A$36,$K$205^A115,IF(A115='Données projet'!$A$36,'Données projet'!$B$36,N114+M115-V114)))</f>
        <v>316</v>
      </c>
      <c r="O115" s="13">
        <f>N115*VLOOKUP('Données projet'!$B$9,Paramètres!$A$1:$I$89,3,0)*VLOOKUP('Données projet'!$B$9,Paramètres!$A$1:$I$89,5,0)</f>
        <v>285.91680000000002</v>
      </c>
      <c r="P115" s="13">
        <f t="shared" si="87"/>
        <v>68.215872977287546</v>
      </c>
      <c r="Q115" s="20">
        <f t="shared" si="107"/>
        <v>616.78107210210919</v>
      </c>
      <c r="R115" s="59">
        <f t="shared" si="55"/>
        <v>910.11440543544245</v>
      </c>
      <c r="S115" s="59">
        <f ca="1">AVERAGE(OFFSET($R$3,0,0,'Données projet'!$E$9+1,1))-AVERAGE(OFFSET($H$3,0,0,'Données projet'!$E$9+1,1))</f>
        <v>458.37755197712164</v>
      </c>
      <c r="T115" s="59">
        <f t="shared" si="88"/>
        <v>278.21741231699917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59.376831912747484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59.376831912747484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4.5</v>
      </c>
      <c r="AI115" s="13">
        <f>IF('Données projet'!$A$62&gt;35,AI114+AH115-AQ114,IF(A115&lt;'Données projet'!$A$62,$AF$205^A115,IF(A115='Données projet'!$A$62,'Données projet'!$B$62,AI114+AH115-AQ114)))</f>
        <v>316</v>
      </c>
      <c r="AJ115" s="13">
        <f>AI115*VLOOKUP('Données projet'!$B$10,Paramètres!$A$1:$I$89,3,0)*VLOOKUP('Données projet'!$B$10,Paramètres!$A$1:$I$89,5,0)</f>
        <v>320.42400000000004</v>
      </c>
      <c r="AK115" s="13">
        <f t="shared" si="89"/>
        <v>75.441568308852311</v>
      </c>
      <c r="AL115" s="20">
        <f t="shared" si="58"/>
        <v>689.46586480458461</v>
      </c>
      <c r="AM115" s="59">
        <f t="shared" si="59"/>
        <v>982.79919813791798</v>
      </c>
      <c r="AN115" s="59">
        <f ca="1">AVERAGE(OFFSET($AM$3,0,0,'Données projet'!$E$10+1,1))-AVERAGE(OFFSET($H$3,0,0,'Données projet'!$E$10+1,1))</f>
        <v>508.60701013958447</v>
      </c>
      <c r="AO115" s="59">
        <f t="shared" si="90"/>
        <v>306.61893266146654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66.543001281527353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66.543001281527353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-1.0818439477588981E-13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291.17074241052887</v>
      </c>
      <c r="BJ115" s="59">
        <f t="shared" si="92"/>
        <v>241.18285512887638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47.508396552046413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47.508396552046413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4.5</v>
      </c>
      <c r="BY115" s="12">
        <f>IF('Données projet'!$A$114&gt;35,BY114+BX115-CG114,IF(A115&lt;'Données projet'!$A$114,$BV$205^A115,IF(A115='Données projet'!$A$114,'Données projet'!$B$114,BY114+BX115-CG114)))</f>
        <v>316</v>
      </c>
      <c r="BZ115" s="13">
        <f>BY115*VLOOKUP('Données projet'!$B$12,Paramètres!$A$1:$I$89,3,0)*VLOOKUP('Données projet'!$B$12,Paramètres!$A$1:$I$89,5,0)</f>
        <v>266.19840000000005</v>
      </c>
      <c r="CA115" s="13">
        <f t="shared" si="93"/>
        <v>64.041809198373272</v>
      </c>
      <c r="CB115" s="20">
        <f t="shared" si="64"/>
        <v>575.16836435383357</v>
      </c>
      <c r="CC115" s="59">
        <f t="shared" si="65"/>
        <v>868.50169768716682</v>
      </c>
      <c r="CD115" s="59">
        <f ca="1">AVERAGE(OFFSET($CC$3,0,0,'Données projet'!$E$12+1,1))-AVERAGE(OFFSET($H$3,0,0,'Données projet'!$E$12+1,1))</f>
        <v>429.61977776013185</v>
      </c>
      <c r="CE115" s="59">
        <f t="shared" si="94"/>
        <v>261.95434270986385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55.281877987730432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55.281877987730432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-1.7053025658242404E-13</v>
      </c>
      <c r="CU115" s="17">
        <f>CT115*VLOOKUP('Données projet'!$B$13,Paramètres!$A$1:$I$89,3,0)*VLOOKUP('Données projet'!$B$13,Paramètres!$A$1:$I$89,5,0)</f>
        <v>-1.1173142411280423E-13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255.09913504736693</v>
      </c>
      <c r="CZ115" s="59">
        <f t="shared" si="96"/>
        <v>248.42617382406644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32.295850423082861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32.295850423082861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1.9</v>
      </c>
      <c r="DO115" s="12">
        <f>IF('Données projet'!$A$166&gt;35,DO114+DN115-DW114,IF(A115&lt;'Données projet'!$A$166,$DL$205^A115,IF(A115='Données projet'!$A$166,'Données projet'!$B$166,DO114+DN115-DW114)))</f>
        <v>269.79999999999967</v>
      </c>
      <c r="DP115" s="17">
        <f>DO115*VLOOKUP('Données projet'!$B$14,Paramètres!$A$1:$I$89,3,0)*VLOOKUP('Données projet'!$B$14,Paramètres!$A$1:$I$89,5,0)</f>
        <v>307.24823999999961</v>
      </c>
      <c r="DQ115" s="13">
        <f t="shared" si="97"/>
        <v>72.693855285301623</v>
      </c>
      <c r="DR115" s="20">
        <f t="shared" si="70"/>
        <v>661.73248262189952</v>
      </c>
      <c r="DS115" s="59">
        <f t="shared" si="71"/>
        <v>955.06581595523289</v>
      </c>
      <c r="DT115" s="59">
        <f ca="1">AVERAGE(OFFSET($DS$3,0,0,'Données projet'!$E$14+1,1))-AVERAGE(OFFSET($H$3,0,0,'Données projet'!$E$14+1,1))</f>
        <v>459.67331926893809</v>
      </c>
      <c r="DU115" s="59">
        <f t="shared" si="98"/>
        <v>280.33242658375497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38.818652136937942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38.818652136937942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264.08053957457469</v>
      </c>
      <c r="EP115" s="59">
        <f t="shared" si="100"/>
        <v>284.83300065761051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57.863260981362579</v>
      </c>
      <c r="EW115" s="21">
        <f>EXP(-LN(2)/25)*EW114+(1-EXP(-LN(2)/25))/(LN(2)/25)*Calculateur!ER115*Calculateur!ET115*VLOOKUP('Données projet'!$B$15,Paramètres!$A$1:$I$89,3,0)*0.475*44/12</f>
        <v>4.9956781792375837</v>
      </c>
      <c r="EX115" s="21">
        <f>EXP(-LN(2)/2)*EX114+(1-EXP(-LN(2)/2))/(LN(2)/2)*ER115*EU115*VLOOKUP('Données projet'!$B$15,Paramètres!$A$1:$I$89,3,0)*0.475*44/12</f>
        <v>8.9927458345631659E-7</v>
      </c>
      <c r="EY115" s="22">
        <f t="shared" si="75"/>
        <v>62.858940059874747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166.27444639635013</v>
      </c>
      <c r="FK115" s="59">
        <f t="shared" si="102"/>
        <v>213.60182977243113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34.683220057719168</v>
      </c>
      <c r="FR115" s="21">
        <f>EXP(-LN(2)/25)*FR114+(1-EXP(-LN(2)/25))/(LN(2)/25)*Calculateur!FM115*Calculateur!FO115*VLOOKUP('Données projet'!$B$16,Paramètres!$A$1:$I$89,3,0)*0.475*44/12</f>
        <v>11.078204037520893</v>
      </c>
      <c r="FS115" s="21">
        <f>EXP(-LN(2)/2)*FS114+(1-EXP(-LN(2)/2))/(LN(2)/2)*FM115*FP115*VLOOKUP('Données projet'!$B$16,Paramètres!$A$1:$I$89,3,0)*0.475*44/12</f>
        <v>2.8237436316472718E-6</v>
      </c>
      <c r="FT115" s="22">
        <f t="shared" si="78"/>
        <v>45.761426918983688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4.5</v>
      </c>
      <c r="N116" s="13">
        <f>IF('Données projet'!$A$36&gt;35,N115+M116-V115,IF(A116&lt;'Données projet'!$A$36,$K$205^A116,IF(A116='Données projet'!$A$36,'Données projet'!$B$36,N115+M116-V115)))</f>
        <v>320.5</v>
      </c>
      <c r="O116" s="13">
        <f>N116*VLOOKUP('Données projet'!$B$9,Paramètres!$A$1:$I$89,3,0)*VLOOKUP('Données projet'!$B$9,Paramètres!$A$1:$I$89,5,0)</f>
        <v>289.98840000000001</v>
      </c>
      <c r="P116" s="13">
        <f t="shared" si="87"/>
        <v>69.073519602481582</v>
      </c>
      <c r="Q116" s="20">
        <f t="shared" si="107"/>
        <v>625.36617664098867</v>
      </c>
      <c r="R116" s="59">
        <f t="shared" si="55"/>
        <v>918.69950997432193</v>
      </c>
      <c r="S116" s="59">
        <f ca="1">AVERAGE(OFFSET($R$3,0,0,'Données projet'!$E$9+1,1))-AVERAGE(OFFSET($H$3,0,0,'Données projet'!$E$9+1,1))</f>
        <v>458.37755197712164</v>
      </c>
      <c r="T116" s="59">
        <f t="shared" si="88"/>
        <v>278.21741231699917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58.212488455229909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58.212488455229909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4.5</v>
      </c>
      <c r="AI116" s="13">
        <f>IF('Données projet'!$A$62&gt;35,AI115+AH116-AQ115,IF(A116&lt;'Données projet'!$A$62,$AF$205^A116,IF(A116='Données projet'!$A$62,'Données projet'!$B$62,AI115+AH116-AQ115)))</f>
        <v>320.5</v>
      </c>
      <c r="AJ116" s="13">
        <f>AI116*VLOOKUP('Données projet'!$B$10,Paramètres!$A$1:$I$89,3,0)*VLOOKUP('Données projet'!$B$10,Paramètres!$A$1:$I$89,5,0)</f>
        <v>324.98700000000002</v>
      </c>
      <c r="AK116" s="13">
        <f t="shared" si="89"/>
        <v>76.390060259999458</v>
      </c>
      <c r="AL116" s="20">
        <f t="shared" si="58"/>
        <v>699.06504661949918</v>
      </c>
      <c r="AM116" s="59">
        <f t="shared" si="59"/>
        <v>992.39837995283256</v>
      </c>
      <c r="AN116" s="59">
        <f ca="1">AVERAGE(OFFSET($AM$3,0,0,'Données projet'!$E$10+1,1))-AVERAGE(OFFSET($H$3,0,0,'Données projet'!$E$10+1,1))</f>
        <v>508.60701013958447</v>
      </c>
      <c r="AO116" s="59">
        <f t="shared" si="90"/>
        <v>306.61893266146654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65.238133613619723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65.238133613619723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-1.0818439477588981E-13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291.17074241052887</v>
      </c>
      <c r="BJ116" s="59">
        <f t="shared" si="92"/>
        <v>241.18285512887638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46.576785872921413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46.576785872921413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4.5</v>
      </c>
      <c r="BY116" s="12">
        <f>IF('Données projet'!$A$114&gt;35,BY115+BX116-CG115,IF(A116&lt;'Données projet'!$A$114,$BV$205^A116,IF(A116='Données projet'!$A$114,'Données projet'!$B$114,BY115+BX116-CG115)))</f>
        <v>320.5</v>
      </c>
      <c r="BZ116" s="13">
        <f>BY116*VLOOKUP('Données projet'!$B$12,Paramètres!$A$1:$I$89,3,0)*VLOOKUP('Données projet'!$B$12,Paramètres!$A$1:$I$89,5,0)</f>
        <v>269.98920000000004</v>
      </c>
      <c r="CA116" s="13">
        <f t="shared" si="93"/>
        <v>64.846977249929083</v>
      </c>
      <c r="CB116" s="20">
        <f t="shared" si="64"/>
        <v>583.17300871029317</v>
      </c>
      <c r="CC116" s="59">
        <f t="shared" si="65"/>
        <v>876.50634204362655</v>
      </c>
      <c r="CD116" s="59">
        <f ca="1">AVERAGE(OFFSET($CC$3,0,0,'Données projet'!$E$12+1,1))-AVERAGE(OFFSET($H$3,0,0,'Données projet'!$E$12+1,1))</f>
        <v>429.61977776013185</v>
      </c>
      <c r="CE116" s="59">
        <f t="shared" si="94"/>
        <v>261.95434270986385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54.197834079007173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54.197834079007173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-1.7053025658242404E-13</v>
      </c>
      <c r="CU116" s="17">
        <f>CT116*VLOOKUP('Données projet'!$B$13,Paramètres!$A$1:$I$89,3,0)*VLOOKUP('Données projet'!$B$13,Paramètres!$A$1:$I$89,5,0)</f>
        <v>-1.1173142411280423E-13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255.09913504736693</v>
      </c>
      <c r="CZ116" s="59">
        <f t="shared" si="96"/>
        <v>248.42617382406644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31.662548494809897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31.662548494809897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1.9</v>
      </c>
      <c r="DO116" s="12">
        <f>IF('Données projet'!$A$166&gt;35,DO115+DN116-DW115,IF(A116&lt;'Données projet'!$A$166,$DL$205^A116,IF(A116='Données projet'!$A$166,'Données projet'!$B$166,DO115+DN116-DW115)))</f>
        <v>271.69999999999965</v>
      </c>
      <c r="DP116" s="17">
        <f>DO116*VLOOKUP('Données projet'!$B$14,Paramètres!$A$1:$I$89,3,0)*VLOOKUP('Données projet'!$B$14,Paramètres!$A$1:$I$89,5,0)</f>
        <v>309.41195999999957</v>
      </c>
      <c r="DQ116" s="13">
        <f t="shared" si="97"/>
        <v>73.146010447792875</v>
      </c>
      <c r="DR116" s="20">
        <f t="shared" si="70"/>
        <v>666.28846519657191</v>
      </c>
      <c r="DS116" s="59">
        <f t="shared" si="71"/>
        <v>959.62179852990516</v>
      </c>
      <c r="DT116" s="59">
        <f ca="1">AVERAGE(OFFSET($DS$3,0,0,'Données projet'!$E$14+1,1))-AVERAGE(OFFSET($H$3,0,0,'Données projet'!$E$14+1,1))</f>
        <v>459.67331926893809</v>
      </c>
      <c r="DU116" s="59">
        <f t="shared" si="98"/>
        <v>280.33242658375497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38.057442045572479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38.057442045572479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264.08053957457469</v>
      </c>
      <c r="EP116" s="59">
        <f t="shared" si="100"/>
        <v>284.83300065761051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56.728597726622354</v>
      </c>
      <c r="EW116" s="21">
        <f>EXP(-LN(2)/25)*EW115+(1-EXP(-LN(2)/25))/(LN(2)/25)*Calculateur!ER116*Calculateur!ET116*VLOOKUP('Données projet'!$B$15,Paramètres!$A$1:$I$89,3,0)*0.475*44/12</f>
        <v>4.8590710967150343</v>
      </c>
      <c r="EX116" s="21">
        <f>EXP(-LN(2)/2)*EX115+(1-EXP(-LN(2)/2))/(LN(2)/2)*ER116*EU116*VLOOKUP('Données projet'!$B$15,Paramètres!$A$1:$I$89,3,0)*0.475*44/12</f>
        <v>6.3588315611066932E-7</v>
      </c>
      <c r="EY116" s="22">
        <f t="shared" si="75"/>
        <v>61.587669459220542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166.27444639635013</v>
      </c>
      <c r="FK116" s="59">
        <f t="shared" si="102"/>
        <v>213.60182977243113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34.003103267062677</v>
      </c>
      <c r="FR116" s="21">
        <f>EXP(-LN(2)/25)*FR115+(1-EXP(-LN(2)/25))/(LN(2)/25)*Calculateur!FM116*Calculateur!FO116*VLOOKUP('Données projet'!$B$16,Paramètres!$A$1:$I$89,3,0)*0.475*44/12</f>
        <v>10.775269965537452</v>
      </c>
      <c r="FS116" s="21">
        <f>EXP(-LN(2)/2)*FS115+(1-EXP(-LN(2)/2))/(LN(2)/2)*FM116*FP116*VLOOKUP('Données projet'!$B$16,Paramètres!$A$1:$I$89,3,0)*0.475*44/12</f>
        <v>1.9966882702701145E-6</v>
      </c>
      <c r="FT116" s="22">
        <f t="shared" si="78"/>
        <v>44.7783752292884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4.5</v>
      </c>
      <c r="N117" s="13">
        <f>IF('Données projet'!$A$36&gt;35,N116+M117-V116,IF(A117&lt;'Données projet'!$A$36,$K$205^A117,IF(A117='Données projet'!$A$36,'Données projet'!$B$36,N116+M117-V116)))</f>
        <v>325</v>
      </c>
      <c r="O117" s="13">
        <f>N117*VLOOKUP('Données projet'!$B$9,Paramètres!$A$1:$I$89,3,0)*VLOOKUP('Données projet'!$B$9,Paramètres!$A$1:$I$89,5,0)</f>
        <v>294.06</v>
      </c>
      <c r="P117" s="13">
        <f t="shared" si="87"/>
        <v>69.929765653573313</v>
      </c>
      <c r="Q117" s="20">
        <f t="shared" si="107"/>
        <v>633.94884184664022</v>
      </c>
      <c r="R117" s="59">
        <f t="shared" si="55"/>
        <v>927.28217517997359</v>
      </c>
      <c r="S117" s="59">
        <f ca="1">AVERAGE(OFFSET($R$3,0,0,'Données projet'!$E$9+1,1))-AVERAGE(OFFSET($H$3,0,0,'Données projet'!$E$9+1,1))</f>
        <v>458.37755197712164</v>
      </c>
      <c r="T117" s="59">
        <f t="shared" si="88"/>
        <v>278.21741231699917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57.070977062734869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57.070977062734869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4.5</v>
      </c>
      <c r="AI117" s="13">
        <f>IF('Données projet'!$A$62&gt;35,AI116+AH117-AQ116,IF(A117&lt;'Données projet'!$A$62,$AF$205^A117,IF(A117='Données projet'!$A$62,'Données projet'!$B$62,AI116+AH117-AQ116)))</f>
        <v>325</v>
      </c>
      <c r="AJ117" s="13">
        <f>AI117*VLOOKUP('Données projet'!$B$10,Paramètres!$A$1:$I$89,3,0)*VLOOKUP('Données projet'!$B$10,Paramètres!$A$1:$I$89,5,0)</f>
        <v>329.55</v>
      </c>
      <c r="AK117" s="13">
        <f t="shared" si="89"/>
        <v>77.337003282690645</v>
      </c>
      <c r="AL117" s="20">
        <f t="shared" si="58"/>
        <v>708.66153071735289</v>
      </c>
      <c r="AM117" s="59">
        <f t="shared" si="59"/>
        <v>1001.9948640506861</v>
      </c>
      <c r="AN117" s="59">
        <f ca="1">AVERAGE(OFFSET($AM$3,0,0,'Données projet'!$E$10+1,1))-AVERAGE(OFFSET($H$3,0,0,'Données projet'!$E$10+1,1))</f>
        <v>508.60701013958447</v>
      </c>
      <c r="AO117" s="59">
        <f t="shared" si="90"/>
        <v>306.61893266146654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63.958853604789077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63.958853604789077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-1.0818439477588981E-13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291.17074241052887</v>
      </c>
      <c r="BJ117" s="59">
        <f t="shared" si="92"/>
        <v>241.18285512887638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45.663443510987648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45.663443510987648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4.5</v>
      </c>
      <c r="BY117" s="12">
        <f>IF('Données projet'!$A$114&gt;35,BY116+BX117-CG116,IF(A117&lt;'Données projet'!$A$114,$BV$205^A117,IF(A117='Données projet'!$A$114,'Données projet'!$B$114,BY116+BX117-CG116)))</f>
        <v>325</v>
      </c>
      <c r="BZ117" s="13">
        <f>BY117*VLOOKUP('Données projet'!$B$12,Paramètres!$A$1:$I$89,3,0)*VLOOKUP('Données projet'!$B$12,Paramètres!$A$1:$I$89,5,0)</f>
        <v>273.78000000000003</v>
      </c>
      <c r="CA117" s="13">
        <f t="shared" si="93"/>
        <v>65.650830427167435</v>
      </c>
      <c r="CB117" s="20">
        <f t="shared" si="64"/>
        <v>591.17536299398319</v>
      </c>
      <c r="CC117" s="59">
        <f t="shared" si="65"/>
        <v>884.50869632731656</v>
      </c>
      <c r="CD117" s="59">
        <f ca="1">AVERAGE(OFFSET($CC$3,0,0,'Données projet'!$E$12+1,1))-AVERAGE(OFFSET($H$3,0,0,'Données projet'!$E$12+1,1))</f>
        <v>429.61977776013185</v>
      </c>
      <c r="CE117" s="59">
        <f t="shared" si="94"/>
        <v>261.95434270986385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53.135047610132482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53.135047610132482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-1.7053025658242404E-13</v>
      </c>
      <c r="CU117" s="17">
        <f>CT117*VLOOKUP('Données projet'!$B$13,Paramètres!$A$1:$I$89,3,0)*VLOOKUP('Données projet'!$B$13,Paramètres!$A$1:$I$89,5,0)</f>
        <v>-1.1173142411280423E-13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255.09913504736693</v>
      </c>
      <c r="CZ117" s="59">
        <f t="shared" si="96"/>
        <v>248.42617382406644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31.04166523107433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31.04166523107433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1.9</v>
      </c>
      <c r="DO117" s="12">
        <f>IF('Données projet'!$A$166&gt;35,DO116+DN117-DW116,IF(A117&lt;'Données projet'!$A$166,$DL$205^A117,IF(A117='Données projet'!$A$166,'Données projet'!$B$166,DO116+DN117-DW116)))</f>
        <v>273.59999999999962</v>
      </c>
      <c r="DP117" s="17">
        <f>DO117*VLOOKUP('Données projet'!$B$14,Paramètres!$A$1:$I$89,3,0)*VLOOKUP('Données projet'!$B$14,Paramètres!$A$1:$I$89,5,0)</f>
        <v>311.57567999999958</v>
      </c>
      <c r="DQ117" s="13">
        <f t="shared" si="97"/>
        <v>73.597797708886276</v>
      </c>
      <c r="DR117" s="20">
        <f t="shared" si="70"/>
        <v>670.84380700964289</v>
      </c>
      <c r="DS117" s="59">
        <f t="shared" si="71"/>
        <v>964.17714034297614</v>
      </c>
      <c r="DT117" s="59">
        <f ca="1">AVERAGE(OFFSET($DS$3,0,0,'Données projet'!$E$14+1,1))-AVERAGE(OFFSET($H$3,0,0,'Données projet'!$E$14+1,1))</f>
        <v>459.67331926893809</v>
      </c>
      <c r="DU117" s="59">
        <f t="shared" si="98"/>
        <v>280.33242658375497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37.31115881980638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37.31115881980638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264.08053957457469</v>
      </c>
      <c r="EP117" s="59">
        <f t="shared" si="100"/>
        <v>284.83300065761051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55.616184526231336</v>
      </c>
      <c r="EW117" s="21">
        <f>EXP(-LN(2)/25)*EW116+(1-EXP(-LN(2)/25))/(LN(2)/25)*Calculateur!ER117*Calculateur!ET117*VLOOKUP('Données projet'!$B$15,Paramètres!$A$1:$I$89,3,0)*0.475*44/12</f>
        <v>4.7261995420479179</v>
      </c>
      <c r="EX117" s="21">
        <f>EXP(-LN(2)/2)*EX116+(1-EXP(-LN(2)/2))/(LN(2)/2)*ER117*EU117*VLOOKUP('Données projet'!$B$15,Paramètres!$A$1:$I$89,3,0)*0.475*44/12</f>
        <v>4.4963729172815829E-7</v>
      </c>
      <c r="EY117" s="22">
        <f t="shared" si="75"/>
        <v>60.342384517916543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166.27444639635013</v>
      </c>
      <c r="FK117" s="59">
        <f t="shared" si="102"/>
        <v>213.60182977243113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33.336323151840681</v>
      </c>
      <c r="FR117" s="21">
        <f>EXP(-LN(2)/25)*FR116+(1-EXP(-LN(2)/25))/(LN(2)/25)*Calculateur!FM117*Calculateur!FO117*VLOOKUP('Données projet'!$B$16,Paramètres!$A$1:$I$89,3,0)*0.475*44/12</f>
        <v>10.48061964168301</v>
      </c>
      <c r="FS117" s="21">
        <f>EXP(-LN(2)/2)*FS116+(1-EXP(-LN(2)/2))/(LN(2)/2)*FM117*FP117*VLOOKUP('Données projet'!$B$16,Paramètres!$A$1:$I$89,3,0)*0.475*44/12</f>
        <v>1.4118718158236359E-6</v>
      </c>
      <c r="FT117" s="22">
        <f t="shared" si="78"/>
        <v>43.816944205395508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4.5</v>
      </c>
      <c r="N118" s="13">
        <f>IF('Données projet'!$A$36&gt;35,N117+M118-V117,IF(A118&lt;'Données projet'!$A$36,$K$205^A118,IF(A118='Données projet'!$A$36,'Données projet'!$B$36,N117+M118-V117)))</f>
        <v>329.5</v>
      </c>
      <c r="O118" s="13">
        <f>N118*VLOOKUP('Données projet'!$B$9,Paramètres!$A$1:$I$89,3,0)*VLOOKUP('Données projet'!$B$9,Paramètres!$A$1:$I$89,5,0)</f>
        <v>298.13159999999999</v>
      </c>
      <c r="P118" s="13">
        <f t="shared" si="87"/>
        <v>70.784632764376028</v>
      </c>
      <c r="Q118" s="20">
        <f t="shared" si="107"/>
        <v>642.52910539795482</v>
      </c>
      <c r="R118" s="59">
        <f t="shared" si="55"/>
        <v>935.86243873128819</v>
      </c>
      <c r="S118" s="59">
        <f ca="1">AVERAGE(OFFSET($R$3,0,0,'Données projet'!$E$9+1,1))-AVERAGE(OFFSET($H$3,0,0,'Données projet'!$E$9+1,1))</f>
        <v>458.37755197712164</v>
      </c>
      <c r="T118" s="59">
        <f t="shared" si="88"/>
        <v>278.21741231699917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55.951850012393457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55.951850012393457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4.5</v>
      </c>
      <c r="AI118" s="13">
        <f>IF('Données projet'!$A$62&gt;35,AI117+AH118-AQ117,IF(A118&lt;'Données projet'!$A$62,$AF$205^A118,IF(A118='Données projet'!$A$62,'Données projet'!$B$62,AI117+AH118-AQ117)))</f>
        <v>329.5</v>
      </c>
      <c r="AJ118" s="13">
        <f>AI118*VLOOKUP('Données projet'!$B$10,Paramètres!$A$1:$I$89,3,0)*VLOOKUP('Données projet'!$B$10,Paramètres!$A$1:$I$89,5,0)</f>
        <v>334.11300000000006</v>
      </c>
      <c r="AK118" s="13">
        <f t="shared" si="89"/>
        <v>78.28242130227801</v>
      </c>
      <c r="AL118" s="20">
        <f t="shared" si="58"/>
        <v>718.25535876813422</v>
      </c>
      <c r="AM118" s="59">
        <f t="shared" si="59"/>
        <v>1011.5886921014676</v>
      </c>
      <c r="AN118" s="59">
        <f ca="1">AVERAGE(OFFSET($AM$3,0,0,'Données projet'!$E$10+1,1))-AVERAGE(OFFSET($H$3,0,0,'Données projet'!$E$10+1,1))</f>
        <v>508.60701013958447</v>
      </c>
      <c r="AO118" s="59">
        <f t="shared" si="90"/>
        <v>306.61893266146654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62.704659496647842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62.704659496647842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-1.0818439477588981E-13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291.17074241052887</v>
      </c>
      <c r="BJ118" s="59">
        <f t="shared" si="92"/>
        <v>241.18285512887638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44.768011235687567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44.768011235687567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4.5</v>
      </c>
      <c r="BY118" s="12">
        <f>IF('Données projet'!$A$114&gt;35,BY117+BX118-CG117,IF(A118&lt;'Données projet'!$A$114,$BV$205^A118,IF(A118='Données projet'!$A$114,'Données projet'!$B$114,BY117+BX118-CG117)))</f>
        <v>329.5</v>
      </c>
      <c r="BZ118" s="13">
        <f>BY118*VLOOKUP('Données projet'!$B$12,Paramètres!$A$1:$I$89,3,0)*VLOOKUP('Données projet'!$B$12,Paramètres!$A$1:$I$89,5,0)</f>
        <v>277.57080000000002</v>
      </c>
      <c r="CA118" s="13">
        <f t="shared" si="93"/>
        <v>66.453389040149204</v>
      </c>
      <c r="CB118" s="20">
        <f t="shared" si="64"/>
        <v>599.17546257825984</v>
      </c>
      <c r="CC118" s="59">
        <f t="shared" si="65"/>
        <v>892.5087959115931</v>
      </c>
      <c r="CD118" s="59">
        <f ca="1">AVERAGE(OFFSET($CC$3,0,0,'Données projet'!$E$12+1,1))-AVERAGE(OFFSET($H$3,0,0,'Données projet'!$E$12+1,1))</f>
        <v>429.61977776013185</v>
      </c>
      <c r="CE118" s="59">
        <f t="shared" si="94"/>
        <v>261.95434270986385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52.093101735676683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52.093101735676683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-1.7053025658242404E-13</v>
      </c>
      <c r="CU118" s="17">
        <f>CT118*VLOOKUP('Données projet'!$B$13,Paramètres!$A$1:$I$89,3,0)*VLOOKUP('Données projet'!$B$13,Paramètres!$A$1:$I$89,5,0)</f>
        <v>-1.1173142411280423E-13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255.09913504736693</v>
      </c>
      <c r="CZ118" s="59">
        <f t="shared" si="96"/>
        <v>248.42617382406644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30.432957109439222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30.432957109439222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1.9</v>
      </c>
      <c r="DO118" s="12">
        <f>IF('Données projet'!$A$166&gt;35,DO117+DN118-DW117,IF(A118&lt;'Données projet'!$A$166,$DL$205^A118,IF(A118='Données projet'!$A$166,'Données projet'!$B$166,DO117+DN118-DW117)))</f>
        <v>275.4999999999996</v>
      </c>
      <c r="DP118" s="17">
        <f>DO118*VLOOKUP('Données projet'!$B$14,Paramètres!$A$1:$I$89,3,0)*VLOOKUP('Données projet'!$B$14,Paramètres!$A$1:$I$89,5,0)</f>
        <v>313.73939999999953</v>
      </c>
      <c r="DQ118" s="13">
        <f t="shared" si="97"/>
        <v>74.049219919733048</v>
      </c>
      <c r="DR118" s="20">
        <f t="shared" si="70"/>
        <v>675.39851302686759</v>
      </c>
      <c r="DS118" s="59">
        <f t="shared" si="71"/>
        <v>968.73184636020096</v>
      </c>
      <c r="DT118" s="59">
        <f ca="1">AVERAGE(OFFSET($DS$3,0,0,'Données projet'!$E$14+1,1))-AVERAGE(OFFSET($H$3,0,0,'Données projet'!$E$14+1,1))</f>
        <v>459.67331926893809</v>
      </c>
      <c r="DU118" s="59">
        <f t="shared" si="98"/>
        <v>280.33242658375497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36.579509752909736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36.579509752909736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264.08053957457469</v>
      </c>
      <c r="EP118" s="59">
        <f t="shared" si="100"/>
        <v>284.83300065761051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54.525585070194929</v>
      </c>
      <c r="EW118" s="21">
        <f>EXP(-LN(2)/25)*EW117+(1-EXP(-LN(2)/25))/(LN(2)/25)*Calculateur!ER118*Calculateur!ET118*VLOOKUP('Données projet'!$B$15,Paramètres!$A$1:$I$89,3,0)*0.475*44/12</f>
        <v>4.5969613670305858</v>
      </c>
      <c r="EX118" s="21">
        <f>EXP(-LN(2)/2)*EX117+(1-EXP(-LN(2)/2))/(LN(2)/2)*ER118*EU118*VLOOKUP('Données projet'!$B$15,Paramètres!$A$1:$I$89,3,0)*0.475*44/12</f>
        <v>3.1794157805533466E-7</v>
      </c>
      <c r="EY118" s="22">
        <f t="shared" si="75"/>
        <v>59.122546755167093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166.27444639635013</v>
      </c>
      <c r="FK118" s="59">
        <f t="shared" si="102"/>
        <v>213.60182977243113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32.682618187982477</v>
      </c>
      <c r="FR118" s="21">
        <f>EXP(-LN(2)/25)*FR117+(1-EXP(-LN(2)/25))/(LN(2)/25)*Calculateur!FM118*Calculateur!FO118*VLOOKUP('Données projet'!$B$16,Paramètres!$A$1:$I$89,3,0)*0.475*44/12</f>
        <v>10.194026546429354</v>
      </c>
      <c r="FS118" s="21">
        <f>EXP(-LN(2)/2)*FS117+(1-EXP(-LN(2)/2))/(LN(2)/2)*FM118*FP118*VLOOKUP('Données projet'!$B$16,Paramètres!$A$1:$I$89,3,0)*0.475*44/12</f>
        <v>9.9834413513505723E-7</v>
      </c>
      <c r="FT118" s="22">
        <f t="shared" si="78"/>
        <v>42.876645732755968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4.5</v>
      </c>
      <c r="N119" s="13">
        <f>IF('Données projet'!$A$36&gt;35,N118+M119-V118,IF(A119&lt;'Données projet'!$A$36,$K$205^A119,IF(A119='Données projet'!$A$36,'Données projet'!$B$36,N118+M119-V118)))</f>
        <v>334</v>
      </c>
      <c r="O119" s="13">
        <f>N119*VLOOKUP('Données projet'!$B$9,Paramètres!$A$1:$I$89,3,0)*VLOOKUP('Données projet'!$B$9,Paramètres!$A$1:$I$89,5,0)</f>
        <v>302.20319999999998</v>
      </c>
      <c r="P119" s="13">
        <f t="shared" si="87"/>
        <v>71.638141943842299</v>
      </c>
      <c r="Q119" s="20">
        <f t="shared" si="107"/>
        <v>651.10700388552527</v>
      </c>
      <c r="R119" s="59">
        <f t="shared" si="55"/>
        <v>944.44033721885853</v>
      </c>
      <c r="S119" s="59">
        <f ca="1">AVERAGE(OFFSET($R$3,0,0,'Données projet'!$E$9+1,1))-AVERAGE(OFFSET($H$3,0,0,'Données projet'!$E$9+1,1))</f>
        <v>458.37755197712164</v>
      </c>
      <c r="T119" s="59">
        <f t="shared" si="88"/>
        <v>278.21741231699917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54.854668360909145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54.854668360909145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4.5</v>
      </c>
      <c r="AI119" s="13">
        <f>IF('Données projet'!$A$62&gt;35,AI118+AH119-AQ118,IF(A119&lt;'Données projet'!$A$62,$AF$205^A119,IF(A119='Données projet'!$A$62,'Données projet'!$B$62,AI118+AH119-AQ118)))</f>
        <v>334</v>
      </c>
      <c r="AJ119" s="13">
        <f>AI119*VLOOKUP('Données projet'!$B$10,Paramètres!$A$1:$I$89,3,0)*VLOOKUP('Données projet'!$B$10,Paramètres!$A$1:$I$89,5,0)</f>
        <v>338.67599999999999</v>
      </c>
      <c r="AK119" s="13">
        <f t="shared" si="89"/>
        <v>79.226337553065719</v>
      </c>
      <c r="AL119" s="20">
        <f t="shared" si="58"/>
        <v>727.84657123825593</v>
      </c>
      <c r="AM119" s="59">
        <f t="shared" si="59"/>
        <v>1021.1799045715893</v>
      </c>
      <c r="AN119" s="59">
        <f ca="1">AVERAGE(OFFSET($AM$3,0,0,'Données projet'!$E$10+1,1))-AVERAGE(OFFSET($H$3,0,0,'Données projet'!$E$10+1,1))</f>
        <v>508.60701013958447</v>
      </c>
      <c r="AO119" s="59">
        <f t="shared" si="90"/>
        <v>306.61893266146654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61.475059369984386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61.475059369984386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-1.0818439477588981E-13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291.17074241052887</v>
      </c>
      <c r="BJ119" s="59">
        <f t="shared" si="92"/>
        <v>241.18285512887638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43.890137841146363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43.890137841146363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4.5</v>
      </c>
      <c r="BY119" s="12">
        <f>IF('Données projet'!$A$114&gt;35,BY118+BX119-CG118,IF(A119&lt;'Données projet'!$A$114,$BV$205^A119,IF(A119='Données projet'!$A$114,'Données projet'!$B$114,BY118+BX119-CG118)))</f>
        <v>334</v>
      </c>
      <c r="BZ119" s="13">
        <f>BY119*VLOOKUP('Données projet'!$B$12,Paramètres!$A$1:$I$89,3,0)*VLOOKUP('Données projet'!$B$12,Paramètres!$A$1:$I$89,5,0)</f>
        <v>281.36160000000001</v>
      </c>
      <c r="CA119" s="13">
        <f t="shared" si="93"/>
        <v>67.254672812309309</v>
      </c>
      <c r="CB119" s="20">
        <f t="shared" si="64"/>
        <v>607.17334181477202</v>
      </c>
      <c r="CC119" s="59">
        <f t="shared" si="65"/>
        <v>900.50667514810539</v>
      </c>
      <c r="CD119" s="59">
        <f ca="1">AVERAGE(OFFSET($CC$3,0,0,'Données projet'!$E$12+1,1))-AVERAGE(OFFSET($H$3,0,0,'Données projet'!$E$12+1,1))</f>
        <v>429.61977776013185</v>
      </c>
      <c r="CE119" s="59">
        <f t="shared" si="94"/>
        <v>261.95434270986385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51.071587784294735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51.071587784294735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-1.7053025658242404E-13</v>
      </c>
      <c r="CU119" s="17">
        <f>CT119*VLOOKUP('Données projet'!$B$13,Paramètres!$A$1:$I$89,3,0)*VLOOKUP('Données projet'!$B$13,Paramètres!$A$1:$I$89,5,0)</f>
        <v>-1.1173142411280423E-13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255.09913504736693</v>
      </c>
      <c r="CZ119" s="59">
        <f t="shared" si="96"/>
        <v>248.42617382406644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29.836185382794085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29.836185382794085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1.9</v>
      </c>
      <c r="DO119" s="12">
        <f>IF('Données projet'!$A$166&gt;35,DO118+DN119-DW118,IF(A119&lt;'Données projet'!$A$166,$DL$205^A119,IF(A119='Données projet'!$A$166,'Données projet'!$B$166,DO118+DN119-DW118)))</f>
        <v>277.39999999999958</v>
      </c>
      <c r="DP119" s="17">
        <f>DO119*VLOOKUP('Données projet'!$B$14,Paramètres!$A$1:$I$89,3,0)*VLOOKUP('Données projet'!$B$14,Paramètres!$A$1:$I$89,5,0)</f>
        <v>315.90311999999955</v>
      </c>
      <c r="DQ119" s="13">
        <f t="shared" si="97"/>
        <v>74.500279889885164</v>
      </c>
      <c r="DR119" s="20">
        <f t="shared" si="70"/>
        <v>679.9525881415492</v>
      </c>
      <c r="DS119" s="59">
        <f t="shared" si="71"/>
        <v>973.28592147488257</v>
      </c>
      <c r="DT119" s="59">
        <f ca="1">AVERAGE(OFFSET($DS$3,0,0,'Données projet'!$E$14+1,1))-AVERAGE(OFFSET($H$3,0,0,'Données projet'!$E$14+1,1))</f>
        <v>459.67331926893809</v>
      </c>
      <c r="DU119" s="59">
        <f t="shared" si="98"/>
        <v>280.33242658375497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35.862207877953068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35.862207877953068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264.08053957457469</v>
      </c>
      <c r="EP119" s="59">
        <f t="shared" si="100"/>
        <v>284.83300065761051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53.456371604291412</v>
      </c>
      <c r="EW119" s="21">
        <f>EXP(-LN(2)/25)*EW118+(1-EXP(-LN(2)/25))/(LN(2)/25)*Calculateur!ER119*Calculateur!ET119*VLOOKUP('Données projet'!$B$15,Paramètres!$A$1:$I$89,3,0)*0.475*44/12</f>
        <v>4.4712572167054425</v>
      </c>
      <c r="EX119" s="21">
        <f>EXP(-LN(2)/2)*EX118+(1-EXP(-LN(2)/2))/(LN(2)/2)*ER119*EU119*VLOOKUP('Données projet'!$B$15,Paramètres!$A$1:$I$89,3,0)*0.475*44/12</f>
        <v>2.2481864586407915E-7</v>
      </c>
      <c r="EY119" s="22">
        <f t="shared" si="75"/>
        <v>57.927629045815507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166.27444639635013</v>
      </c>
      <c r="FK119" s="59">
        <f t="shared" si="102"/>
        <v>213.60182977243113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32.041731979744874</v>
      </c>
      <c r="FR119" s="21">
        <f>EXP(-LN(2)/25)*FR118+(1-EXP(-LN(2)/25))/(LN(2)/25)*Calculateur!FM119*Calculateur!FO119*VLOOKUP('Données projet'!$B$16,Paramètres!$A$1:$I$89,3,0)*0.475*44/12</f>
        <v>9.9152703544366858</v>
      </c>
      <c r="FS119" s="21">
        <f>EXP(-LN(2)/2)*FS118+(1-EXP(-LN(2)/2))/(LN(2)/2)*FM119*FP119*VLOOKUP('Données projet'!$B$16,Paramètres!$A$1:$I$89,3,0)*0.475*44/12</f>
        <v>7.0593590791181795E-7</v>
      </c>
      <c r="FT119" s="22">
        <f t="shared" si="78"/>
        <v>41.957003040117471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4.5</v>
      </c>
      <c r="N120" s="13">
        <f>IF('Données projet'!$A$36&gt;35,N119+M120-V119,IF(A120&lt;'Données projet'!$A$36,$K$205^A120,IF(A120='Données projet'!$A$36,'Données projet'!$B$36,N119+M120-V119)))</f>
        <v>338.5</v>
      </c>
      <c r="O120" s="13">
        <f>N120*VLOOKUP('Données projet'!$B$9,Paramètres!$A$1:$I$89,3,0)*VLOOKUP('Données projet'!$B$9,Paramètres!$A$1:$I$89,5,0)</f>
        <v>306.27479999999997</v>
      </c>
      <c r="P120" s="13">
        <f t="shared" si="87"/>
        <v>72.490313602283052</v>
      </c>
      <c r="Q120" s="20">
        <f t="shared" si="107"/>
        <v>659.68257285730954</v>
      </c>
      <c r="R120" s="59">
        <f t="shared" si="55"/>
        <v>953.01590619064291</v>
      </c>
      <c r="S120" s="59">
        <f ca="1">AVERAGE(OFFSET($R$3,0,0,'Données projet'!$E$9+1,1))-AVERAGE(OFFSET($H$3,0,0,'Données projet'!$E$9+1,1))</f>
        <v>458.37755197712164</v>
      </c>
      <c r="T120" s="59">
        <f t="shared" si="88"/>
        <v>278.21741231699917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53.779001772395709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53.779001772395709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4.5</v>
      </c>
      <c r="AI120" s="13">
        <f>IF('Données projet'!$A$62&gt;35,AI119+AH120-AQ119,IF(A120&lt;'Données projet'!$A$62,$AF$205^A120,IF(A120='Données projet'!$A$62,'Données projet'!$B$62,AI119+AH120-AQ119)))</f>
        <v>338.5</v>
      </c>
      <c r="AJ120" s="13">
        <f>AI120*VLOOKUP('Données projet'!$B$10,Paramètres!$A$1:$I$89,3,0)*VLOOKUP('Données projet'!$B$10,Paramètres!$A$1:$I$89,5,0)</f>
        <v>343.23900000000003</v>
      </c>
      <c r="AK120" s="13">
        <f t="shared" si="89"/>
        <v>80.168774607305807</v>
      </c>
      <c r="AL120" s="20">
        <f t="shared" si="58"/>
        <v>737.43520744105763</v>
      </c>
      <c r="AM120" s="59">
        <f t="shared" si="59"/>
        <v>1030.7685407743909</v>
      </c>
      <c r="AN120" s="59">
        <f ca="1">AVERAGE(OFFSET($AM$3,0,0,'Données projet'!$E$10+1,1))-AVERAGE(OFFSET($H$3,0,0,'Données projet'!$E$10+1,1))</f>
        <v>508.60701013958447</v>
      </c>
      <c r="AO120" s="59">
        <f t="shared" si="90"/>
        <v>306.61893266146654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60.269570951822779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60.269570951822779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-1.0818439477588981E-13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291.17074241052887</v>
      </c>
      <c r="BJ120" s="59">
        <f t="shared" si="92"/>
        <v>241.18285512887638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43.029479008422214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43.029479008422214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4.5</v>
      </c>
      <c r="BY120" s="12">
        <f>IF('Données projet'!$A$114&gt;35,BY119+BX120-CG119,IF(A120&lt;'Données projet'!$A$114,$BV$205^A120,IF(A120='Données projet'!$A$114,'Données projet'!$B$114,BY119+BX120-CG119)))</f>
        <v>338.5</v>
      </c>
      <c r="BZ120" s="13">
        <f>BY120*VLOOKUP('Données projet'!$B$12,Paramètres!$A$1:$I$89,3,0)*VLOOKUP('Données projet'!$B$12,Paramètres!$A$1:$I$89,5,0)</f>
        <v>285.15240000000006</v>
      </c>
      <c r="CA120" s="13">
        <f t="shared" si="93"/>
        <v>68.054700905071499</v>
      </c>
      <c r="CB120" s="20">
        <f t="shared" si="64"/>
        <v>615.16903407633299</v>
      </c>
      <c r="CC120" s="59">
        <f t="shared" si="65"/>
        <v>908.50236740966625</v>
      </c>
      <c r="CD120" s="59">
        <f ca="1">AVERAGE(OFFSET($CC$3,0,0,'Données projet'!$E$12+1,1))-AVERAGE(OFFSET($H$3,0,0,'Données projet'!$E$12+1,1))</f>
        <v>429.61977776013185</v>
      </c>
      <c r="CE120" s="59">
        <f t="shared" si="94"/>
        <v>261.95434270986385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50.070105098437395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50.070105098437395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-1.7053025658242404E-13</v>
      </c>
      <c r="CU120" s="17">
        <f>CT120*VLOOKUP('Données projet'!$B$13,Paramètres!$A$1:$I$89,3,0)*VLOOKUP('Données projet'!$B$13,Paramètres!$A$1:$I$89,5,0)</f>
        <v>-1.1173142411280423E-13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255.09913504736693</v>
      </c>
      <c r="CZ120" s="59">
        <f t="shared" si="96"/>
        <v>248.42617382406644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29.251115985713646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29.251115985713646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1.9</v>
      </c>
      <c r="DO120" s="12">
        <f>IF('Données projet'!$A$166&gt;35,DO119+DN120-DW119,IF(A120&lt;'Données projet'!$A$166,$DL$205^A120,IF(A120='Données projet'!$A$166,'Données projet'!$B$166,DO119+DN120-DW119)))</f>
        <v>279.29999999999956</v>
      </c>
      <c r="DP120" s="17">
        <f>DO120*VLOOKUP('Données projet'!$B$14,Paramètres!$A$1:$I$89,3,0)*VLOOKUP('Données projet'!$B$14,Paramètres!$A$1:$I$89,5,0)</f>
        <v>318.0668399999995</v>
      </c>
      <c r="DQ120" s="13">
        <f t="shared" si="97"/>
        <v>74.950980388183012</v>
      </c>
      <c r="DR120" s="20">
        <f t="shared" si="70"/>
        <v>684.50603717608453</v>
      </c>
      <c r="DS120" s="59">
        <f t="shared" si="71"/>
        <v>977.8393705094179</v>
      </c>
      <c r="DT120" s="59">
        <f ca="1">AVERAGE(OFFSET($DS$3,0,0,'Données projet'!$E$14+1,1))-AVERAGE(OFFSET($H$3,0,0,'Données projet'!$E$14+1,1))</f>
        <v>459.67331926893809</v>
      </c>
      <c r="DU120" s="59">
        <f t="shared" si="98"/>
        <v>280.33242658375497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35.158971855253355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35.158971855253355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264.08053957457469</v>
      </c>
      <c r="EP120" s="59">
        <f t="shared" si="100"/>
        <v>284.83300065761051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52.408124762298442</v>
      </c>
      <c r="EW120" s="21">
        <f>EXP(-LN(2)/25)*EW119+(1-EXP(-LN(2)/25))/(LN(2)/25)*Calculateur!ER120*Calculateur!ET120*VLOOKUP('Données projet'!$B$15,Paramètres!$A$1:$I$89,3,0)*0.475*44/12</f>
        <v>4.3489904529814343</v>
      </c>
      <c r="EX120" s="21">
        <f>EXP(-LN(2)/2)*EX119+(1-EXP(-LN(2)/2))/(LN(2)/2)*ER120*EU120*VLOOKUP('Données projet'!$B$15,Paramètres!$A$1:$I$89,3,0)*0.475*44/12</f>
        <v>1.5897078902766733E-7</v>
      </c>
      <c r="EY120" s="22">
        <f t="shared" si="75"/>
        <v>56.757115374250667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166.27444639635013</v>
      </c>
      <c r="FK120" s="59">
        <f t="shared" si="102"/>
        <v>213.60182977243113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31.413413159148821</v>
      </c>
      <c r="FR120" s="21">
        <f>EXP(-LN(2)/25)*FR119+(1-EXP(-LN(2)/25))/(LN(2)/25)*Calculateur!FM120*Calculateur!FO120*VLOOKUP('Données projet'!$B$16,Paramètres!$A$1:$I$89,3,0)*0.475*44/12</f>
        <v>9.6441367651732079</v>
      </c>
      <c r="FS120" s="21">
        <f>EXP(-LN(2)/2)*FS119+(1-EXP(-LN(2)/2))/(LN(2)/2)*FM120*FP120*VLOOKUP('Données projet'!$B$16,Paramètres!$A$1:$I$89,3,0)*0.475*44/12</f>
        <v>4.9917206756752861E-7</v>
      </c>
      <c r="FT120" s="22">
        <f t="shared" si="78"/>
        <v>41.057550423494099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4.5</v>
      </c>
      <c r="N121" s="13">
        <f>IF('Données projet'!$A$36&gt;35,N120+M121-V120,IF(A121&lt;'Données projet'!$A$36,$K$205^A121,IF(A121='Données projet'!$A$36,'Données projet'!$B$36,N120+M121-V120)))</f>
        <v>343</v>
      </c>
      <c r="O121" s="13">
        <f>N121*VLOOKUP('Données projet'!$B$9,Paramètres!$A$1:$I$89,3,0)*VLOOKUP('Données projet'!$B$9,Paramètres!$A$1:$I$89,5,0)</f>
        <v>310.34640000000002</v>
      </c>
      <c r="P121" s="13">
        <f t="shared" si="87"/>
        <v>73.341167576153055</v>
      </c>
      <c r="Q121" s="20">
        <f t="shared" si="107"/>
        <v>668.25584686179991</v>
      </c>
      <c r="R121" s="59">
        <f t="shared" si="55"/>
        <v>961.58918019513317</v>
      </c>
      <c r="S121" s="59">
        <f ca="1">AVERAGE(OFFSET($R$3,0,0,'Données projet'!$E$9+1,1))-AVERAGE(OFFSET($H$3,0,0,'Données projet'!$E$9+1,1))</f>
        <v>458.37755197712164</v>
      </c>
      <c r="T121" s="59">
        <f t="shared" si="88"/>
        <v>278.21741231699917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52.724428349591186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52.724428349591186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4.5</v>
      </c>
      <c r="AI121" s="13">
        <f>IF('Données projet'!$A$62&gt;35,AI120+AH121-AQ120,IF(A121&lt;'Données projet'!$A$62,$AF$205^A121,IF(A121='Données projet'!$A$62,'Données projet'!$B$62,AI120+AH121-AQ120)))</f>
        <v>343</v>
      </c>
      <c r="AJ121" s="13">
        <f>AI121*VLOOKUP('Données projet'!$B$10,Paramètres!$A$1:$I$89,3,0)*VLOOKUP('Données projet'!$B$10,Paramètres!$A$1:$I$89,5,0)</f>
        <v>347.80200000000002</v>
      </c>
      <c r="AK121" s="13">
        <f t="shared" si="89"/>
        <v>81.109754402608573</v>
      </c>
      <c r="AL121" s="20">
        <f t="shared" si="58"/>
        <v>747.02130558454337</v>
      </c>
      <c r="AM121" s="59">
        <f t="shared" si="59"/>
        <v>1040.3546389178766</v>
      </c>
      <c r="AN121" s="59">
        <f ca="1">AVERAGE(OFFSET($AM$3,0,0,'Données projet'!$E$10+1,1))-AVERAGE(OFFSET($H$3,0,0,'Données projet'!$E$10+1,1))</f>
        <v>508.60701013958447</v>
      </c>
      <c r="AO121" s="59">
        <f t="shared" si="90"/>
        <v>306.61893266146654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59.087721426265986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59.087721426265986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-1.0818439477588981E-13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291.17074241052887</v>
      </c>
      <c r="BJ121" s="59">
        <f t="shared" si="92"/>
        <v>241.18285512887638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42.185697170457736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42.185697170457736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4.5</v>
      </c>
      <c r="BY121" s="12">
        <f>IF('Données projet'!$A$114&gt;35,BY120+BX121-CG120,IF(A121&lt;'Données projet'!$A$114,$BV$205^A121,IF(A121='Données projet'!$A$114,'Données projet'!$B$114,BY120+BX121-CG120)))</f>
        <v>343</v>
      </c>
      <c r="BZ121" s="13">
        <f>BY121*VLOOKUP('Données projet'!$B$12,Paramètres!$A$1:$I$89,3,0)*VLOOKUP('Données projet'!$B$12,Paramètres!$A$1:$I$89,5,0)</f>
        <v>288.94319999999999</v>
      </c>
      <c r="CA121" s="13">
        <f t="shared" si="93"/>
        <v>68.853491941116729</v>
      </c>
      <c r="CB121" s="20">
        <f t="shared" si="64"/>
        <v>623.16257179744491</v>
      </c>
      <c r="CC121" s="59">
        <f t="shared" si="65"/>
        <v>916.49590513077828</v>
      </c>
      <c r="CD121" s="59">
        <f ca="1">AVERAGE(OFFSET($CC$3,0,0,'Données projet'!$E$12+1,1))-AVERAGE(OFFSET($H$3,0,0,'Données projet'!$E$12+1,1))</f>
        <v>429.61977776013185</v>
      </c>
      <c r="CE121" s="59">
        <f t="shared" si="94"/>
        <v>261.95434270986385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49.088260877205599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49.088260877205599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-1.7053025658242404E-13</v>
      </c>
      <c r="CU121" s="17">
        <f>CT121*VLOOKUP('Données projet'!$B$13,Paramètres!$A$1:$I$89,3,0)*VLOOKUP('Données projet'!$B$13,Paramètres!$A$1:$I$89,5,0)</f>
        <v>-1.1173142411280423E-13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255.09913504736693</v>
      </c>
      <c r="CZ121" s="59">
        <f t="shared" si="96"/>
        <v>248.42617382406644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28.677519442652859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28.677519442652859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1.9</v>
      </c>
      <c r="DO121" s="12">
        <f>IF('Données projet'!$A$166&gt;35,DO120+DN121-DW120,IF(A121&lt;'Données projet'!$A$166,$DL$205^A121,IF(A121='Données projet'!$A$166,'Données projet'!$B$166,DO120+DN121-DW120)))</f>
        <v>281.19999999999953</v>
      </c>
      <c r="DP121" s="17">
        <f>DO121*VLOOKUP('Données projet'!$B$14,Paramètres!$A$1:$I$89,3,0)*VLOOKUP('Données projet'!$B$14,Paramètres!$A$1:$I$89,5,0)</f>
        <v>320.23055999999946</v>
      </c>
      <c r="DQ121" s="13">
        <f t="shared" si="97"/>
        <v>75.401324143617984</v>
      </c>
      <c r="DR121" s="20">
        <f t="shared" si="70"/>
        <v>689.05886488346698</v>
      </c>
      <c r="DS121" s="59">
        <f t="shared" si="71"/>
        <v>982.39219821680035</v>
      </c>
      <c r="DT121" s="59">
        <f ca="1">AVERAGE(OFFSET($DS$3,0,0,'Données projet'!$E$14+1,1))-AVERAGE(OFFSET($H$3,0,0,'Données projet'!$E$14+1,1))</f>
        <v>459.67331926893809</v>
      </c>
      <c r="DU121" s="59">
        <f t="shared" si="98"/>
        <v>280.33242658375497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34.469525862027169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34.469525862027169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264.08053957457469</v>
      </c>
      <c r="EP121" s="59">
        <f t="shared" si="100"/>
        <v>284.83300065761051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51.380433401509514</v>
      </c>
      <c r="EW121" s="21">
        <f>EXP(-LN(2)/25)*EW120+(1-EXP(-LN(2)/25))/(LN(2)/25)*Calculateur!ER121*Calculateur!ET121*VLOOKUP('Données projet'!$B$15,Paramètres!$A$1:$I$89,3,0)*0.475*44/12</f>
        <v>4.2300670803411888</v>
      </c>
      <c r="EX121" s="21">
        <f>EXP(-LN(2)/2)*EX120+(1-EXP(-LN(2)/2))/(LN(2)/2)*ER121*EU121*VLOOKUP('Données projet'!$B$15,Paramètres!$A$1:$I$89,3,0)*0.475*44/12</f>
        <v>1.1240932293203957E-7</v>
      </c>
      <c r="EY121" s="22">
        <f t="shared" si="75"/>
        <v>55.610500594260024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166.27444639635013</v>
      </c>
      <c r="FK121" s="59">
        <f t="shared" si="102"/>
        <v>213.60182977243113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30.797415287388016</v>
      </c>
      <c r="FR121" s="21">
        <f>EXP(-LN(2)/25)*FR120+(1-EXP(-LN(2)/25))/(LN(2)/25)*Calculateur!FM121*Calculateur!FO121*VLOOKUP('Données projet'!$B$16,Paramètres!$A$1:$I$89,3,0)*0.475*44/12</f>
        <v>9.3804173381664366</v>
      </c>
      <c r="FS121" s="21">
        <f>EXP(-LN(2)/2)*FS120+(1-EXP(-LN(2)/2))/(LN(2)/2)*FM121*FP121*VLOOKUP('Données projet'!$B$16,Paramètres!$A$1:$I$89,3,0)*0.475*44/12</f>
        <v>3.5296795395590898E-7</v>
      </c>
      <c r="FT121" s="22">
        <f t="shared" si="78"/>
        <v>40.177832978522403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4.5</v>
      </c>
      <c r="N122" s="13">
        <f>IF('Données projet'!$A$36&gt;35,N121+M122-V121,IF(A122&lt;'Données projet'!$A$36,$K$205^A122,IF(A122='Données projet'!$A$36,'Données projet'!$B$36,N121+M122-V121)))</f>
        <v>347.5</v>
      </c>
      <c r="O122" s="13">
        <f>N122*VLOOKUP('Données projet'!$B$9,Paramètres!$A$1:$I$89,3,0)*VLOOKUP('Données projet'!$B$9,Paramètres!$A$1:$I$89,5,0)</f>
        <v>314.41800000000001</v>
      </c>
      <c r="P122" s="13">
        <f t="shared" si="87"/>
        <v>74.190723151497338</v>
      </c>
      <c r="Q122" s="20">
        <f t="shared" si="107"/>
        <v>676.82685948885785</v>
      </c>
      <c r="R122" s="59">
        <f t="shared" si="55"/>
        <v>970.16019282219122</v>
      </c>
      <c r="S122" s="59">
        <f ca="1">AVERAGE(OFFSET($R$3,0,0,'Données projet'!$E$9+1,1))-AVERAGE(OFFSET($H$3,0,0,'Données projet'!$E$9+1,1))</f>
        <v>458.37755197712164</v>
      </c>
      <c r="T122" s="59">
        <f t="shared" si="88"/>
        <v>278.21741231699917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51.690534468381585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51.690534468381585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4.5</v>
      </c>
      <c r="AI122" s="13">
        <f>IF('Données projet'!$A$62&gt;35,AI121+AH122-AQ121,IF(A122&lt;'Données projet'!$A$62,$AF$205^A122,IF(A122='Données projet'!$A$62,'Données projet'!$B$62,AI121+AH122-AQ121)))</f>
        <v>347.5</v>
      </c>
      <c r="AJ122" s="13">
        <f>AI122*VLOOKUP('Données projet'!$B$10,Paramètres!$A$1:$I$89,3,0)*VLOOKUP('Données projet'!$B$10,Paramètres!$A$1:$I$89,5,0)</f>
        <v>352.36500000000001</v>
      </c>
      <c r="AK122" s="13">
        <f t="shared" si="89"/>
        <v>82.049298267873581</v>
      </c>
      <c r="AL122" s="20">
        <f t="shared" si="58"/>
        <v>756.60490281654654</v>
      </c>
      <c r="AM122" s="59">
        <f t="shared" si="59"/>
        <v>1049.9382361498799</v>
      </c>
      <c r="AN122" s="59">
        <f ca="1">AVERAGE(OFFSET($AM$3,0,0,'Données projet'!$E$10+1,1))-AVERAGE(OFFSET($H$3,0,0,'Données projet'!$E$10+1,1))</f>
        <v>508.60701013958447</v>
      </c>
      <c r="AO122" s="59">
        <f t="shared" si="90"/>
        <v>306.61893266146654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57.929047249048331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57.929047249048331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-1.0818439477588981E-13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291.17074241052887</v>
      </c>
      <c r="BJ122" s="59">
        <f t="shared" si="92"/>
        <v>241.18285512887638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41.358461379679632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41.358461379679632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4.5</v>
      </c>
      <c r="BY122" s="12">
        <f>IF('Données projet'!$A$114&gt;35,BY121+BX122-CG121,IF(A122&lt;'Données projet'!$A$114,$BV$205^A122,IF(A122='Données projet'!$A$114,'Données projet'!$B$114,BY121+BX122-CG121)))</f>
        <v>347.5</v>
      </c>
      <c r="BZ122" s="13">
        <f>BY122*VLOOKUP('Données projet'!$B$12,Paramètres!$A$1:$I$89,3,0)*VLOOKUP('Données projet'!$B$12,Paramètres!$A$1:$I$89,5,0)</f>
        <v>292.73400000000004</v>
      </c>
      <c r="CA122" s="13">
        <f t="shared" si="93"/>
        <v>69.651064026395645</v>
      </c>
      <c r="CB122" s="20">
        <f t="shared" si="64"/>
        <v>631.15398651263911</v>
      </c>
      <c r="CC122" s="59">
        <f t="shared" si="65"/>
        <v>924.48731984597248</v>
      </c>
      <c r="CD122" s="59">
        <f ca="1">AVERAGE(OFFSET($CC$3,0,0,'Données projet'!$E$12+1,1))-AVERAGE(OFFSET($H$3,0,0,'Données projet'!$E$12+1,1))</f>
        <v>429.61977776013185</v>
      </c>
      <c r="CE122" s="59">
        <f t="shared" si="94"/>
        <v>261.95434270986385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48.125670022286315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48.125670022286315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-1.7053025658242404E-13</v>
      </c>
      <c r="CU122" s="17">
        <f>CT122*VLOOKUP('Données projet'!$B$13,Paramètres!$A$1:$I$89,3,0)*VLOOKUP('Données projet'!$B$13,Paramètres!$A$1:$I$89,5,0)</f>
        <v>-1.1173142411280423E-13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255.09913504736693</v>
      </c>
      <c r="CZ122" s="59">
        <f t="shared" si="96"/>
        <v>248.42617382406644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28.115170777942147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28.115170777942147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1.9</v>
      </c>
      <c r="DO122" s="12">
        <f>IF('Données projet'!$A$166&gt;35,DO121+DN122-DW121,IF(A122&lt;'Données projet'!$A$166,$DL$205^A122,IF(A122='Données projet'!$A$166,'Données projet'!$B$166,DO121+DN122-DW121)))</f>
        <v>283.09999999999951</v>
      </c>
      <c r="DP122" s="17">
        <f>DO122*VLOOKUP('Données projet'!$B$14,Paramètres!$A$1:$I$89,3,0)*VLOOKUP('Données projet'!$B$14,Paramètres!$A$1:$I$89,5,0)</f>
        <v>322.39427999999947</v>
      </c>
      <c r="DQ122" s="13">
        <f t="shared" si="97"/>
        <v>75.851313846171408</v>
      </c>
      <c r="DR122" s="20">
        <f t="shared" si="70"/>
        <v>693.6110759487475</v>
      </c>
      <c r="DS122" s="59">
        <f t="shared" si="71"/>
        <v>986.94440928208087</v>
      </c>
      <c r="DT122" s="59">
        <f ca="1">AVERAGE(OFFSET($DS$3,0,0,'Données projet'!$E$14+1,1))-AVERAGE(OFFSET($H$3,0,0,'Données projet'!$E$14+1,1))</f>
        <v>459.67331926893809</v>
      </c>
      <c r="DU122" s="59">
        <f t="shared" si="98"/>
        <v>280.33242658375497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33.793599484207611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33.793599484207611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264.08053957457469</v>
      </c>
      <c r="EP122" s="59">
        <f t="shared" si="100"/>
        <v>284.83300065761051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50.372894441475822</v>
      </c>
      <c r="EW122" s="21">
        <f>EXP(-LN(2)/25)*EW121+(1-EXP(-LN(2)/25))/(LN(2)/25)*Calculateur!ER122*Calculateur!ET122*VLOOKUP('Données projet'!$B$15,Paramètres!$A$1:$I$89,3,0)*0.475*44/12</f>
        <v>4.1143956735796996</v>
      </c>
      <c r="EX122" s="21">
        <f>EXP(-LN(2)/2)*EX121+(1-EXP(-LN(2)/2))/(LN(2)/2)*ER122*EU122*VLOOKUP('Données projet'!$B$15,Paramètres!$A$1:$I$89,3,0)*0.475*44/12</f>
        <v>7.9485394513833664E-8</v>
      </c>
      <c r="EY122" s="22">
        <f t="shared" si="75"/>
        <v>54.487290194540918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166.27444639635013</v>
      </c>
      <c r="FK122" s="59">
        <f t="shared" si="102"/>
        <v>213.60182977243113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30.193496758170841</v>
      </c>
      <c r="FR122" s="21">
        <f>EXP(-LN(2)/25)*FR121+(1-EXP(-LN(2)/25))/(LN(2)/25)*Calculateur!FM122*Calculateur!FO122*VLOOKUP('Données projet'!$B$16,Paramètres!$A$1:$I$89,3,0)*0.475*44/12</f>
        <v>9.1239093327595668</v>
      </c>
      <c r="FS122" s="21">
        <f>EXP(-LN(2)/2)*FS121+(1-EXP(-LN(2)/2))/(LN(2)/2)*FM122*FP122*VLOOKUP('Données projet'!$B$16,Paramètres!$A$1:$I$89,3,0)*0.475*44/12</f>
        <v>2.4958603378376431E-7</v>
      </c>
      <c r="FT122" s="22">
        <f t="shared" si="78"/>
        <v>39.317406340516442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352</v>
      </c>
      <c r="L123" s="12">
        <f>VLOOKUP(A123,'Données projet'!$A$35:$I$55,9,0)</f>
        <v>4.5</v>
      </c>
      <c r="M123" s="12">
        <f t="array" ref="M123">INDEX(L:L,MIN(IF(ISNUMBER(L123:L319),ROW(L123:L319),"")))</f>
        <v>4.5</v>
      </c>
      <c r="N123" s="13">
        <f>IF('Données projet'!$A$36&gt;35,N122+M123-V122,IF(A123&lt;'Données projet'!$A$36,$K$205^A123,IF(A123='Données projet'!$A$36,'Données projet'!$B$36,N122+M123-V122)))</f>
        <v>352</v>
      </c>
      <c r="O123" s="13">
        <f>N123*VLOOKUP('Données projet'!$B$9,Paramètres!$A$1:$I$89,3,0)*VLOOKUP('Données projet'!$B$9,Paramètres!$A$1:$I$89,5,0)</f>
        <v>318.4896</v>
      </c>
      <c r="P123" s="13">
        <f t="shared" si="87"/>
        <v>75.038999086150298</v>
      </c>
      <c r="Q123" s="20">
        <f t="shared" si="107"/>
        <v>685.39564340837842</v>
      </c>
      <c r="R123" s="59">
        <f t="shared" si="55"/>
        <v>978.72897674171168</v>
      </c>
      <c r="S123" s="59">
        <f ca="1">AVERAGE(OFFSET($R$3,0,0,'Données projet'!$E$9+1,1))-AVERAGE(OFFSET($H$3,0,0,'Données projet'!$E$9+1,1))</f>
        <v>458.37755197712164</v>
      </c>
      <c r="T123" s="59">
        <f t="shared" si="88"/>
        <v>278.21741231699917</v>
      </c>
      <c r="U123" s="15">
        <f>IF(ISNA(VLOOKUP(A123,'Données projet'!$A$35:$I$55,3,0)),0,VLOOKUP(A123,'Données projet'!$A$35:$I$55,3,0))</f>
        <v>21</v>
      </c>
      <c r="V123" s="15">
        <f>IF(ISNA(VLOOKUP(A123,'Données projet'!$A$35:$I$55,4,0)),0,VLOOKUP(A123,'Données projet'!$A$35:$I$55,4,0))</f>
        <v>352</v>
      </c>
      <c r="W123" s="16">
        <f>IF(ISNA(VLOOKUP(A123,'Données projet'!$A$35:$I$55,5,0)),0%,VLOOKUP(A123,'Données projet'!$A$35:$I$55,5,0)*VLOOKUP('Données projet'!$B$9,Paramètres!$A$1:$I$89,7,0))</f>
        <v>0.38700000000000001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186.9321915644276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186.9321915644276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352</v>
      </c>
      <c r="AG123" s="12">
        <f>VLOOKUP(A123,'Données projet'!$A$61:$I$81,9,0)</f>
        <v>4.5</v>
      </c>
      <c r="AH123" s="12">
        <f t="array" ref="AH123">INDEX(AG:AG,MIN(IF(ISNUMBER(AG123:AG319),ROW(AG123:AG319),"")))</f>
        <v>4.5</v>
      </c>
      <c r="AI123" s="13">
        <f>IF('Données projet'!$A$62&gt;35,AI122+AH123-AQ122,IF(A123&lt;'Données projet'!$A$62,$AF$205^A123,IF(A123='Données projet'!$A$62,'Données projet'!$B$62,AI122+AH123-AQ122)))</f>
        <v>352</v>
      </c>
      <c r="AJ123" s="13">
        <f>AI123*VLOOKUP('Données projet'!$B$10,Paramètres!$A$1:$I$89,3,0)*VLOOKUP('Données projet'!$B$10,Paramètres!$A$1:$I$89,5,0)</f>
        <v>356.92800000000005</v>
      </c>
      <c r="AK123" s="13">
        <f t="shared" si="89"/>
        <v>82.987426947838998</v>
      </c>
      <c r="AL123" s="20">
        <f t="shared" si="58"/>
        <v>766.18603526748632</v>
      </c>
      <c r="AM123" s="59">
        <f t="shared" si="59"/>
        <v>1059.5193686008197</v>
      </c>
      <c r="AN123" s="59">
        <f ca="1">AVERAGE(OFFSET($AM$3,0,0,'Données projet'!$E$10+1,1))-AVERAGE(OFFSET($H$3,0,0,'Données projet'!$E$10+1,1))</f>
        <v>508.60701013958447</v>
      </c>
      <c r="AO123" s="59">
        <f t="shared" si="90"/>
        <v>306.61893266146654</v>
      </c>
      <c r="AP123" s="15">
        <f>IF(ISNA(VLOOKUP(A123,'Données projet'!$A$61:$I$81,3,0)),0,VLOOKUP(A123,'Données projet'!$A$61:$I$81,3,0))</f>
        <v>21</v>
      </c>
      <c r="AQ123" s="15">
        <f>IF(ISNA(VLOOKUP(A123,'Données projet'!$A$61:$I$81,4,0)),0,VLOOKUP(A123,'Données projet'!$A$61:$I$81,4,0))</f>
        <v>352</v>
      </c>
      <c r="AR123" s="16">
        <f>IF(ISNA(VLOOKUP(A123,'Données projet'!$A$61:$I$81,5,0)),0%,VLOOKUP(A123,'Données projet'!$A$61:$I$81,5,0)*VLOOKUP('Données projet'!$B$10,Paramètres!$A$1:$I$89,7,0))</f>
        <v>0.38700000000000001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209.49297330496202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209.49297330496202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-1.0818439477588981E-13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291.17074241052887</v>
      </c>
      <c r="BJ123" s="59">
        <f t="shared" si="92"/>
        <v>241.18285512887638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40.54744717819468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40.54744717819468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352</v>
      </c>
      <c r="BW123" s="12">
        <f>VLOOKUP(A123,'Données projet'!$A$113:$I$133,9,0)</f>
        <v>4.5</v>
      </c>
      <c r="BX123" s="12">
        <f t="array" ref="BX123">INDEX(BW:BW,MIN(IF(ISNUMBER(BW123:BW319),ROW(BW123:BW319),"")))</f>
        <v>4.5</v>
      </c>
      <c r="BY123" s="12">
        <f>IF('Données projet'!$A$114&gt;35,BY122+BX123-CG122,IF(A123&lt;'Données projet'!$A$114,$BV$205^A123,IF(A123='Données projet'!$A$114,'Données projet'!$B$114,BY122+BX123-CG122)))</f>
        <v>352</v>
      </c>
      <c r="BZ123" s="13">
        <f>BY123*VLOOKUP('Données projet'!$B$12,Paramètres!$A$1:$I$89,3,0)*VLOOKUP('Données projet'!$B$12,Paramètres!$A$1:$I$89,5,0)</f>
        <v>296.52480000000003</v>
      </c>
      <c r="CA123" s="13">
        <f t="shared" si="93"/>
        <v>70.447434770968528</v>
      </c>
      <c r="CB123" s="20">
        <f t="shared" si="64"/>
        <v>639.14330889277016</v>
      </c>
      <c r="CC123" s="59">
        <f t="shared" si="65"/>
        <v>932.47664222610342</v>
      </c>
      <c r="CD123" s="59">
        <f ca="1">AVERAGE(OFFSET($CC$3,0,0,'Données projet'!$E$12+1,1))-AVERAGE(OFFSET($H$3,0,0,'Données projet'!$E$12+1,1))</f>
        <v>429.61977776013185</v>
      </c>
      <c r="CE123" s="59">
        <f t="shared" si="94"/>
        <v>261.95434270986385</v>
      </c>
      <c r="CF123" s="15">
        <f>IF(ISNA(VLOOKUP(A123,'Données projet'!$A$113:$I$133,3,0)),0,VLOOKUP(A123,'Données projet'!$A$113:$I$133,3,0))</f>
        <v>21</v>
      </c>
      <c r="CG123" s="15">
        <f>IF(ISNA(VLOOKUP(A123,'Données projet'!$A$113:$I$133,4,0)),0,VLOOKUP(A123,'Données projet'!$A$113:$I$133,4,0))</f>
        <v>352</v>
      </c>
      <c r="CH123" s="16">
        <f>IF(ISNA(VLOOKUP(A123,'Données projet'!$A$113:$I$133,5,0)),0%,VLOOKUP(A123,'Données projet'!$A$113:$I$133,5,0)*VLOOKUP('Données projet'!$B$12,Paramètres!$A$1:$I$89,7,0))</f>
        <v>0.38700000000000001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174.0403162841223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174.0403162841223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-1.7053025658242404E-13</v>
      </c>
      <c r="CU123" s="17">
        <f>CT123*VLOOKUP('Données projet'!$B$13,Paramètres!$A$1:$I$89,3,0)*VLOOKUP('Données projet'!$B$13,Paramètres!$A$1:$I$89,5,0)</f>
        <v>-1.1173142411280423E-13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255.09913504736693</v>
      </c>
      <c r="CZ123" s="59">
        <f t="shared" si="96"/>
        <v>248.42617382406644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27.563849427547595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27.563849427547595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>
        <f>VLOOKUP(A123,'Données projet'!$A$165:$I$185,2,0)</f>
        <v>285</v>
      </c>
      <c r="DM123" s="12">
        <f>VLOOKUP(A123,'Données projet'!$A$165:$I$185,9,0)</f>
        <v>1.9</v>
      </c>
      <c r="DN123" s="12">
        <f t="array" ref="DN123">INDEX(DM:DM,MIN(IF(ISNUMBER(DM123:DM319),ROW(DM123:DM319),"")))</f>
        <v>1.9</v>
      </c>
      <c r="DO123" s="12">
        <f>IF('Données projet'!$A$166&gt;35,DO122+DN123-DW122,IF(A123&lt;'Données projet'!$A$166,$DL$205^A123,IF(A123='Données projet'!$A$166,'Données projet'!$B$166,DO122+DN123-DW122)))</f>
        <v>284.99999999999949</v>
      </c>
      <c r="DP123" s="17">
        <f>DO123*VLOOKUP('Données projet'!$B$14,Paramètres!$A$1:$I$89,3,0)*VLOOKUP('Données projet'!$B$14,Paramètres!$A$1:$I$89,5,0)</f>
        <v>324.55799999999942</v>
      </c>
      <c r="DQ123" s="13">
        <f t="shared" si="97"/>
        <v>76.30095214763007</v>
      </c>
      <c r="DR123" s="20">
        <f t="shared" si="70"/>
        <v>698.16267499045478</v>
      </c>
      <c r="DS123" s="59">
        <f t="shared" si="71"/>
        <v>991.49600832378815</v>
      </c>
      <c r="DT123" s="59">
        <f ca="1">AVERAGE(OFFSET($DS$3,0,0,'Données projet'!$E$14+1,1))-AVERAGE(OFFSET($H$3,0,0,'Données projet'!$E$14+1,1))</f>
        <v>459.67331926893809</v>
      </c>
      <c r="DU123" s="59">
        <f t="shared" si="98"/>
        <v>280.33242658375497</v>
      </c>
      <c r="DV123" s="15">
        <f>IF(ISNA(VLOOKUP(A123,'Données projet'!$A$165:$I$185,3,0)),0,VLOOKUP(A123,'Données projet'!$A$165:$I$185,3,0))</f>
        <v>18</v>
      </c>
      <c r="DW123" s="15">
        <f>IF(ISNA(VLOOKUP(A123,'Données projet'!$A$165:$I$185,4,0)),0,VLOOKUP(A123,'Données projet'!$A$165:$I$185,4,0))</f>
        <v>285</v>
      </c>
      <c r="DX123" s="16">
        <f>IF(ISNA(VLOOKUP(A123,'Données projet'!$A$165:$I$185,5,0)),0%,VLOOKUP(A123,'Données projet'!$A$165:$I$185,5,0)*VLOOKUP('Données projet'!$B$14,Paramètres!$A$1:$I$89,7,0))</f>
        <v>0.34400000000000003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156.55443148189931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156.55443148189931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264.08053957457469</v>
      </c>
      <c r="EP123" s="59">
        <f t="shared" si="100"/>
        <v>284.83300065761051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49.385112705910302</v>
      </c>
      <c r="EW123" s="21">
        <f>EXP(-LN(2)/25)*EW122+(1-EXP(-LN(2)/25))/(LN(2)/25)*Calculateur!ER123*Calculateur!ET123*VLOOKUP('Données projet'!$B$15,Paramètres!$A$1:$I$89,3,0)*0.475*44/12</f>
        <v>4.0018873075189978</v>
      </c>
      <c r="EX123" s="21">
        <f>EXP(-LN(2)/2)*EX122+(1-EXP(-LN(2)/2))/(LN(2)/2)*ER123*EU123*VLOOKUP('Données projet'!$B$15,Paramètres!$A$1:$I$89,3,0)*0.475*44/12</f>
        <v>5.6204661466019787E-8</v>
      </c>
      <c r="EY123" s="22">
        <f t="shared" si="75"/>
        <v>53.387000069633963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166.27444639635013</v>
      </c>
      <c r="FK123" s="59">
        <f t="shared" si="102"/>
        <v>213.60182977243113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29.601420702957682</v>
      </c>
      <c r="FR123" s="21">
        <f>EXP(-LN(2)/25)*FR122+(1-EXP(-LN(2)/25))/(LN(2)/25)*Calculateur!FM123*Calculateur!FO123*VLOOKUP('Données projet'!$B$16,Paramètres!$A$1:$I$89,3,0)*0.475*44/12</f>
        <v>8.874415552249717</v>
      </c>
      <c r="FS123" s="21">
        <f>EXP(-LN(2)/2)*FS122+(1-EXP(-LN(2)/2))/(LN(2)/2)*FM123*FP123*VLOOKUP('Données projet'!$B$16,Paramètres!$A$1:$I$89,3,0)*0.475*44/12</f>
        <v>1.7648397697795449E-7</v>
      </c>
      <c r="FT123" s="22">
        <f t="shared" si="78"/>
        <v>38.475836431691377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458.37755197712164</v>
      </c>
      <c r="T124" s="59">
        <f t="shared" si="88"/>
        <v>278.21741231699917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183.26656530522774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183.26656530522774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508.60701013958447</v>
      </c>
      <c r="AO124" s="59">
        <f t="shared" si="90"/>
        <v>306.61893266146654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205.38494387654839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205.38494387654839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-1.0818439477588981E-13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291.17074241052887</v>
      </c>
      <c r="BJ124" s="59">
        <f t="shared" si="92"/>
        <v>241.18285512887638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39.752336470531027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39.752336470531027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429.61977776013185</v>
      </c>
      <c r="CE124" s="59">
        <f t="shared" si="94"/>
        <v>261.95434270986385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170.62749183590174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170.62749183590174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-1.7053025658242404E-13</v>
      </c>
      <c r="CU124" s="17">
        <f>CT124*VLOOKUP('Données projet'!$B$13,Paramètres!$A$1:$I$89,3,0)*VLOOKUP('Données projet'!$B$13,Paramètres!$A$1:$I$89,5,0)</f>
        <v>-1.1173142411280423E-13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255.09913504736693</v>
      </c>
      <c r="CZ124" s="59">
        <f t="shared" si="96"/>
        <v>248.42617382406644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27.023339152561462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27.023339152561462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-5.1159076974727213E-13</v>
      </c>
      <c r="DP124" s="17">
        <f>DO124*VLOOKUP('Données projet'!$B$14,Paramètres!$A$1:$I$89,3,0)*VLOOKUP('Données projet'!$B$14,Paramètres!$A$1:$I$89,5,0)</f>
        <v>-5.8259956858819351E-13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459.67331926893809</v>
      </c>
      <c r="DU124" s="59">
        <f t="shared" si="98"/>
        <v>280.33242658375497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153.48449456931374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153.48449456931374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264.08053957457469</v>
      </c>
      <c r="EP124" s="59">
        <f t="shared" si="100"/>
        <v>284.83300065761051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48.416700767691857</v>
      </c>
      <c r="EW124" s="21">
        <f>EXP(-LN(2)/25)*EW123+(1-EXP(-LN(2)/25))/(LN(2)/25)*Calculateur!ER124*Calculateur!ET124*VLOOKUP('Données projet'!$B$15,Paramètres!$A$1:$I$89,3,0)*0.475*44/12</f>
        <v>3.8924554886447837</v>
      </c>
      <c r="EX124" s="21">
        <f>EXP(-LN(2)/2)*EX123+(1-EXP(-LN(2)/2))/(LN(2)/2)*ER124*EU124*VLOOKUP('Données projet'!$B$15,Paramètres!$A$1:$I$89,3,0)*0.475*44/12</f>
        <v>3.9742697256916832E-8</v>
      </c>
      <c r="EY124" s="22">
        <f t="shared" si="75"/>
        <v>52.309156296079337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166.27444639635013</v>
      </c>
      <c r="FK124" s="59">
        <f t="shared" si="102"/>
        <v>213.60182977243113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29.02095489805652</v>
      </c>
      <c r="FR124" s="21">
        <f>EXP(-LN(2)/25)*FR123+(1-EXP(-LN(2)/25))/(LN(2)/25)*Calculateur!FM124*Calculateur!FO124*VLOOKUP('Données projet'!$B$16,Paramètres!$A$1:$I$89,3,0)*0.475*44/12</f>
        <v>8.6317441922882168</v>
      </c>
      <c r="FS124" s="21">
        <f>EXP(-LN(2)/2)*FS123+(1-EXP(-LN(2)/2))/(LN(2)/2)*FM124*FP124*VLOOKUP('Données projet'!$B$16,Paramètres!$A$1:$I$89,3,0)*0.475*44/12</f>
        <v>1.2479301689188215E-7</v>
      </c>
      <c r="FT124" s="22">
        <f t="shared" si="78"/>
        <v>37.652699215137758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458.37755197712164</v>
      </c>
      <c r="T125" s="59">
        <f t="shared" si="88"/>
        <v>278.21741231699917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179.67281974115954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179.67281974115954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508.60701013958447</v>
      </c>
      <c r="AO125" s="59">
        <f t="shared" si="90"/>
        <v>306.61893266146654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201.35747039957542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201.35747039957542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-1.0818439477588981E-13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291.17074241052887</v>
      </c>
      <c r="BJ125" s="59">
        <f t="shared" si="92"/>
        <v>241.18285512887638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38.972817398875016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38.972817398875016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429.61977776013185</v>
      </c>
      <c r="CE125" s="59">
        <f t="shared" si="94"/>
        <v>261.95434270986385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167.28159079349342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167.28159079349342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-1.7053025658242404E-13</v>
      </c>
      <c r="CU125" s="17">
        <f>CT125*VLOOKUP('Données projet'!$B$13,Paramètres!$A$1:$I$89,3,0)*VLOOKUP('Données projet'!$B$13,Paramètres!$A$1:$I$89,5,0)</f>
        <v>-1.1173142411280423E-13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255.09913504736693</v>
      </c>
      <c r="CZ125" s="59">
        <f t="shared" si="96"/>
        <v>248.42617382406644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26.493427954389091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26.493427954389091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-5.1159076974727213E-13</v>
      </c>
      <c r="DP125" s="17">
        <f>DO125*VLOOKUP('Données projet'!$B$14,Paramètres!$A$1:$I$89,3,0)*VLOOKUP('Données projet'!$B$14,Paramètres!$A$1:$I$89,5,0)</f>
        <v>-5.8259956858819351E-13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459.67331926893809</v>
      </c>
      <c r="DU125" s="59">
        <f t="shared" si="98"/>
        <v>280.33242658375497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150.47475724710733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150.47475724710733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264.08053957457469</v>
      </c>
      <c r="EP125" s="59">
        <f t="shared" si="100"/>
        <v>284.83300065761051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47.467278796908914</v>
      </c>
      <c r="EW125" s="21">
        <f>EXP(-LN(2)/25)*EW124+(1-EXP(-LN(2)/25))/(LN(2)/25)*Calculateur!ER125*Calculateur!ET125*VLOOKUP('Données projet'!$B$15,Paramètres!$A$1:$I$89,3,0)*0.475*44/12</f>
        <v>3.7860160886124543</v>
      </c>
      <c r="EX125" s="21">
        <f>EXP(-LN(2)/2)*EX124+(1-EXP(-LN(2)/2))/(LN(2)/2)*ER125*EU125*VLOOKUP('Données projet'!$B$15,Paramètres!$A$1:$I$89,3,0)*0.475*44/12</f>
        <v>2.8102330733009893E-8</v>
      </c>
      <c r="EY125" s="22">
        <f t="shared" si="75"/>
        <v>51.253294913623698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166.27444639635013</v>
      </c>
      <c r="FK125" s="59">
        <f t="shared" si="102"/>
        <v>213.60182977243113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28.451871673540285</v>
      </c>
      <c r="FR125" s="21">
        <f>EXP(-LN(2)/25)*FR124+(1-EXP(-LN(2)/25))/(LN(2)/25)*Calculateur!FM125*Calculateur!FO125*VLOOKUP('Données projet'!$B$16,Paramètres!$A$1:$I$89,3,0)*0.475*44/12</f>
        <v>8.3957086934263963</v>
      </c>
      <c r="FS125" s="21">
        <f>EXP(-LN(2)/2)*FS124+(1-EXP(-LN(2)/2))/(LN(2)/2)*FM125*FP125*VLOOKUP('Données projet'!$B$16,Paramètres!$A$1:$I$89,3,0)*0.475*44/12</f>
        <v>8.8241988488977244E-8</v>
      </c>
      <c r="FT125" s="22">
        <f t="shared" si="78"/>
        <v>36.847580455208671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458.37755197712164</v>
      </c>
      <c r="T126" s="59">
        <f t="shared" si="88"/>
        <v>278.21741231699917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176.14954533563437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176.14954533563437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508.60701013958447</v>
      </c>
      <c r="AO126" s="59">
        <f t="shared" si="90"/>
        <v>306.61893266146654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197.40897322096961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197.40897322096961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-1.0818439477588981E-13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291.17074241052887</v>
      </c>
      <c r="BJ126" s="59">
        <f t="shared" si="92"/>
        <v>241.18285512887638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38.208584220754489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38.208584220754489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429.61977776013185</v>
      </c>
      <c r="CE126" s="59">
        <f t="shared" si="94"/>
        <v>261.95434270986385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164.00130082972862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164.00130082972862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-1.7053025658242404E-13</v>
      </c>
      <c r="CU126" s="17">
        <f>CT126*VLOOKUP('Données projet'!$B$13,Paramètres!$A$1:$I$89,3,0)*VLOOKUP('Données projet'!$B$13,Paramètres!$A$1:$I$89,5,0)</f>
        <v>-1.1173142411280423E-13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255.09913504736693</v>
      </c>
      <c r="CZ126" s="59">
        <f t="shared" si="96"/>
        <v>248.42617382406644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25.973907991598967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25.973907991598967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-5.1159076974727213E-13</v>
      </c>
      <c r="DP126" s="17">
        <f>DO126*VLOOKUP('Données projet'!$B$14,Paramètres!$A$1:$I$89,3,0)*VLOOKUP('Données projet'!$B$14,Paramètres!$A$1:$I$89,5,0)</f>
        <v>-5.8259956858819351E-13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459.67331926893809</v>
      </c>
      <c r="DU126" s="59">
        <f t="shared" si="98"/>
        <v>280.33242658375497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147.52403903803091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147.52403903803091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264.08053957457469</v>
      </c>
      <c r="EP126" s="59">
        <f t="shared" si="100"/>
        <v>284.83300065761051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46.536474411882807</v>
      </c>
      <c r="EW126" s="21">
        <f>EXP(-LN(2)/25)*EW125+(1-EXP(-LN(2)/25))/(LN(2)/25)*Calculateur!ER126*Calculateur!ET126*VLOOKUP('Données projet'!$B$15,Paramètres!$A$1:$I$89,3,0)*0.475*44/12</f>
        <v>3.6824872795714136</v>
      </c>
      <c r="EX126" s="21">
        <f>EXP(-LN(2)/2)*EX125+(1-EXP(-LN(2)/2))/(LN(2)/2)*ER126*EU126*VLOOKUP('Données projet'!$B$15,Paramètres!$A$1:$I$89,3,0)*0.475*44/12</f>
        <v>1.9871348628458416E-8</v>
      </c>
      <c r="EY126" s="22">
        <f t="shared" si="75"/>
        <v>50.218961711325569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166.27444639635013</v>
      </c>
      <c r="FK126" s="59">
        <f t="shared" si="102"/>
        <v>213.60182977243113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27.893947823950324</v>
      </c>
      <c r="FR126" s="21">
        <f>EXP(-LN(2)/25)*FR125+(1-EXP(-LN(2)/25))/(LN(2)/25)*Calculateur!FM126*Calculateur!FO126*VLOOKUP('Données projet'!$B$16,Paramètres!$A$1:$I$89,3,0)*0.475*44/12</f>
        <v>8.166127597693519</v>
      </c>
      <c r="FS126" s="21">
        <f>EXP(-LN(2)/2)*FS125+(1-EXP(-LN(2)/2))/(LN(2)/2)*FM126*FP126*VLOOKUP('Données projet'!$B$16,Paramètres!$A$1:$I$89,3,0)*0.475*44/12</f>
        <v>6.2396508445941077E-8</v>
      </c>
      <c r="FT126" s="22">
        <f t="shared" si="78"/>
        <v>36.060075484040354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458.37755197712164</v>
      </c>
      <c r="T127" s="59">
        <f t="shared" si="88"/>
        <v>278.21741231699917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172.69536019221636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172.69536019221636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508.60701013958447</v>
      </c>
      <c r="AO127" s="59">
        <f t="shared" si="90"/>
        <v>306.61893266146654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193.5379036636908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193.5379036636908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-1.0818439477588981E-13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291.17074241052887</v>
      </c>
      <c r="BJ127" s="59">
        <f t="shared" si="92"/>
        <v>241.18285512887638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37.459337189120696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37.459337189120696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429.61977776013185</v>
      </c>
      <c r="CE127" s="59">
        <f t="shared" si="94"/>
        <v>261.95434270986385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160.7853353513739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160.7853353513739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-1.7053025658242404E-13</v>
      </c>
      <c r="CU127" s="17">
        <f>CT127*VLOOKUP('Données projet'!$B$13,Paramètres!$A$1:$I$89,3,0)*VLOOKUP('Données projet'!$B$13,Paramètres!$A$1:$I$89,5,0)</f>
        <v>-1.1173142411280423E-13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255.09913504736693</v>
      </c>
      <c r="CZ127" s="59">
        <f t="shared" si="96"/>
        <v>248.42617382406644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25.464575498403267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25.464575498403267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-5.1159076974727213E-13</v>
      </c>
      <c r="DP127" s="17">
        <f>DO127*VLOOKUP('Données projet'!$B$14,Paramètres!$A$1:$I$89,3,0)*VLOOKUP('Données projet'!$B$14,Paramètres!$A$1:$I$89,5,0)</f>
        <v>-5.8259956858819351E-13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459.67331926893809</v>
      </c>
      <c r="DU127" s="59">
        <f t="shared" si="98"/>
        <v>280.33242658375497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144.63118261327406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144.63118261327406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264.08053957457469</v>
      </c>
      <c r="EP127" s="59">
        <f t="shared" si="100"/>
        <v>284.83300065761051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45.623922533112449</v>
      </c>
      <c r="EW127" s="21">
        <f>EXP(-LN(2)/25)*EW126+(1-EXP(-LN(2)/25))/(LN(2)/25)*Calculateur!ER127*Calculateur!ET127*VLOOKUP('Données projet'!$B$15,Paramètres!$A$1:$I$89,3,0)*0.475*44/12</f>
        <v>3.5817894712579439</v>
      </c>
      <c r="EX127" s="21">
        <f>EXP(-LN(2)/2)*EX126+(1-EXP(-LN(2)/2))/(LN(2)/2)*ER127*EU127*VLOOKUP('Données projet'!$B$15,Paramètres!$A$1:$I$89,3,0)*0.475*44/12</f>
        <v>1.4051165366504947E-8</v>
      </c>
      <c r="EY127" s="22">
        <f t="shared" si="75"/>
        <v>49.205712018421558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166.27444639635013</v>
      </c>
      <c r="FK127" s="59">
        <f t="shared" si="102"/>
        <v>213.60182977243113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27.346964520750873</v>
      </c>
      <c r="FR127" s="21">
        <f>EXP(-LN(2)/25)*FR126+(1-EXP(-LN(2)/25))/(LN(2)/25)*Calculateur!FM127*Calculateur!FO127*VLOOKUP('Données projet'!$B$16,Paramètres!$A$1:$I$89,3,0)*0.475*44/12</f>
        <v>7.9428244090966036</v>
      </c>
      <c r="FS127" s="21">
        <f>EXP(-LN(2)/2)*FS126+(1-EXP(-LN(2)/2))/(LN(2)/2)*FM127*FP127*VLOOKUP('Données projet'!$B$16,Paramètres!$A$1:$I$89,3,0)*0.475*44/12</f>
        <v>4.4120994244488622E-8</v>
      </c>
      <c r="FT127" s="22">
        <f t="shared" si="78"/>
        <v>35.28978897396847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458.37755197712164</v>
      </c>
      <c r="T128" s="59">
        <f t="shared" si="88"/>
        <v>278.21741231699917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169.30890951261586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169.30890951261586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508.60701013958447</v>
      </c>
      <c r="AO128" s="59">
        <f t="shared" si="90"/>
        <v>306.61893266146654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189.74274341931093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189.74274341931093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-1.0818439477588981E-13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291.17074241052887</v>
      </c>
      <c r="BJ128" s="59">
        <f t="shared" si="92"/>
        <v>241.18285512887638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36.72478243478168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36.72478243478168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429.61977776013185</v>
      </c>
      <c r="CE128" s="59">
        <f t="shared" si="94"/>
        <v>261.95434270986385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157.63243299450448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157.63243299450448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-1.7053025658242404E-13</v>
      </c>
      <c r="CU128" s="17">
        <f>CT128*VLOOKUP('Données projet'!$B$13,Paramètres!$A$1:$I$89,3,0)*VLOOKUP('Données projet'!$B$13,Paramètres!$A$1:$I$89,5,0)</f>
        <v>-1.1173142411280423E-13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255.09913504736693</v>
      </c>
      <c r="CZ128" s="59">
        <f t="shared" si="96"/>
        <v>248.42617382406644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24.965230704736989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24.965230704736989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-5.1159076974727213E-13</v>
      </c>
      <c r="DP128" s="17">
        <f>DO128*VLOOKUP('Données projet'!$B$14,Paramètres!$A$1:$I$89,3,0)*VLOOKUP('Données projet'!$B$14,Paramètres!$A$1:$I$89,5,0)</f>
        <v>-5.8259956858819351E-13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459.67331926893809</v>
      </c>
      <c r="DU128" s="59">
        <f t="shared" si="98"/>
        <v>280.33242658375497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141.79505333853851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141.79505333853851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264.08053957457469</v>
      </c>
      <c r="EP128" s="59">
        <f t="shared" si="100"/>
        <v>284.83300065761051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44.729265240083087</v>
      </c>
      <c r="EW128" s="21">
        <f>EXP(-LN(2)/25)*EW127+(1-EXP(-LN(2)/25))/(LN(2)/25)*Calculateur!ER128*Calculateur!ET128*VLOOKUP('Données projet'!$B$15,Paramètres!$A$1:$I$89,3,0)*0.475*44/12</f>
        <v>3.4838452498082733</v>
      </c>
      <c r="EX128" s="21">
        <f>EXP(-LN(2)/2)*EX127+(1-EXP(-LN(2)/2))/(LN(2)/2)*ER128*EU128*VLOOKUP('Données projet'!$B$15,Paramètres!$A$1:$I$89,3,0)*0.475*44/12</f>
        <v>9.9356743142292081E-9</v>
      </c>
      <c r="EY128" s="22">
        <f t="shared" si="75"/>
        <v>48.213110499827039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166.27444639635013</v>
      </c>
      <c r="FK128" s="59">
        <f t="shared" si="102"/>
        <v>213.60182977243113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26.810707226500295</v>
      </c>
      <c r="FR128" s="21">
        <f>EXP(-LN(2)/25)*FR127+(1-EXP(-LN(2)/25))/(LN(2)/25)*Calculateur!FM128*Calculateur!FO128*VLOOKUP('Données projet'!$B$16,Paramètres!$A$1:$I$89,3,0)*0.475*44/12</f>
        <v>7.7256274579348752</v>
      </c>
      <c r="FS128" s="21">
        <f>EXP(-LN(2)/2)*FS127+(1-EXP(-LN(2)/2))/(LN(2)/2)*FM128*FP128*VLOOKUP('Données projet'!$B$16,Paramètres!$A$1:$I$89,3,0)*0.475*44/12</f>
        <v>3.1198254222970538E-8</v>
      </c>
      <c r="FT128" s="22">
        <f t="shared" si="78"/>
        <v>34.536334715633423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458.37755197712164</v>
      </c>
      <c r="T129" s="59">
        <f t="shared" si="88"/>
        <v>278.21741231699917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165.98886506531136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165.98886506531136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508.60701013958447</v>
      </c>
      <c r="AO129" s="59">
        <f t="shared" si="90"/>
        <v>306.61893266146654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186.02200395250418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186.02200395250418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-1.0818439477588981E-13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291.17074241052887</v>
      </c>
      <c r="BJ129" s="59">
        <f t="shared" si="92"/>
        <v>241.18285512887638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36.004631851141092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36.004631851141092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429.61977776013185</v>
      </c>
      <c r="CE129" s="59">
        <f t="shared" si="94"/>
        <v>261.95434270986385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154.54135712977271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154.54135712977271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-1.7053025658242404E-13</v>
      </c>
      <c r="CU129" s="17">
        <f>CT129*VLOOKUP('Données projet'!$B$13,Paramètres!$A$1:$I$89,3,0)*VLOOKUP('Données projet'!$B$13,Paramètres!$A$1:$I$89,5,0)</f>
        <v>-1.1173142411280423E-13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255.09913504736693</v>
      </c>
      <c r="CZ129" s="59">
        <f t="shared" si="96"/>
        <v>248.42617382406644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24.475677757904258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24.475677757904258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-5.1159076974727213E-13</v>
      </c>
      <c r="DP129" s="17">
        <f>DO129*VLOOKUP('Données projet'!$B$14,Paramètres!$A$1:$I$89,3,0)*VLOOKUP('Données projet'!$B$14,Paramètres!$A$1:$I$89,5,0)</f>
        <v>-5.8259956858819351E-13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459.67331926893809</v>
      </c>
      <c r="DU129" s="59">
        <f t="shared" si="98"/>
        <v>280.33242658375497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139.01453882901248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139.01453882901248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264.08053957457469</v>
      </c>
      <c r="EP129" s="59">
        <f t="shared" si="100"/>
        <v>284.83300065761051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43.852151630882965</v>
      </c>
      <c r="EW129" s="21">
        <f>EXP(-LN(2)/25)*EW128+(1-EXP(-LN(2)/25))/(LN(2)/25)*Calculateur!ER129*Calculateur!ET129*VLOOKUP('Données projet'!$B$15,Paramètres!$A$1:$I$89,3,0)*0.475*44/12</f>
        <v>3.388579318244807</v>
      </c>
      <c r="EX129" s="21">
        <f>EXP(-LN(2)/2)*EX128+(1-EXP(-LN(2)/2))/(LN(2)/2)*ER129*EU129*VLOOKUP('Données projet'!$B$15,Paramètres!$A$1:$I$89,3,0)*0.475*44/12</f>
        <v>7.0255826832524733E-9</v>
      </c>
      <c r="EY129" s="22">
        <f t="shared" si="75"/>
        <v>47.240730956153357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166.27444639635013</v>
      </c>
      <c r="FK129" s="59">
        <f t="shared" si="102"/>
        <v>213.60182977243113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26.284965610705317</v>
      </c>
      <c r="FR129" s="21">
        <f>EXP(-LN(2)/25)*FR128+(1-EXP(-LN(2)/25))/(LN(2)/25)*Calculateur!FM129*Calculateur!FO129*VLOOKUP('Données projet'!$B$16,Paramètres!$A$1:$I$89,3,0)*0.475*44/12</f>
        <v>7.5143697688245554</v>
      </c>
      <c r="FS129" s="21">
        <f>EXP(-LN(2)/2)*FS128+(1-EXP(-LN(2)/2))/(LN(2)/2)*FM129*FP129*VLOOKUP('Données projet'!$B$16,Paramètres!$A$1:$I$89,3,0)*0.475*44/12</f>
        <v>2.2060497122244311E-8</v>
      </c>
      <c r="FT129" s="22">
        <f t="shared" si="78"/>
        <v>33.799335401590369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458.37755197712164</v>
      </c>
      <c r="T130" s="59">
        <f t="shared" si="88"/>
        <v>278.21741231699917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162.73392466459134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162.73392466459134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508.60701013958447</v>
      </c>
      <c r="AO130" s="59">
        <f t="shared" si="90"/>
        <v>306.61893266146654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182.37422591721452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182.37422591721452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-1.0818439477588981E-13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291.17074241052887</v>
      </c>
      <c r="BJ130" s="59">
        <f t="shared" si="92"/>
        <v>241.18285512887638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35.298602981197206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35.298602981197206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429.61977776013185</v>
      </c>
      <c r="CE130" s="59">
        <f t="shared" si="94"/>
        <v>261.95434270986385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151.51089537737823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151.51089537737823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-1.7053025658242404E-13</v>
      </c>
      <c r="CU130" s="17">
        <f>CT130*VLOOKUP('Données projet'!$B$13,Paramètres!$A$1:$I$89,3,0)*VLOOKUP('Données projet'!$B$13,Paramètres!$A$1:$I$89,5,0)</f>
        <v>-1.1173142411280423E-13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255.09913504736693</v>
      </c>
      <c r="CZ130" s="59">
        <f t="shared" si="96"/>
        <v>248.42617382406644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23.995724645761101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23.995724645761101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-5.1159076974727213E-13</v>
      </c>
      <c r="DP130" s="17">
        <f>DO130*VLOOKUP('Données projet'!$B$14,Paramètres!$A$1:$I$89,3,0)*VLOOKUP('Données projet'!$B$14,Paramètres!$A$1:$I$89,5,0)</f>
        <v>-5.8259956858819351E-13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459.67331926893809</v>
      </c>
      <c r="DU130" s="59">
        <f t="shared" si="98"/>
        <v>280.33242658375497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136.28854851307187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136.28854851307187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264.08053957457469</v>
      </c>
      <c r="EP130" s="59">
        <f t="shared" si="100"/>
        <v>284.83300065761051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42.992237684572778</v>
      </c>
      <c r="EW130" s="21">
        <f>EXP(-LN(2)/25)*EW129+(1-EXP(-LN(2)/25))/(LN(2)/25)*Calculateur!ER130*Calculateur!ET130*VLOOKUP('Données projet'!$B$15,Paramètres!$A$1:$I$89,3,0)*0.475*44/12</f>
        <v>3.2959184385897609</v>
      </c>
      <c r="EX130" s="21">
        <f>EXP(-LN(2)/2)*EX129+(1-EXP(-LN(2)/2))/(LN(2)/2)*ER130*EU130*VLOOKUP('Données projet'!$B$15,Paramètres!$A$1:$I$89,3,0)*0.475*44/12</f>
        <v>4.967837157114604E-9</v>
      </c>
      <c r="EY130" s="22">
        <f t="shared" si="75"/>
        <v>46.288156128130375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166.27444639635013</v>
      </c>
      <c r="FK130" s="59">
        <f t="shared" si="102"/>
        <v>213.60182977243113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25.769533467325356</v>
      </c>
      <c r="FR130" s="21">
        <f>EXP(-LN(2)/25)*FR129+(1-EXP(-LN(2)/25))/(LN(2)/25)*Calculateur!FM130*Calculateur!FO130*VLOOKUP('Données projet'!$B$16,Paramètres!$A$1:$I$89,3,0)*0.475*44/12</f>
        <v>7.3088889323325166</v>
      </c>
      <c r="FS130" s="21">
        <f>EXP(-LN(2)/2)*FS129+(1-EXP(-LN(2)/2))/(LN(2)/2)*FM130*FP130*VLOOKUP('Données projet'!$B$16,Paramètres!$A$1:$I$89,3,0)*0.475*44/12</f>
        <v>1.5599127111485269E-8</v>
      </c>
      <c r="FT130" s="22">
        <f t="shared" si="78"/>
        <v>33.078422415257002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458.37755197712164</v>
      </c>
      <c r="T131" s="59">
        <f t="shared" si="88"/>
        <v>278.21741231699917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159.54281165981186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159.54281165981186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508.60701013958447</v>
      </c>
      <c r="AO131" s="59">
        <f t="shared" si="90"/>
        <v>306.61893266146654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178.79797858427199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178.79797858427199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-1.0818439477588981E-13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291.17074241052887</v>
      </c>
      <c r="BJ131" s="59">
        <f t="shared" si="92"/>
        <v>241.18285512887638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34.606418906757831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34.606418906757831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429.61977776013185</v>
      </c>
      <c r="CE131" s="59">
        <f t="shared" si="94"/>
        <v>261.95434270986385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148.53985913154904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148.53985913154904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-1.7053025658242404E-13</v>
      </c>
      <c r="CU131" s="17">
        <f>CT131*VLOOKUP('Données projet'!$B$13,Paramètres!$A$1:$I$89,3,0)*VLOOKUP('Données projet'!$B$13,Paramètres!$A$1:$I$89,5,0)</f>
        <v>-1.1173142411280423E-13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255.09913504736693</v>
      </c>
      <c r="CZ131" s="59">
        <f t="shared" si="96"/>
        <v>248.42617382406644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23.525183121404581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23.525183121404581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-5.1159076974727213E-13</v>
      </c>
      <c r="DP131" s="17">
        <f>DO131*VLOOKUP('Données projet'!$B$14,Paramètres!$A$1:$I$89,3,0)*VLOOKUP('Données projet'!$B$14,Paramètres!$A$1:$I$89,5,0)</f>
        <v>-5.8259956858819351E-13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459.67331926893809</v>
      </c>
      <c r="DU131" s="59">
        <f t="shared" si="98"/>
        <v>280.33242658375497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133.61601320453693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133.61601320453693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264.08053957457469</v>
      </c>
      <c r="EP131" s="59">
        <f t="shared" si="100"/>
        <v>284.83300065761051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42.149186126254023</v>
      </c>
      <c r="EW131" s="21">
        <f>EXP(-LN(2)/25)*EW130+(1-EXP(-LN(2)/25))/(LN(2)/25)*Calculateur!ER131*Calculateur!ET131*VLOOKUP('Données projet'!$B$15,Paramètres!$A$1:$I$89,3,0)*0.475*44/12</f>
        <v>3.2057913755617062</v>
      </c>
      <c r="EX131" s="21">
        <f>EXP(-LN(2)/2)*EX130+(1-EXP(-LN(2)/2))/(LN(2)/2)*ER131*EU131*VLOOKUP('Données projet'!$B$15,Paramètres!$A$1:$I$89,3,0)*0.475*44/12</f>
        <v>3.5127913416262367E-9</v>
      </c>
      <c r="EY131" s="22">
        <f t="shared" si="75"/>
        <v>45.35497750532852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166.27444639635013</v>
      </c>
      <c r="FK131" s="59">
        <f t="shared" si="102"/>
        <v>213.60182977243113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25.264208633894512</v>
      </c>
      <c r="FR131" s="21">
        <f>EXP(-LN(2)/25)*FR130+(1-EXP(-LN(2)/25))/(LN(2)/25)*Calculateur!FM131*Calculateur!FO131*VLOOKUP('Données projet'!$B$16,Paramètres!$A$1:$I$89,3,0)*0.475*44/12</f>
        <v>7.1090269801201194</v>
      </c>
      <c r="FS131" s="21">
        <f>EXP(-LN(2)/2)*FS130+(1-EXP(-LN(2)/2))/(LN(2)/2)*FM131*FP131*VLOOKUP('Données projet'!$B$16,Paramètres!$A$1:$I$89,3,0)*0.475*44/12</f>
        <v>1.1030248561122156E-8</v>
      </c>
      <c r="FT131" s="22">
        <f t="shared" si="78"/>
        <v>32.373235625044877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458.37755197712164</v>
      </c>
      <c r="T132" s="59">
        <f t="shared" si="88"/>
        <v>278.21741231699917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156.41427443466935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156.41427443466935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508.60701013958447</v>
      </c>
      <c r="AO132" s="59">
        <f t="shared" si="90"/>
        <v>306.61893266146654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175.29185928023296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175.29185928023296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-1.0818439477588981E-13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291.17074241052887</v>
      </c>
      <c r="BJ132" s="59">
        <f t="shared" si="92"/>
        <v>241.18285512887638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33.927808139827619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33.927808139827619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429.61977776013185</v>
      </c>
      <c r="CE132" s="59">
        <f t="shared" si="94"/>
        <v>261.95434270986385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145.6270830943474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145.6270830943474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-1.7053025658242404E-13</v>
      </c>
      <c r="CU132" s="17">
        <f>CT132*VLOOKUP('Données projet'!$B$13,Paramètres!$A$1:$I$89,3,0)*VLOOKUP('Données projet'!$B$13,Paramètres!$A$1:$I$89,5,0)</f>
        <v>-1.1173142411280423E-13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255.09913504736693</v>
      </c>
      <c r="CZ132" s="59">
        <f t="shared" si="96"/>
        <v>248.42617382406644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23.0638686293387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23.0638686293387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-5.1159076974727213E-13</v>
      </c>
      <c r="DP132" s="17">
        <f>DO132*VLOOKUP('Données projet'!$B$14,Paramètres!$A$1:$I$89,3,0)*VLOOKUP('Données projet'!$B$14,Paramètres!$A$1:$I$89,5,0)</f>
        <v>-5.8259956858819351E-13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459.67331926893809</v>
      </c>
      <c r="DU132" s="59">
        <f t="shared" si="98"/>
        <v>280.33242658375497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130.99588468331677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130.99588468331677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264.08053957457469</v>
      </c>
      <c r="EP132" s="59">
        <f t="shared" si="100"/>
        <v>284.83300065761051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41.322666294783218</v>
      </c>
      <c r="EW132" s="21">
        <f>EXP(-LN(2)/25)*EW131+(1-EXP(-LN(2)/25))/(LN(2)/25)*Calculateur!ER132*Calculateur!ET132*VLOOKUP('Données projet'!$B$15,Paramètres!$A$1:$I$89,3,0)*0.475*44/12</f>
        <v>3.1181288418117297</v>
      </c>
      <c r="EX132" s="21">
        <f>EXP(-LN(2)/2)*EX131+(1-EXP(-LN(2)/2))/(LN(2)/2)*ER132*EU132*VLOOKUP('Données projet'!$B$15,Paramètres!$A$1:$I$89,3,0)*0.475*44/12</f>
        <v>2.483918578557302E-9</v>
      </c>
      <c r="EY132" s="22">
        <f t="shared" ref="EY132:EY153" si="129">SUM(EV132:EX132)</f>
        <v>44.440795139078865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166.27444639635013</v>
      </c>
      <c r="FK132" s="59">
        <f t="shared" si="102"/>
        <v>213.60182977243113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24.768792912229532</v>
      </c>
      <c r="FR132" s="21">
        <f>EXP(-LN(2)/25)*FR131+(1-EXP(-LN(2)/25))/(LN(2)/25)*Calculateur!FM132*Calculateur!FO132*VLOOKUP('Données projet'!$B$16,Paramètres!$A$1:$I$89,3,0)*0.475*44/12</f>
        <v>6.9146302635012535</v>
      </c>
      <c r="FS132" s="21">
        <f>EXP(-LN(2)/2)*FS131+(1-EXP(-LN(2)/2))/(LN(2)/2)*FM132*FP132*VLOOKUP('Données projet'!$B$16,Paramètres!$A$1:$I$89,3,0)*0.475*44/12</f>
        <v>7.7995635557426346E-9</v>
      </c>
      <c r="FT132" s="22">
        <f t="shared" ref="FT132:FT153" si="132">SUM(FQ132:FS132)</f>
        <v>31.683423183530351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458.37755197712164</v>
      </c>
      <c r="T133" s="59">
        <f t="shared" ref="T133:T196" si="142">$T$3</f>
        <v>278.21741231699917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153.3470859162926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153.3470859162926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508.60701013958447</v>
      </c>
      <c r="AO133" s="59">
        <f t="shared" ref="AO133:AO196" si="144">$AO$3</f>
        <v>306.61893266146654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171.85449283722451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171.85449283722451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-1.0818439477588981E-13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291.17074241052887</v>
      </c>
      <c r="BJ133" s="59">
        <f t="shared" ref="BJ133:BJ196" si="146">$BJ$3</f>
        <v>241.18285512887638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33.262504516125212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33.262504516125212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429.61977776013185</v>
      </c>
      <c r="CE133" s="59">
        <f t="shared" ref="CE133:CE196" si="148">$CE$3</f>
        <v>261.95434270986385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142.77142481861731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142.77142481861731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-1.7053025658242404E-13</v>
      </c>
      <c r="CU133" s="17">
        <f>CT133*VLOOKUP('Données projet'!$B$13,Paramètres!$A$1:$I$89,3,0)*VLOOKUP('Données projet'!$B$13,Paramètres!$A$1:$I$89,5,0)</f>
        <v>-1.1173142411280423E-13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255.09913504736693</v>
      </c>
      <c r="CZ133" s="59">
        <f t="shared" ref="CZ133:CZ196" si="150">$CZ$3</f>
        <v>248.42617382406644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22.611600233088176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22.611600233088176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-5.1159076974727213E-13</v>
      </c>
      <c r="DP133" s="17">
        <f>DO133*VLOOKUP('Données projet'!$B$14,Paramètres!$A$1:$I$89,3,0)*VLOOKUP('Données projet'!$B$14,Paramètres!$A$1:$I$89,5,0)</f>
        <v>-5.8259956858819351E-13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459.67331926893809</v>
      </c>
      <c r="DU133" s="59">
        <f t="shared" ref="DU133:DU196" si="152">$DU$3</f>
        <v>280.33242658375497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128.42713528427717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128.42713528427717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264.08053957457469</v>
      </c>
      <c r="EP133" s="59">
        <f t="shared" ref="EP133:EP196" si="154">$EP$3</f>
        <v>284.83300065761051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40.512354013080234</v>
      </c>
      <c r="EW133" s="21">
        <f>EXP(-LN(2)/25)*EW132+(1-EXP(-LN(2)/25))/(LN(2)/25)*Calculateur!ER133*Calculateur!ET133*VLOOKUP('Données projet'!$B$15,Paramètres!$A$1:$I$89,3,0)*0.475*44/12</f>
        <v>3.0328634446571185</v>
      </c>
      <c r="EX133" s="21">
        <f>EXP(-LN(2)/2)*EX132+(1-EXP(-LN(2)/2))/(LN(2)/2)*ER133*EU133*VLOOKUP('Données projet'!$B$15,Paramètres!$A$1:$I$89,3,0)*0.475*44/12</f>
        <v>1.7563956708131183E-9</v>
      </c>
      <c r="EY133" s="22">
        <f t="shared" si="129"/>
        <v>43.545217459493749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166.27444639635013</v>
      </c>
      <c r="FK133" s="59">
        <f t="shared" ref="FK133:FK196" si="156">$FK$3</f>
        <v>213.60182977243113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24.28309199069265</v>
      </c>
      <c r="FR133" s="21">
        <f>EXP(-LN(2)/25)*FR132+(1-EXP(-LN(2)/25))/(LN(2)/25)*Calculateur!FM133*Calculateur!FO133*VLOOKUP('Données projet'!$B$16,Paramètres!$A$1:$I$89,3,0)*0.475*44/12</f>
        <v>6.7255493353212099</v>
      </c>
      <c r="FS133" s="21">
        <f>EXP(-LN(2)/2)*FS132+(1-EXP(-LN(2)/2))/(LN(2)/2)*FM133*FP133*VLOOKUP('Données projet'!$B$16,Paramètres!$A$1:$I$89,3,0)*0.475*44/12</f>
        <v>5.5151242805610778E-9</v>
      </c>
      <c r="FT133" s="22">
        <f t="shared" si="132"/>
        <v>31.008641331528981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458.37755197712164</v>
      </c>
      <c r="T134" s="59">
        <f t="shared" si="142"/>
        <v>278.21741231699917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150.34004309396096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150.34004309396096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508.60701013958447</v>
      </c>
      <c r="AO134" s="59">
        <f t="shared" si="144"/>
        <v>306.61893266146654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168.48453105357697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168.48453105357697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-1.0818439477588981E-13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291.17074241052887</v>
      </c>
      <c r="BJ134" s="59">
        <f t="shared" si="146"/>
        <v>241.18285512887638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32.610247090688468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32.610247090688468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429.61977776013185</v>
      </c>
      <c r="CE134" s="59">
        <f t="shared" si="148"/>
        <v>261.95434270986385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139.97176425989474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139.97176425989474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-1.7053025658242404E-13</v>
      </c>
      <c r="CU134" s="17">
        <f>CT134*VLOOKUP('Données projet'!$B$13,Paramètres!$A$1:$I$89,3,0)*VLOOKUP('Données projet'!$B$13,Paramètres!$A$1:$I$89,5,0)</f>
        <v>-1.1173142411280423E-13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255.09913504736693</v>
      </c>
      <c r="CZ134" s="59">
        <f t="shared" si="150"/>
        <v>248.42617382406644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22.168200544231642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22.168200544231642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-5.1159076974727213E-13</v>
      </c>
      <c r="DP134" s="17">
        <f>DO134*VLOOKUP('Données projet'!$B$14,Paramètres!$A$1:$I$89,3,0)*VLOOKUP('Données projet'!$B$14,Paramètres!$A$1:$I$89,5,0)</f>
        <v>-5.8259956858819351E-13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459.67331926893809</v>
      </c>
      <c r="DU134" s="59">
        <f t="shared" si="152"/>
        <v>280.33242658375497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125.90875749417029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125.90875749417029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264.08053957457469</v>
      </c>
      <c r="EP134" s="59">
        <f t="shared" si="154"/>
        <v>284.83300065761051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39.717931460979756</v>
      </c>
      <c r="EW134" s="21">
        <f>EXP(-LN(2)/25)*EW133+(1-EXP(-LN(2)/25))/(LN(2)/25)*Calculateur!ER134*Calculateur!ET134*VLOOKUP('Données projet'!$B$15,Paramètres!$A$1:$I$89,3,0)*0.475*44/12</f>
        <v>2.9499296342716126</v>
      </c>
      <c r="EX134" s="21">
        <f>EXP(-LN(2)/2)*EX133+(1-EXP(-LN(2)/2))/(LN(2)/2)*ER134*EU134*VLOOKUP('Données projet'!$B$15,Paramètres!$A$1:$I$89,3,0)*0.475*44/12</f>
        <v>1.241959289278651E-9</v>
      </c>
      <c r="EY134" s="22">
        <f t="shared" si="129"/>
        <v>42.667861096493326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166.27444639635013</v>
      </c>
      <c r="FK134" s="59">
        <f t="shared" si="156"/>
        <v>213.60182977243113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23.806915367978796</v>
      </c>
      <c r="FR134" s="21">
        <f>EXP(-LN(2)/25)*FR133+(1-EXP(-LN(2)/25))/(LN(2)/25)*Calculateur!FM134*Calculateur!FO134*VLOOKUP('Données projet'!$B$16,Paramètres!$A$1:$I$89,3,0)*0.475*44/12</f>
        <v>6.5416388350655836</v>
      </c>
      <c r="FS134" s="21">
        <f>EXP(-LN(2)/2)*FS133+(1-EXP(-LN(2)/2))/(LN(2)/2)*FM134*FP134*VLOOKUP('Données projet'!$B$16,Paramètres!$A$1:$I$89,3,0)*0.475*44/12</f>
        <v>3.8997817778713173E-9</v>
      </c>
      <c r="FT134" s="22">
        <f t="shared" si="132"/>
        <v>30.348554206944161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458.37755197712164</v>
      </c>
      <c r="T135" s="59">
        <f t="shared" si="142"/>
        <v>278.21741231699917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147.39196654726021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147.39196654726021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508.60701013958447</v>
      </c>
      <c r="AO135" s="59">
        <f t="shared" si="144"/>
        <v>306.61893266146654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165.18065216503302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165.18065216503302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-1.0818439477588981E-13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291.17074241052887</v>
      </c>
      <c r="BJ135" s="59">
        <f t="shared" si="146"/>
        <v>241.18285512887638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31.97078003552679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31.97078003552679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429.61977776013185</v>
      </c>
      <c r="CE135" s="59">
        <f t="shared" si="148"/>
        <v>261.95434270986385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137.22700333710438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137.22700333710438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-1.7053025658242404E-13</v>
      </c>
      <c r="CU135" s="17">
        <f>CT135*VLOOKUP('Données projet'!$B$13,Paramètres!$A$1:$I$89,3,0)*VLOOKUP('Données projet'!$B$13,Paramètres!$A$1:$I$89,5,0)</f>
        <v>-1.1173142411280423E-13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255.09913504736693</v>
      </c>
      <c r="CZ135" s="59">
        <f t="shared" si="150"/>
        <v>248.42617382406644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21.733495652826477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21.733495652826477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-5.1159076974727213E-13</v>
      </c>
      <c r="DP135" s="17">
        <f>DO135*VLOOKUP('Données projet'!$B$14,Paramètres!$A$1:$I$89,3,0)*VLOOKUP('Données projet'!$B$14,Paramètres!$A$1:$I$89,5,0)</f>
        <v>-5.8259956858819351E-13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459.67331926893809</v>
      </c>
      <c r="DU135" s="59">
        <f t="shared" si="152"/>
        <v>280.33242658375497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123.43976355646863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123.43976355646863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264.08053957457469</v>
      </c>
      <c r="EP135" s="59">
        <f t="shared" si="154"/>
        <v>284.83300065761051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38.939087050576063</v>
      </c>
      <c r="EW135" s="21">
        <f>EXP(-LN(2)/25)*EW134+(1-EXP(-LN(2)/25))/(LN(2)/25)*Calculateur!ER135*Calculateur!ET135*VLOOKUP('Données projet'!$B$15,Paramètres!$A$1:$I$89,3,0)*0.475*44/12</f>
        <v>2.8692636532923981</v>
      </c>
      <c r="EX135" s="21">
        <f>EXP(-LN(2)/2)*EX134+(1-EXP(-LN(2)/2))/(LN(2)/2)*ER135*EU135*VLOOKUP('Données projet'!$B$15,Paramètres!$A$1:$I$89,3,0)*0.475*44/12</f>
        <v>8.7819783540655917E-10</v>
      </c>
      <c r="EY135" s="22">
        <f t="shared" si="129"/>
        <v>41.808350704746658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166.27444639635013</v>
      </c>
      <c r="FK135" s="59">
        <f t="shared" si="156"/>
        <v>213.60182977243113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23.340076278397298</v>
      </c>
      <c r="FR135" s="21">
        <f>EXP(-LN(2)/25)*FR134+(1-EXP(-LN(2)/25))/(LN(2)/25)*Calculateur!FM135*Calculateur!FO135*VLOOKUP('Données projet'!$B$16,Paramètres!$A$1:$I$89,3,0)*0.475*44/12</f>
        <v>6.3627573771108796</v>
      </c>
      <c r="FS135" s="21">
        <f>EXP(-LN(2)/2)*FS134+(1-EXP(-LN(2)/2))/(LN(2)/2)*FM135*FP135*VLOOKUP('Données projet'!$B$16,Paramètres!$A$1:$I$89,3,0)*0.475*44/12</f>
        <v>2.7575621402805389E-9</v>
      </c>
      <c r="FT135" s="22">
        <f t="shared" si="132"/>
        <v>29.702833658265742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458.37755197712164</v>
      </c>
      <c r="T136" s="59">
        <f t="shared" si="142"/>
        <v>278.21741231699917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144.50169998349114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144.50169998349114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508.60701013958447</v>
      </c>
      <c r="AO136" s="59">
        <f t="shared" si="144"/>
        <v>306.61893266146654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161.94156032632628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161.94156032632628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-1.0818439477588981E-13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291.17074241052887</v>
      </c>
      <c r="BJ136" s="59">
        <f t="shared" si="146"/>
        <v>241.18285512887638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31.343852539280441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31.343852539280441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429.61977776013185</v>
      </c>
      <c r="CE136" s="59">
        <f t="shared" si="148"/>
        <v>261.95434270986385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134.53606550187109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134.53606550187109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-1.7053025658242404E-13</v>
      </c>
      <c r="CU136" s="17">
        <f>CT136*VLOOKUP('Données projet'!$B$13,Paramètres!$A$1:$I$89,3,0)*VLOOKUP('Données projet'!$B$13,Paramètres!$A$1:$I$89,5,0)</f>
        <v>-1.1173142411280423E-13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255.09913504736693</v>
      </c>
      <c r="CZ136" s="59">
        <f t="shared" si="150"/>
        <v>248.42617382406644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21.307315059197965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21.307315059197965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-5.1159076974727213E-13</v>
      </c>
      <c r="DP136" s="17">
        <f>DO136*VLOOKUP('Données projet'!$B$14,Paramètres!$A$1:$I$89,3,0)*VLOOKUP('Données projet'!$B$14,Paramètres!$A$1:$I$89,5,0)</f>
        <v>-5.8259956858819351E-13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459.67331926893809</v>
      </c>
      <c r="DU136" s="59">
        <f t="shared" si="152"/>
        <v>280.33242658375497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121.0191850839477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121.0191850839477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264.08053957457469</v>
      </c>
      <c r="EP136" s="59">
        <f t="shared" si="154"/>
        <v>284.83300065761051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38.175515304012201</v>
      </c>
      <c r="EW136" s="21">
        <f>EXP(-LN(2)/25)*EW135+(1-EXP(-LN(2)/25))/(LN(2)/25)*Calculateur!ER136*Calculateur!ET136*VLOOKUP('Données projet'!$B$15,Paramètres!$A$1:$I$89,3,0)*0.475*44/12</f>
        <v>2.7908034878050998</v>
      </c>
      <c r="EX136" s="21">
        <f>EXP(-LN(2)/2)*EX135+(1-EXP(-LN(2)/2))/(LN(2)/2)*ER136*EU136*VLOOKUP('Données projet'!$B$15,Paramètres!$A$1:$I$89,3,0)*0.475*44/12</f>
        <v>6.209796446393255E-10</v>
      </c>
      <c r="EY136" s="22">
        <f t="shared" si="129"/>
        <v>40.96631879243828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166.27444639635013</v>
      </c>
      <c r="FK136" s="59">
        <f t="shared" si="156"/>
        <v>213.60182977243113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22.882391618618765</v>
      </c>
      <c r="FR136" s="21">
        <f>EXP(-LN(2)/25)*FR135+(1-EXP(-LN(2)/25))/(LN(2)/25)*Calculateur!FM136*Calculateur!FO136*VLOOKUP('Données projet'!$B$16,Paramètres!$A$1:$I$89,3,0)*0.475*44/12</f>
        <v>6.1887674420309144</v>
      </c>
      <c r="FS136" s="21">
        <f>EXP(-LN(2)/2)*FS135+(1-EXP(-LN(2)/2))/(LN(2)/2)*FM136*FP136*VLOOKUP('Données projet'!$B$16,Paramètres!$A$1:$I$89,3,0)*0.475*44/12</f>
        <v>1.9498908889356587E-9</v>
      </c>
      <c r="FT136" s="22">
        <f t="shared" si="132"/>
        <v>29.07115906259957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458.37755197712164</v>
      </c>
      <c r="T137" s="59">
        <f t="shared" si="142"/>
        <v>278.21741231699917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141.66810978414904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141.66810978414904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508.60701013958447</v>
      </c>
      <c r="AO137" s="59">
        <f t="shared" si="144"/>
        <v>306.61893266146654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158.76598510292564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158.76598510292564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-1.0818439477588981E-13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291.17074241052887</v>
      </c>
      <c r="BJ137" s="59">
        <f t="shared" si="146"/>
        <v>241.18285512887638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30.729218708847469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30.729218708847469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429.61977776013185</v>
      </c>
      <c r="CE137" s="59">
        <f t="shared" si="148"/>
        <v>261.95434270986385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131.8978953162767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131.8978953162767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-1.7053025658242404E-13</v>
      </c>
      <c r="CU137" s="17">
        <f>CT137*VLOOKUP('Données projet'!$B$13,Paramètres!$A$1:$I$89,3,0)*VLOOKUP('Données projet'!$B$13,Paramètres!$A$1:$I$89,5,0)</f>
        <v>-1.1173142411280423E-13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255.09913504736693</v>
      </c>
      <c r="CZ137" s="59">
        <f t="shared" si="150"/>
        <v>248.42617382406644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20.889491607066013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20.889491607066013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-5.1159076974727213E-13</v>
      </c>
      <c r="DP137" s="17">
        <f>DO137*VLOOKUP('Données projet'!$B$14,Paramètres!$A$1:$I$89,3,0)*VLOOKUP('Données projet'!$B$14,Paramètres!$A$1:$I$89,5,0)</f>
        <v>-5.8259956858819351E-13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459.67331926893809</v>
      </c>
      <c r="DU137" s="59">
        <f t="shared" si="152"/>
        <v>280.33242658375497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118.64607267886582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118.64607267886582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264.08053957457469</v>
      </c>
      <c r="EP137" s="59">
        <f t="shared" si="154"/>
        <v>284.83300065761051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37.426916733665678</v>
      </c>
      <c r="EW137" s="21">
        <f>EXP(-LN(2)/25)*EW136+(1-EXP(-LN(2)/25))/(LN(2)/25)*Calculateur!ER137*Calculateur!ET137*VLOOKUP('Données projet'!$B$15,Paramètres!$A$1:$I$89,3,0)*0.475*44/12</f>
        <v>2.7144888196690924</v>
      </c>
      <c r="EX137" s="21">
        <f>EXP(-LN(2)/2)*EX136+(1-EXP(-LN(2)/2))/(LN(2)/2)*ER137*EU137*VLOOKUP('Données projet'!$B$15,Paramètres!$A$1:$I$89,3,0)*0.475*44/12</f>
        <v>4.3909891770327958E-10</v>
      </c>
      <c r="EY137" s="22">
        <f t="shared" si="129"/>
        <v>40.141405553773872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166.27444639635013</v>
      </c>
      <c r="FK137" s="59">
        <f t="shared" si="156"/>
        <v>213.60182977243113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22.433681875858412</v>
      </c>
      <c r="FR137" s="21">
        <f>EXP(-LN(2)/25)*FR136+(1-EXP(-LN(2)/25))/(LN(2)/25)*Calculateur!FM137*Calculateur!FO137*VLOOKUP('Données projet'!$B$16,Paramètres!$A$1:$I$89,3,0)*0.475*44/12</f>
        <v>6.0195352708754442</v>
      </c>
      <c r="FS137" s="21">
        <f>EXP(-LN(2)/2)*FS136+(1-EXP(-LN(2)/2))/(LN(2)/2)*FM137*FP137*VLOOKUP('Données projet'!$B$16,Paramètres!$A$1:$I$89,3,0)*0.475*44/12</f>
        <v>1.3787810701402694E-9</v>
      </c>
      <c r="FT137" s="22">
        <f t="shared" si="132"/>
        <v>28.453217148112635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458.37755197712164</v>
      </c>
      <c r="T138" s="59">
        <f t="shared" si="142"/>
        <v>278.21741231699917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138.89008456029666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138.89008456029666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508.60701013958447</v>
      </c>
      <c r="AO138" s="59">
        <f t="shared" si="144"/>
        <v>306.61893266146654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155.65268097274625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155.65268097274625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-1.0818439477588981E-13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291.17074241052887</v>
      </c>
      <c r="BJ138" s="59">
        <f t="shared" si="146"/>
        <v>241.18285512887638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30.126637472939667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30.126637472939667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429.61977776013185</v>
      </c>
      <c r="CE138" s="59">
        <f t="shared" si="148"/>
        <v>261.95434270986385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129.31145803889692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129.31145803889692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-1.7053025658242404E-13</v>
      </c>
      <c r="CU138" s="17">
        <f>CT138*VLOOKUP('Données projet'!$B$13,Paramètres!$A$1:$I$89,3,0)*VLOOKUP('Données projet'!$B$13,Paramètres!$A$1:$I$89,5,0)</f>
        <v>-1.1173142411280423E-13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255.09913504736693</v>
      </c>
      <c r="CZ138" s="59">
        <f t="shared" si="150"/>
        <v>248.42617382406644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20.479861417983226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20.479861417983226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-5.1159076974727213E-13</v>
      </c>
      <c r="DP138" s="17">
        <f>DO138*VLOOKUP('Données projet'!$B$14,Paramètres!$A$1:$I$89,3,0)*VLOOKUP('Données projet'!$B$14,Paramètres!$A$1:$I$89,5,0)</f>
        <v>-5.8259956858819351E-13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459.67331926893809</v>
      </c>
      <c r="DU138" s="59">
        <f t="shared" si="152"/>
        <v>280.33242658375497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116.31949556059195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116.31949556059195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264.08053957457469</v>
      </c>
      <c r="EP138" s="59">
        <f t="shared" si="154"/>
        <v>284.83300065761051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36.692997724683607</v>
      </c>
      <c r="EW138" s="21">
        <f>EXP(-LN(2)/25)*EW137+(1-EXP(-LN(2)/25))/(LN(2)/25)*Calculateur!ER138*Calculateur!ET138*VLOOKUP('Données projet'!$B$15,Paramètres!$A$1:$I$89,3,0)*0.475*44/12</f>
        <v>2.6402609801464783</v>
      </c>
      <c r="EX138" s="21">
        <f>EXP(-LN(2)/2)*EX137+(1-EXP(-LN(2)/2))/(LN(2)/2)*ER138*EU138*VLOOKUP('Données projet'!$B$15,Paramètres!$A$1:$I$89,3,0)*0.475*44/12</f>
        <v>3.1048982231966275E-10</v>
      </c>
      <c r="EY138" s="22">
        <f t="shared" si="129"/>
        <v>39.33325870514058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166.27444639635013</v>
      </c>
      <c r="FK138" s="59">
        <f t="shared" si="156"/>
        <v>213.60182977243113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21.993771057467669</v>
      </c>
      <c r="FR138" s="21">
        <f>EXP(-LN(2)/25)*FR137+(1-EXP(-LN(2)/25))/(LN(2)/25)*Calculateur!FM138*Calculateur!FO138*VLOOKUP('Données projet'!$B$16,Paramètres!$A$1:$I$89,3,0)*0.475*44/12</f>
        <v>5.8549307623397535</v>
      </c>
      <c r="FS138" s="21">
        <f>EXP(-LN(2)/2)*FS137+(1-EXP(-LN(2)/2))/(LN(2)/2)*FM138*FP138*VLOOKUP('Données projet'!$B$16,Paramètres!$A$1:$I$89,3,0)*0.475*44/12</f>
        <v>9.7494544446782933E-10</v>
      </c>
      <c r="FT138" s="22">
        <f t="shared" si="132"/>
        <v>27.84870182078237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458.37755197712164</v>
      </c>
      <c r="T139" s="59">
        <f t="shared" si="142"/>
        <v>278.21741231699917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136.16653471665595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136.16653471665595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508.60701013958447</v>
      </c>
      <c r="AO139" s="59">
        <f t="shared" si="144"/>
        <v>306.61893266146654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152.60042683763166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152.60042683763166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-1.0818439477588981E-13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291.17074241052887</v>
      </c>
      <c r="BJ139" s="59">
        <f t="shared" si="146"/>
        <v>241.18285512887638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29.535872487529755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29.535872487529755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429.61977776013185</v>
      </c>
      <c r="CE139" s="59">
        <f t="shared" si="148"/>
        <v>261.95434270986385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126.77573921895556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126.77573921895556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-1.7053025658242404E-13</v>
      </c>
      <c r="CU139" s="17">
        <f>CT139*VLOOKUP('Données projet'!$B$13,Paramètres!$A$1:$I$89,3,0)*VLOOKUP('Données projet'!$B$13,Paramètres!$A$1:$I$89,5,0)</f>
        <v>-1.1173142411280423E-13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255.09913504736693</v>
      </c>
      <c r="CZ139" s="59">
        <f t="shared" si="150"/>
        <v>248.42617382406644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20.07826382705861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20.07826382705861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-5.1159076974727213E-13</v>
      </c>
      <c r="DP139" s="17">
        <f>DO139*VLOOKUP('Données projet'!$B$14,Paramètres!$A$1:$I$89,3,0)*VLOOKUP('Données projet'!$B$14,Paramètres!$A$1:$I$89,5,0)</f>
        <v>-5.8259956858819351E-13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459.67331926893809</v>
      </c>
      <c r="DU139" s="59">
        <f t="shared" si="152"/>
        <v>280.33242658375497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114.03854120053551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114.03854120053551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264.08053957457469</v>
      </c>
      <c r="EP139" s="59">
        <f t="shared" si="154"/>
        <v>284.83300065761051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35.973470419821282</v>
      </c>
      <c r="EW139" s="21">
        <f>EXP(-LN(2)/25)*EW138+(1-EXP(-LN(2)/25))/(LN(2)/25)*Calculateur!ER139*Calculateur!ET139*VLOOKUP('Données projet'!$B$15,Paramètres!$A$1:$I$89,3,0)*0.475*44/12</f>
        <v>2.5680629047990822</v>
      </c>
      <c r="EX139" s="21">
        <f>EXP(-LN(2)/2)*EX138+(1-EXP(-LN(2)/2))/(LN(2)/2)*ER139*EU139*VLOOKUP('Données projet'!$B$15,Paramètres!$A$1:$I$89,3,0)*0.475*44/12</f>
        <v>2.1954945885163979E-10</v>
      </c>
      <c r="EY139" s="22">
        <f t="shared" si="129"/>
        <v>38.541533324839918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166.27444639635013</v>
      </c>
      <c r="FK139" s="59">
        <f t="shared" si="156"/>
        <v>213.60182977243113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21.562486621906462</v>
      </c>
      <c r="FR139" s="21">
        <f>EXP(-LN(2)/25)*FR138+(1-EXP(-LN(2)/25))/(LN(2)/25)*Calculateur!FM139*Calculateur!FO139*VLOOKUP('Données projet'!$B$16,Paramètres!$A$1:$I$89,3,0)*0.475*44/12</f>
        <v>5.694827372746146</v>
      </c>
      <c r="FS139" s="21">
        <f>EXP(-LN(2)/2)*FS138+(1-EXP(-LN(2)/2))/(LN(2)/2)*FM139*FP139*VLOOKUP('Données projet'!$B$16,Paramètres!$A$1:$I$89,3,0)*0.475*44/12</f>
        <v>6.8939053507013472E-10</v>
      </c>
      <c r="FT139" s="22">
        <f t="shared" si="132"/>
        <v>27.257313995341999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458.37755197712164</v>
      </c>
      <c r="T140" s="59">
        <f t="shared" si="142"/>
        <v>278.21741231699917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133.49639202424765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133.49639202424765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508.60701013958447</v>
      </c>
      <c r="AO140" s="59">
        <f t="shared" si="144"/>
        <v>306.61893266146654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149.60802554441548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149.60802554441548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-1.0818439477588981E-13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291.17074241052887</v>
      </c>
      <c r="BJ140" s="59">
        <f t="shared" si="146"/>
        <v>241.18285512887638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28.956692043152671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28.956692043152671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429.61977776013185</v>
      </c>
      <c r="CE140" s="59">
        <f t="shared" si="148"/>
        <v>261.95434270986385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124.2897442984375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124.2897442984375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-1.7053025658242404E-13</v>
      </c>
      <c r="CU140" s="17">
        <f>CT140*VLOOKUP('Données projet'!$B$13,Paramètres!$A$1:$I$89,3,0)*VLOOKUP('Données projet'!$B$13,Paramètres!$A$1:$I$89,5,0)</f>
        <v>-1.1173142411280423E-13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255.09913504736693</v>
      </c>
      <c r="CZ140" s="59">
        <f t="shared" si="150"/>
        <v>248.42617382406644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19.68454131994168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19.68454131994168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-5.1159076974727213E-13</v>
      </c>
      <c r="DP140" s="17">
        <f>DO140*VLOOKUP('Données projet'!$B$14,Paramètres!$A$1:$I$89,3,0)*VLOOKUP('Données projet'!$B$14,Paramètres!$A$1:$I$89,5,0)</f>
        <v>-5.8259956858819351E-13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459.67331926893809</v>
      </c>
      <c r="DU140" s="59">
        <f t="shared" si="152"/>
        <v>280.33242658375497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111.80231496423499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111.80231496423499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264.08053957457469</v>
      </c>
      <c r="EP140" s="59">
        <f t="shared" si="154"/>
        <v>284.83300065761051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35.268052606538987</v>
      </c>
      <c r="EW140" s="21">
        <f>EXP(-LN(2)/25)*EW139+(1-EXP(-LN(2)/25))/(LN(2)/25)*Calculateur!ER140*Calculateur!ET140*VLOOKUP('Données projet'!$B$15,Paramètres!$A$1:$I$89,3,0)*0.475*44/12</f>
        <v>2.4978390896187923</v>
      </c>
      <c r="EX140" s="21">
        <f>EXP(-LN(2)/2)*EX139+(1-EXP(-LN(2)/2))/(LN(2)/2)*ER140*EU140*VLOOKUP('Données projet'!$B$15,Paramètres!$A$1:$I$89,3,0)*0.475*44/12</f>
        <v>1.5524491115983138E-10</v>
      </c>
      <c r="EY140" s="22">
        <f t="shared" si="129"/>
        <v>37.765891696313027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166.27444639635013</v>
      </c>
      <c r="FK140" s="59">
        <f t="shared" si="156"/>
        <v>213.60182977243113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21.139659411069083</v>
      </c>
      <c r="FR140" s="21">
        <f>EXP(-LN(2)/25)*FR139+(1-EXP(-LN(2)/25))/(LN(2)/25)*Calculateur!FM140*Calculateur!FO140*VLOOKUP('Données projet'!$B$16,Paramètres!$A$1:$I$89,3,0)*0.475*44/12</f>
        <v>5.5391020187604472</v>
      </c>
      <c r="FS140" s="21">
        <f>EXP(-LN(2)/2)*FS139+(1-EXP(-LN(2)/2))/(LN(2)/2)*FM140*FP140*VLOOKUP('Données projet'!$B$16,Paramètres!$A$1:$I$89,3,0)*0.475*44/12</f>
        <v>4.8747272223391466E-10</v>
      </c>
      <c r="FT140" s="22">
        <f t="shared" si="132"/>
        <v>26.678761430317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458.37755197712164</v>
      </c>
      <c r="T141" s="59">
        <f t="shared" si="142"/>
        <v>278.21741231699917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130.87860920141128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130.87860920141128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508.60701013958447</v>
      </c>
      <c r="AO141" s="59">
        <f t="shared" si="144"/>
        <v>306.61893266146654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146.67430341537471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146.67430341537471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-1.0818439477588981E-13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291.17074241052887</v>
      </c>
      <c r="BJ141" s="59">
        <f t="shared" si="146"/>
        <v>241.18285512887638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28.388868974024632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28.388868974024632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429.61977776013185</v>
      </c>
      <c r="CE141" s="59">
        <f t="shared" si="148"/>
        <v>261.95434270986385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121.85249822200362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121.85249822200362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-1.7053025658242404E-13</v>
      </c>
      <c r="CU141" s="17">
        <f>CT141*VLOOKUP('Données projet'!$B$13,Paramètres!$A$1:$I$89,3,0)*VLOOKUP('Données projet'!$B$13,Paramètres!$A$1:$I$89,5,0)</f>
        <v>-1.1173142411280423E-13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255.09913504736693</v>
      </c>
      <c r="CZ141" s="59">
        <f t="shared" si="150"/>
        <v>248.42617382406644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19.298539471042297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19.298539471042297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-5.1159076974727213E-13</v>
      </c>
      <c r="DP141" s="17">
        <f>DO141*VLOOKUP('Données projet'!$B$14,Paramètres!$A$1:$I$89,3,0)*VLOOKUP('Données projet'!$B$14,Paramètres!$A$1:$I$89,5,0)</f>
        <v>-5.8259956858819351E-13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459.67331926893809</v>
      </c>
      <c r="DU141" s="59">
        <f t="shared" si="152"/>
        <v>280.33242658375497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109.60993976046501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109.60993976046501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264.08053957457469</v>
      </c>
      <c r="EP141" s="59">
        <f t="shared" si="154"/>
        <v>284.83300065761051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34.576467606312775</v>
      </c>
      <c r="EW141" s="21">
        <f>EXP(-LN(2)/25)*EW140+(1-EXP(-LN(2)/25))/(LN(2)/25)*Calculateur!ER141*Calculateur!ET141*VLOOKUP('Données projet'!$B$15,Paramètres!$A$1:$I$89,3,0)*0.475*44/12</f>
        <v>2.4295355483575176</v>
      </c>
      <c r="EX141" s="21">
        <f>EXP(-LN(2)/2)*EX140+(1-EXP(-LN(2)/2))/(LN(2)/2)*ER141*EU141*VLOOKUP('Données projet'!$B$15,Paramètres!$A$1:$I$89,3,0)*0.475*44/12</f>
        <v>1.097747294258199E-10</v>
      </c>
      <c r="EY141" s="22">
        <f t="shared" si="129"/>
        <v>37.006003154780068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166.27444639635013</v>
      </c>
      <c r="FK141" s="59">
        <f t="shared" si="156"/>
        <v>213.60182977243113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20.725123583937091</v>
      </c>
      <c r="FR141" s="21">
        <f>EXP(-LN(2)/25)*FR140+(1-EXP(-LN(2)/25))/(LN(2)/25)*Calculateur!FM141*Calculateur!FO141*VLOOKUP('Données projet'!$B$16,Paramètres!$A$1:$I$89,3,0)*0.475*44/12</f>
        <v>5.3876349827687271</v>
      </c>
      <c r="FS141" s="21">
        <f>EXP(-LN(2)/2)*FS140+(1-EXP(-LN(2)/2))/(LN(2)/2)*FM141*FP141*VLOOKUP('Données projet'!$B$16,Paramètres!$A$1:$I$89,3,0)*0.475*44/12</f>
        <v>3.4469526753506736E-10</v>
      </c>
      <c r="FT141" s="22">
        <f t="shared" si="132"/>
        <v>26.112758567050513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458.37755197712164</v>
      </c>
      <c r="T142" s="59">
        <f t="shared" si="142"/>
        <v>278.21741231699917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128.31215950304085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128.31215950304085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508.60701013958447</v>
      </c>
      <c r="AO142" s="59">
        <f t="shared" si="144"/>
        <v>306.61893266146654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143.79810978789061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143.79810978789061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-1.0818439477588981E-13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291.17074241052887</v>
      </c>
      <c r="BJ142" s="59">
        <f t="shared" si="146"/>
        <v>241.18285512887638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27.83218056894432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27.83218056894432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429.61977776013185</v>
      </c>
      <c r="CE142" s="59">
        <f t="shared" si="148"/>
        <v>261.95434270986385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119.46304505455528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119.46304505455528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-1.7053025658242404E-13</v>
      </c>
      <c r="CU142" s="17">
        <f>CT142*VLOOKUP('Données projet'!$B$13,Paramètres!$A$1:$I$89,3,0)*VLOOKUP('Données projet'!$B$13,Paramètres!$A$1:$I$89,5,0)</f>
        <v>-1.1173142411280423E-13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255.09913504736693</v>
      </c>
      <c r="CZ142" s="59">
        <f t="shared" si="150"/>
        <v>248.42617382406644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18.920106882961949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18.920106882961949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-5.1159076974727213E-13</v>
      </c>
      <c r="DP142" s="17">
        <f>DO142*VLOOKUP('Données projet'!$B$14,Paramètres!$A$1:$I$89,3,0)*VLOOKUP('Données projet'!$B$14,Paramètres!$A$1:$I$89,5,0)</f>
        <v>-5.8259956858819351E-13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459.67331926893809</v>
      </c>
      <c r="DU142" s="59">
        <f t="shared" si="152"/>
        <v>280.33242658375497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107.46055569722412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107.46055569722412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264.08053957457469</v>
      </c>
      <c r="EP142" s="59">
        <f t="shared" si="154"/>
        <v>284.83300065761051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33.898444166115802</v>
      </c>
      <c r="EW142" s="21">
        <f>EXP(-LN(2)/25)*EW141+(1-EXP(-LN(2)/25))/(LN(2)/25)*Calculateur!ER142*Calculateur!ET142*VLOOKUP('Données projet'!$B$15,Paramètres!$A$1:$I$89,3,0)*0.475*44/12</f>
        <v>2.3630997710239594</v>
      </c>
      <c r="EX142" s="21">
        <f>EXP(-LN(2)/2)*EX141+(1-EXP(-LN(2)/2))/(LN(2)/2)*ER142*EU142*VLOOKUP('Données projet'!$B$15,Paramètres!$A$1:$I$89,3,0)*0.475*44/12</f>
        <v>7.7622455579915688E-11</v>
      </c>
      <c r="EY142" s="22">
        <f t="shared" si="129"/>
        <v>36.261543937217382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166.27444639635013</v>
      </c>
      <c r="FK142" s="59">
        <f t="shared" si="156"/>
        <v>213.60182977243113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20.318716551533267</v>
      </c>
      <c r="FR142" s="21">
        <f>EXP(-LN(2)/25)*FR141+(1-EXP(-LN(2)/25))/(LN(2)/25)*Calculateur!FM142*Calculateur!FO142*VLOOKUP('Données projet'!$B$16,Paramètres!$A$1:$I$89,3,0)*0.475*44/12</f>
        <v>5.2403098208415058</v>
      </c>
      <c r="FS142" s="21">
        <f>EXP(-LN(2)/2)*FS141+(1-EXP(-LN(2)/2))/(LN(2)/2)*FM142*FP142*VLOOKUP('Données projet'!$B$16,Paramètres!$A$1:$I$89,3,0)*0.475*44/12</f>
        <v>2.4373636111695733E-10</v>
      </c>
      <c r="FT142" s="22">
        <f t="shared" si="132"/>
        <v>25.559026372618511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458.37755197712164</v>
      </c>
      <c r="T143" s="59">
        <f t="shared" si="142"/>
        <v>278.21741231699917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125.79603631787572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125.79603631787572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508.60701013958447</v>
      </c>
      <c r="AO143" s="59">
        <f t="shared" si="144"/>
        <v>306.61893266146654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140.97831656313659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140.97831656313659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-1.0818439477588981E-13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291.17074241052887</v>
      </c>
      <c r="BJ143" s="59">
        <f t="shared" si="146"/>
        <v>241.18285512887638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27.286408483941234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27.286408483941234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429.61977776013185</v>
      </c>
      <c r="CE143" s="59">
        <f t="shared" si="148"/>
        <v>261.95434270986385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117.12044760629809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117.12044760629809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-1.7053025658242404E-13</v>
      </c>
      <c r="CU143" s="17">
        <f>CT143*VLOOKUP('Données projet'!$B$13,Paramètres!$A$1:$I$89,3,0)*VLOOKUP('Données projet'!$B$13,Paramètres!$A$1:$I$89,5,0)</f>
        <v>-1.1173142411280423E-13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255.09913504736693</v>
      </c>
      <c r="CZ143" s="59">
        <f t="shared" si="150"/>
        <v>248.42617382406644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18.549095127112771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18.549095127112771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-5.1159076974727213E-13</v>
      </c>
      <c r="DP143" s="17">
        <f>DO143*VLOOKUP('Données projet'!$B$14,Paramètres!$A$1:$I$89,3,0)*VLOOKUP('Données projet'!$B$14,Paramètres!$A$1:$I$89,5,0)</f>
        <v>-5.8259956858819351E-13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459.67331926893809</v>
      </c>
      <c r="DU143" s="59">
        <f t="shared" si="152"/>
        <v>280.33242658375497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105.35331974446855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105.35331974446855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264.08053957457469</v>
      </c>
      <c r="EP143" s="59">
        <f t="shared" si="154"/>
        <v>284.83300065761051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33.233716352027628</v>
      </c>
      <c r="EW143" s="21">
        <f>EXP(-LN(2)/25)*EW142+(1-EXP(-LN(2)/25))/(LN(2)/25)*Calculateur!ER143*Calculateur!ET143*VLOOKUP('Données projet'!$B$15,Paramètres!$A$1:$I$89,3,0)*0.475*44/12</f>
        <v>2.2984806835152933</v>
      </c>
      <c r="EX143" s="21">
        <f>EXP(-LN(2)/2)*EX142+(1-EXP(-LN(2)/2))/(LN(2)/2)*ER143*EU143*VLOOKUP('Données projet'!$B$15,Paramètres!$A$1:$I$89,3,0)*0.475*44/12</f>
        <v>5.4887364712909948E-11</v>
      </c>
      <c r="EY143" s="22">
        <f t="shared" si="129"/>
        <v>35.532197035597811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166.27444639635013</v>
      </c>
      <c r="FK143" s="59">
        <f t="shared" si="156"/>
        <v>213.60182977243113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19.920278913151069</v>
      </c>
      <c r="FR143" s="21">
        <f>EXP(-LN(2)/25)*FR142+(1-EXP(-LN(2)/25))/(LN(2)/25)*Calculateur!FM143*Calculateur!FO143*VLOOKUP('Données projet'!$B$16,Paramètres!$A$1:$I$89,3,0)*0.475*44/12</f>
        <v>5.097013273214678</v>
      </c>
      <c r="FS143" s="21">
        <f>EXP(-LN(2)/2)*FS142+(1-EXP(-LN(2)/2))/(LN(2)/2)*FM143*FP143*VLOOKUP('Données projet'!$B$16,Paramètres!$A$1:$I$89,3,0)*0.475*44/12</f>
        <v>1.7234763376753368E-10</v>
      </c>
      <c r="FT143" s="22">
        <f t="shared" si="132"/>
        <v>25.017292186538096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458.37755197712164</v>
      </c>
      <c r="T144" s="59">
        <f t="shared" si="142"/>
        <v>278.21741231699917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123.32925277368807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123.32925277368807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508.60701013958447</v>
      </c>
      <c r="AO144" s="59">
        <f t="shared" si="144"/>
        <v>306.61893266146654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138.21381776361594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138.21381776361594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-1.0818439477588981E-13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291.17074241052887</v>
      </c>
      <c r="BJ144" s="59">
        <f t="shared" si="146"/>
        <v>241.18285512887638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26.751338656636953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26.751338656636953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429.61977776013185</v>
      </c>
      <c r="CE144" s="59">
        <f t="shared" si="148"/>
        <v>261.95434270986385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114.82378706515786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114.82378706515786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-1.7053025658242404E-13</v>
      </c>
      <c r="CU144" s="17">
        <f>CT144*VLOOKUP('Données projet'!$B$13,Paramètres!$A$1:$I$89,3,0)*VLOOKUP('Données projet'!$B$13,Paramètres!$A$1:$I$89,5,0)</f>
        <v>-1.1173142411280423E-13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255.09913504736693</v>
      </c>
      <c r="CZ144" s="59">
        <f t="shared" si="150"/>
        <v>248.42617382406644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18.185358685500969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18.185358685500969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-5.1159076974727213E-13</v>
      </c>
      <c r="DP144" s="17">
        <f>DO144*VLOOKUP('Données projet'!$B$14,Paramètres!$A$1:$I$89,3,0)*VLOOKUP('Données projet'!$B$14,Paramètres!$A$1:$I$89,5,0)</f>
        <v>-5.8259956858819351E-13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459.67331926893809</v>
      </c>
      <c r="DU144" s="59">
        <f t="shared" si="152"/>
        <v>280.33242658375497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103.2874054034595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103.2874054034595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264.08053957457469</v>
      </c>
      <c r="EP144" s="59">
        <f t="shared" si="154"/>
        <v>284.83300065761051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32.582023444929789</v>
      </c>
      <c r="EW144" s="21">
        <f>EXP(-LN(2)/25)*EW143+(1-EXP(-LN(2)/25))/(LN(2)/25)*Calculateur!ER144*Calculateur!ET144*VLOOKUP('Données projet'!$B$15,Paramètres!$A$1:$I$89,3,0)*0.475*44/12</f>
        <v>2.2356286083527217</v>
      </c>
      <c r="EX144" s="21">
        <f>EXP(-LN(2)/2)*EX143+(1-EXP(-LN(2)/2))/(LN(2)/2)*ER144*EU144*VLOOKUP('Données projet'!$B$15,Paramètres!$A$1:$I$89,3,0)*0.475*44/12</f>
        <v>3.8811227789957844E-11</v>
      </c>
      <c r="EY144" s="22">
        <f t="shared" si="129"/>
        <v>34.817652053321318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166.27444639635013</v>
      </c>
      <c r="FK144" s="59">
        <f t="shared" si="156"/>
        <v>213.60182977243113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19.529654393834583</v>
      </c>
      <c r="FR144" s="21">
        <f>EXP(-LN(2)/25)*FR143+(1-EXP(-LN(2)/25))/(LN(2)/25)*Calculateur!FM144*Calculateur!FO144*VLOOKUP('Données projet'!$B$16,Paramètres!$A$1:$I$89,3,0)*0.475*44/12</f>
        <v>4.9576351772183438</v>
      </c>
      <c r="FS144" s="21">
        <f>EXP(-LN(2)/2)*FS143+(1-EXP(-LN(2)/2))/(LN(2)/2)*FM144*FP144*VLOOKUP('Données projet'!$B$16,Paramètres!$A$1:$I$89,3,0)*0.475*44/12</f>
        <v>1.2186818055847867E-10</v>
      </c>
      <c r="FT144" s="22">
        <f t="shared" si="132"/>
        <v>24.487289571174795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458.37755197712164</v>
      </c>
      <c r="T145" s="59">
        <f t="shared" si="142"/>
        <v>278.21741231699917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120.91084135021254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120.91084135021254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508.60701013958447</v>
      </c>
      <c r="AO145" s="59">
        <f t="shared" si="144"/>
        <v>306.61893266146654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135.50352909937612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135.50352909937612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-1.0818439477588981E-13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291.17074241052887</v>
      </c>
      <c r="BJ145" s="59">
        <f t="shared" si="146"/>
        <v>241.18285512887638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26.226761222285742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26.226761222285742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429.61977776013185</v>
      </c>
      <c r="CE145" s="59">
        <f t="shared" si="148"/>
        <v>261.95434270986385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112.57216263640478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112.57216263640478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-1.7053025658242404E-13</v>
      </c>
      <c r="CU145" s="17">
        <f>CT145*VLOOKUP('Données projet'!$B$13,Paramètres!$A$1:$I$89,3,0)*VLOOKUP('Données projet'!$B$13,Paramètres!$A$1:$I$89,5,0)</f>
        <v>-1.1173142411280423E-13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255.09913504736693</v>
      </c>
      <c r="CZ145" s="59">
        <f t="shared" si="150"/>
        <v>248.42617382406644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17.828754893651851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17.828754893651851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-5.1159076974727213E-13</v>
      </c>
      <c r="DP145" s="17">
        <f>DO145*VLOOKUP('Données projet'!$B$14,Paramètres!$A$1:$I$89,3,0)*VLOOKUP('Données projet'!$B$14,Paramètres!$A$1:$I$89,5,0)</f>
        <v>-5.8259956858819351E-13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459.67331926893809</v>
      </c>
      <c r="DU145" s="59">
        <f t="shared" si="152"/>
        <v>280.33242658375497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101.26200238259432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101.26200238259432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264.08053957457469</v>
      </c>
      <c r="EP145" s="59">
        <f t="shared" si="154"/>
        <v>284.83300065761051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31.943109838246713</v>
      </c>
      <c r="EW145" s="21">
        <f>EXP(-LN(2)/25)*EW144+(1-EXP(-LN(2)/25))/(LN(2)/25)*Calculateur!ER145*Calculateur!ET145*VLOOKUP('Données projet'!$B$15,Paramètres!$A$1:$I$89,3,0)*0.475*44/12</f>
        <v>2.1744952264907176</v>
      </c>
      <c r="EX145" s="21">
        <f>EXP(-LN(2)/2)*EX144+(1-EXP(-LN(2)/2))/(LN(2)/2)*ER145*EU145*VLOOKUP('Données projet'!$B$15,Paramètres!$A$1:$I$89,3,0)*0.475*44/12</f>
        <v>2.7443682356454974E-11</v>
      </c>
      <c r="EY145" s="22">
        <f t="shared" si="129"/>
        <v>34.117605064764874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166.27444639635013</v>
      </c>
      <c r="FK145" s="59">
        <f t="shared" si="156"/>
        <v>213.60182977243113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19.146689783084465</v>
      </c>
      <c r="FR145" s="21">
        <f>EXP(-LN(2)/25)*FR144+(1-EXP(-LN(2)/25))/(LN(2)/25)*Calculateur!FM145*Calculateur!FO145*VLOOKUP('Données projet'!$B$16,Paramètres!$A$1:$I$89,3,0)*0.475*44/12</f>
        <v>4.8220683825866049</v>
      </c>
      <c r="FS145" s="21">
        <f>EXP(-LN(2)/2)*FS144+(1-EXP(-LN(2)/2))/(LN(2)/2)*FM145*FP145*VLOOKUP('Données projet'!$B$16,Paramètres!$A$1:$I$89,3,0)*0.475*44/12</f>
        <v>8.617381688376684E-11</v>
      </c>
      <c r="FT145" s="22">
        <f t="shared" si="132"/>
        <v>23.968758165757244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458.37755197712164</v>
      </c>
      <c r="T146" s="59">
        <f t="shared" si="142"/>
        <v>278.21741231699917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118.53985349966605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118.53985349966605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508.60701013958447</v>
      </c>
      <c r="AO146" s="59">
        <f t="shared" si="144"/>
        <v>306.61893266146654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132.84638754272919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132.84638754272919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-1.0818439477588981E-13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291.17074241052887</v>
      </c>
      <c r="BJ146" s="59">
        <f t="shared" si="146"/>
        <v>241.18285512887638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25.712470431461515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25.712470431461515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429.61977776013185</v>
      </c>
      <c r="CE146" s="59">
        <f t="shared" si="148"/>
        <v>261.95434270986385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110.36469118934426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110.36469118934426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-1.7053025658242404E-13</v>
      </c>
      <c r="CU146" s="17">
        <f>CT146*VLOOKUP('Données projet'!$B$13,Paramètres!$A$1:$I$89,3,0)*VLOOKUP('Données projet'!$B$13,Paramètres!$A$1:$I$89,5,0)</f>
        <v>-1.1173142411280423E-13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255.09913504736693</v>
      </c>
      <c r="CZ146" s="59">
        <f t="shared" si="150"/>
        <v>248.42617382406644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17.479143884654061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17.479143884654061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-5.1159076974727213E-13</v>
      </c>
      <c r="DP146" s="17">
        <f>DO146*VLOOKUP('Données projet'!$B$14,Paramètres!$A$1:$I$89,3,0)*VLOOKUP('Données projet'!$B$14,Paramètres!$A$1:$I$89,5,0)</f>
        <v>-5.8259956858819351E-13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459.67331926893809</v>
      </c>
      <c r="DU146" s="59">
        <f t="shared" si="152"/>
        <v>280.33242658375497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99.27631627959444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99.27631627959444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264.08053957457469</v>
      </c>
      <c r="EP146" s="59">
        <f t="shared" si="154"/>
        <v>284.83300065761051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31.316724937691873</v>
      </c>
      <c r="EW146" s="21">
        <f>EXP(-LN(2)/25)*EW145+(1-EXP(-LN(2)/25))/(LN(2)/25)*Calculateur!ER146*Calculateur!ET146*VLOOKUP('Données projet'!$B$15,Paramètres!$A$1:$I$89,3,0)*0.475*44/12</f>
        <v>2.1150335401705949</v>
      </c>
      <c r="EX146" s="21">
        <f>EXP(-LN(2)/2)*EX145+(1-EXP(-LN(2)/2))/(LN(2)/2)*ER146*EU146*VLOOKUP('Données projet'!$B$15,Paramètres!$A$1:$I$89,3,0)*0.475*44/12</f>
        <v>1.9405613894978922E-11</v>
      </c>
      <c r="EY146" s="22">
        <f t="shared" si="129"/>
        <v>33.431758477881871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166.27444639635013</v>
      </c>
      <c r="FK146" s="59">
        <f t="shared" si="156"/>
        <v>213.60182977243113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18.771234874765806</v>
      </c>
      <c r="FR146" s="21">
        <f>EXP(-LN(2)/25)*FR145+(1-EXP(-LN(2)/25))/(LN(2)/25)*Calculateur!FM146*Calculateur!FO146*VLOOKUP('Données projet'!$B$16,Paramètres!$A$1:$I$89,3,0)*0.475*44/12</f>
        <v>4.6902086690832192</v>
      </c>
      <c r="FS146" s="21">
        <f>EXP(-LN(2)/2)*FS145+(1-EXP(-LN(2)/2))/(LN(2)/2)*FM146*FP146*VLOOKUP('Données projet'!$B$16,Paramètres!$A$1:$I$89,3,0)*0.475*44/12</f>
        <v>6.0934090279239333E-11</v>
      </c>
      <c r="FT146" s="22">
        <f t="shared" si="132"/>
        <v>23.461443543909958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458.37755197712164</v>
      </c>
      <c r="T147" s="59">
        <f t="shared" si="142"/>
        <v>278.21741231699917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116.21535927470899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116.21535927470899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508.60701013958447</v>
      </c>
      <c r="AO147" s="59">
        <f t="shared" si="144"/>
        <v>306.61893266146654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130.2413509113118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130.2413509113118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-1.0818439477588981E-13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291.17074241052887</v>
      </c>
      <c r="BJ147" s="59">
        <f t="shared" si="146"/>
        <v>241.18285512887638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25.208264569358946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25.208264569358946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429.61977776013185</v>
      </c>
      <c r="CE147" s="59">
        <f t="shared" si="148"/>
        <v>261.95434270986385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108.20050691093596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108.20050691093596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-1.7053025658242404E-13</v>
      </c>
      <c r="CU147" s="17">
        <f>CT147*VLOOKUP('Données projet'!$B$13,Paramètres!$A$1:$I$89,3,0)*VLOOKUP('Données projet'!$B$13,Paramètres!$A$1:$I$89,5,0)</f>
        <v>-1.1173142411280423E-13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255.09913504736693</v>
      </c>
      <c r="CZ147" s="59">
        <f t="shared" si="150"/>
        <v>248.42617382406644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17.136388534301055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17.136388534301055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-5.1159076974727213E-13</v>
      </c>
      <c r="DP147" s="17">
        <f>DO147*VLOOKUP('Données projet'!$B$14,Paramètres!$A$1:$I$89,3,0)*VLOOKUP('Données projet'!$B$14,Paramètres!$A$1:$I$89,5,0)</f>
        <v>-5.8259956858819351E-13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459.67331926893809</v>
      </c>
      <c r="DU147" s="59">
        <f t="shared" si="152"/>
        <v>280.33242658375497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97.32956826992546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97.32956826992546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264.08053957457469</v>
      </c>
      <c r="EP147" s="59">
        <f t="shared" si="154"/>
        <v>284.83300065761051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30.70262306297985</v>
      </c>
      <c r="EW147" s="21">
        <f>EXP(-LN(2)/25)*EW146+(1-EXP(-LN(2)/25))/(LN(2)/25)*Calculateur!ER147*Calculateur!ET147*VLOOKUP('Données projet'!$B$15,Paramètres!$A$1:$I$89,3,0)*0.475*44/12</f>
        <v>2.0571978367898502</v>
      </c>
      <c r="EX147" s="21">
        <f>EXP(-LN(2)/2)*EX146+(1-EXP(-LN(2)/2))/(LN(2)/2)*ER147*EU147*VLOOKUP('Données projet'!$B$15,Paramètres!$A$1:$I$89,3,0)*0.475*44/12</f>
        <v>1.3721841178227487E-11</v>
      </c>
      <c r="EY147" s="22">
        <f t="shared" si="129"/>
        <v>32.759820899783421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166.27444639635013</v>
      </c>
      <c r="FK147" s="59">
        <f t="shared" si="156"/>
        <v>213.60182977243113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18.403142408194395</v>
      </c>
      <c r="FR147" s="21">
        <f>EXP(-LN(2)/25)*FR146+(1-EXP(-LN(2)/25))/(LN(2)/25)*Calculateur!FM147*Calculateur!FO147*VLOOKUP('Données projet'!$B$16,Paramètres!$A$1:$I$89,3,0)*0.475*44/12</f>
        <v>4.5619546663797843</v>
      </c>
      <c r="FS147" s="21">
        <f>EXP(-LN(2)/2)*FS146+(1-EXP(-LN(2)/2))/(LN(2)/2)*FM147*FP147*VLOOKUP('Données projet'!$B$16,Paramètres!$A$1:$I$89,3,0)*0.475*44/12</f>
        <v>4.308690844188342E-11</v>
      </c>
      <c r="FT147" s="22">
        <f t="shared" si="132"/>
        <v>22.965097074617265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458.37755197712164</v>
      </c>
      <c r="T148" s="59">
        <f t="shared" si="142"/>
        <v>278.21741231699917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113.93644696370185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113.93644696370185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508.60701013958447</v>
      </c>
      <c r="AO148" s="59">
        <f t="shared" si="144"/>
        <v>306.61893266146654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127.68739745932105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127.68739745932105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-1.0818439477588981E-13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291.17074241052887</v>
      </c>
      <c r="BJ148" s="59">
        <f t="shared" si="146"/>
        <v>241.18285512887638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24.713945876676998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24.713945876676998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429.61977776013185</v>
      </c>
      <c r="CE148" s="59">
        <f t="shared" si="148"/>
        <v>261.95434270986385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106.07876096620518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106.07876096620518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-1.7053025658242404E-13</v>
      </c>
      <c r="CU148" s="17">
        <f>CT148*VLOOKUP('Données projet'!$B$13,Paramètres!$A$1:$I$89,3,0)*VLOOKUP('Données projet'!$B$13,Paramètres!$A$1:$I$89,5,0)</f>
        <v>-1.1173142411280423E-13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255.09913504736693</v>
      </c>
      <c r="CZ148" s="59">
        <f t="shared" si="150"/>
        <v>248.42617382406644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16.800354407308351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16.800354407308351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-5.1159076974727213E-13</v>
      </c>
      <c r="DP148" s="17">
        <f>DO148*VLOOKUP('Données projet'!$B$14,Paramètres!$A$1:$I$89,3,0)*VLOOKUP('Données projet'!$B$14,Paramètres!$A$1:$I$89,5,0)</f>
        <v>-5.8259956858819351E-13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459.67331926893809</v>
      </c>
      <c r="DU148" s="59">
        <f t="shared" si="152"/>
        <v>280.33242658375497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95.420994801327041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95.420994801327041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264.08053957457469</v>
      </c>
      <c r="EP148" s="59">
        <f t="shared" si="154"/>
        <v>284.83300065761051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30.10056335146577</v>
      </c>
      <c r="EW148" s="21">
        <f>EXP(-LN(2)/25)*EW147+(1-EXP(-LN(2)/25))/(LN(2)/25)*Calculateur!ER148*Calculateur!ET148*VLOOKUP('Données projet'!$B$15,Paramètres!$A$1:$I$89,3,0)*0.475*44/12</f>
        <v>2.0009436537594993</v>
      </c>
      <c r="EX148" s="21">
        <f>EXP(-LN(2)/2)*EX147+(1-EXP(-LN(2)/2))/(LN(2)/2)*ER148*EU148*VLOOKUP('Données projet'!$B$15,Paramètres!$A$1:$I$89,3,0)*0.475*44/12</f>
        <v>9.702806947489461E-12</v>
      </c>
      <c r="EY148" s="22">
        <f t="shared" si="129"/>
        <v>32.101507005234978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166.27444639635013</v>
      </c>
      <c r="FK148" s="59">
        <f t="shared" si="156"/>
        <v>213.60182977243113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18.042268010378212</v>
      </c>
      <c r="FR148" s="21">
        <f>EXP(-LN(2)/25)*FR147+(1-EXP(-LN(2)/25))/(LN(2)/25)*Calculateur!FM148*Calculateur!FO148*VLOOKUP('Données projet'!$B$16,Paramètres!$A$1:$I$89,3,0)*0.475*44/12</f>
        <v>4.4372077761248594</v>
      </c>
      <c r="FS148" s="21">
        <f>EXP(-LN(2)/2)*FS147+(1-EXP(-LN(2)/2))/(LN(2)/2)*FM148*FP148*VLOOKUP('Données projet'!$B$16,Paramètres!$A$1:$I$89,3,0)*0.475*44/12</f>
        <v>3.0467045139619666E-11</v>
      </c>
      <c r="FT148" s="22">
        <f t="shared" si="132"/>
        <v>22.479475786533541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458.37755197712164</v>
      </c>
      <c r="T149" s="59">
        <f t="shared" si="142"/>
        <v>278.21741231699917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111.70222273311431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111.70222273311431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508.60701013958447</v>
      </c>
      <c r="AO149" s="59">
        <f t="shared" si="144"/>
        <v>306.61893266146654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125.18352547676604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125.18352547676604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-1.0818439477588981E-13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291.17074241052887</v>
      </c>
      <c r="BJ149" s="59">
        <f t="shared" si="146"/>
        <v>241.18285512887638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24.22932047205391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24.22932047205391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429.61977776013185</v>
      </c>
      <c r="CE149" s="59">
        <f t="shared" si="148"/>
        <v>261.95434270986385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103.99862116531332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103.99862116531332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-1.7053025658242404E-13</v>
      </c>
      <c r="CU149" s="17">
        <f>CT149*VLOOKUP('Données projet'!$B$13,Paramètres!$A$1:$I$89,3,0)*VLOOKUP('Données projet'!$B$13,Paramètres!$A$1:$I$89,5,0)</f>
        <v>-1.1173142411280423E-13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255.09913504736693</v>
      </c>
      <c r="CZ149" s="59">
        <f t="shared" si="150"/>
        <v>248.42617382406644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16.470909704585395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16.470909704585395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-5.1159076974727213E-13</v>
      </c>
      <c r="DP149" s="17">
        <f>DO149*VLOOKUP('Données projet'!$B$14,Paramètres!$A$1:$I$89,3,0)*VLOOKUP('Données projet'!$B$14,Paramètres!$A$1:$I$89,5,0)</f>
        <v>-5.8259956858819351E-13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459.67331926893809</v>
      </c>
      <c r="DU149" s="59">
        <f t="shared" si="152"/>
        <v>280.33242658375497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93.549847294332963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93.549847294332963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264.08053957457469</v>
      </c>
      <c r="EP149" s="59">
        <f t="shared" si="154"/>
        <v>284.83300065761051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29.510309663674317</v>
      </c>
      <c r="EW149" s="21">
        <f>EXP(-LN(2)/25)*EW148+(1-EXP(-LN(2)/25))/(LN(2)/25)*Calculateur!ER149*Calculateur!ET149*VLOOKUP('Données projet'!$B$15,Paramètres!$A$1:$I$89,3,0)*0.475*44/12</f>
        <v>1.9462277443223923</v>
      </c>
      <c r="EX149" s="21">
        <f>EXP(-LN(2)/2)*EX148+(1-EXP(-LN(2)/2))/(LN(2)/2)*ER149*EU149*VLOOKUP('Données projet'!$B$15,Paramètres!$A$1:$I$89,3,0)*0.475*44/12</f>
        <v>6.8609205891137435E-12</v>
      </c>
      <c r="EY149" s="22">
        <f t="shared" si="129"/>
        <v>31.45653740800357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166.27444639635013</v>
      </c>
      <c r="FK149" s="59">
        <f t="shared" si="156"/>
        <v>213.60182977243113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17.688470139391558</v>
      </c>
      <c r="FR149" s="21">
        <f>EXP(-LN(2)/25)*FR148+(1-EXP(-LN(2)/25))/(LN(2)/25)*Calculateur!FM149*Calculateur!FO149*VLOOKUP('Données projet'!$B$16,Paramètres!$A$1:$I$89,3,0)*0.475*44/12</f>
        <v>4.3158720961441093</v>
      </c>
      <c r="FS149" s="21">
        <f>EXP(-LN(2)/2)*FS148+(1-EXP(-LN(2)/2))/(LN(2)/2)*FM149*FP149*VLOOKUP('Données projet'!$B$16,Paramètres!$A$1:$I$89,3,0)*0.475*44/12</f>
        <v>2.154345422094171E-11</v>
      </c>
      <c r="FT149" s="22">
        <f t="shared" si="132"/>
        <v>22.00434223555721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458.37755197712164</v>
      </c>
      <c r="T150" s="59">
        <f t="shared" si="142"/>
        <v>278.21741231699917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109.51181027694636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109.51181027694636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508.60701013958447</v>
      </c>
      <c r="AO150" s="59">
        <f t="shared" si="144"/>
        <v>306.61893266146654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122.72875289657782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122.72875289657782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-1.0818439477588981E-13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291.17074241052887</v>
      </c>
      <c r="BJ150" s="59">
        <f t="shared" si="146"/>
        <v>241.18285512887638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23.754198276023171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23.754198276023171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429.61977776013185</v>
      </c>
      <c r="CE150" s="59">
        <f t="shared" si="148"/>
        <v>261.95434270986385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101.95927163715696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101.95927163715696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-1.7053025658242404E-13</v>
      </c>
      <c r="CU150" s="17">
        <f>CT150*VLOOKUP('Données projet'!$B$13,Paramètres!$A$1:$I$89,3,0)*VLOOKUP('Données projet'!$B$13,Paramètres!$A$1:$I$89,5,0)</f>
        <v>-1.1173142411280423E-13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255.09913504736693</v>
      </c>
      <c r="CZ150" s="59">
        <f t="shared" si="150"/>
        <v>248.42617382406644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16.147925211541409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16.147925211541409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-5.1159076974727213E-13</v>
      </c>
      <c r="DP150" s="17">
        <f>DO150*VLOOKUP('Données projet'!$B$14,Paramètres!$A$1:$I$89,3,0)*VLOOKUP('Données projet'!$B$14,Paramètres!$A$1:$I$89,5,0)</f>
        <v>-5.8259956858819351E-13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459.67331926893809</v>
      </c>
      <c r="DU150" s="59">
        <f t="shared" si="152"/>
        <v>280.33242658375497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91.715391848663756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91.715391848663756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264.08053957457469</v>
      </c>
      <c r="EP150" s="59">
        <f t="shared" si="154"/>
        <v>284.83300065761051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28.931630490681254</v>
      </c>
      <c r="EW150" s="21">
        <f>EXP(-LN(2)/25)*EW149+(1-EXP(-LN(2)/25))/(LN(2)/25)*Calculateur!ER150*Calculateur!ET150*VLOOKUP('Données projet'!$B$15,Paramètres!$A$1:$I$89,3,0)*0.475*44/12</f>
        <v>1.8930080443062276</v>
      </c>
      <c r="EX150" s="21">
        <f>EXP(-LN(2)/2)*EX149+(1-EXP(-LN(2)/2))/(LN(2)/2)*ER150*EU150*VLOOKUP('Données projet'!$B$15,Paramètres!$A$1:$I$89,3,0)*0.475*44/12</f>
        <v>4.8514034737447305E-12</v>
      </c>
      <c r="EY150" s="22">
        <f t="shared" si="129"/>
        <v>30.824638534992335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166.27444639635013</v>
      </c>
      <c r="FK150" s="59">
        <f t="shared" si="156"/>
        <v>213.60182977243113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17.341610028859559</v>
      </c>
      <c r="FR150" s="21">
        <f>EXP(-LN(2)/25)*FR149+(1-EXP(-LN(2)/25))/(LN(2)/25)*Calculateur!FM150*Calculateur!FO150*VLOOKUP('Données projet'!$B$16,Paramètres!$A$1:$I$89,3,0)*0.475*44/12</f>
        <v>4.197854346713199</v>
      </c>
      <c r="FS150" s="21">
        <f>EXP(-LN(2)/2)*FS149+(1-EXP(-LN(2)/2))/(LN(2)/2)*FM150*FP150*VLOOKUP('Données projet'!$B$16,Paramètres!$A$1:$I$89,3,0)*0.475*44/12</f>
        <v>1.5233522569809833E-11</v>
      </c>
      <c r="FT150" s="22">
        <f t="shared" si="132"/>
        <v>21.539464375587993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458.37755197712164</v>
      </c>
      <c r="T151" s="59">
        <f t="shared" si="142"/>
        <v>278.21741231699917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107.36435047302419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107.36435047302419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508.60701013958447</v>
      </c>
      <c r="AO151" s="59">
        <f t="shared" si="144"/>
        <v>306.61893266146654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120.32211690942367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120.32211690942367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-1.0818439477588981E-13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291.17074241052887</v>
      </c>
      <c r="BJ151" s="59">
        <f t="shared" si="146"/>
        <v>241.18285512887638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23.288392936460671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23.288392936460671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429.61977776013185</v>
      </c>
      <c r="CE151" s="59">
        <f t="shared" si="148"/>
        <v>261.95434270986385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99.959912509367356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99.959912509367356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-1.7053025658242404E-13</v>
      </c>
      <c r="CU151" s="17">
        <f>CT151*VLOOKUP('Données projet'!$B$13,Paramètres!$A$1:$I$89,3,0)*VLOOKUP('Données projet'!$B$13,Paramètres!$A$1:$I$89,5,0)</f>
        <v>-1.1173142411280423E-13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255.09913504736693</v>
      </c>
      <c r="CZ151" s="59">
        <f t="shared" si="150"/>
        <v>248.42617382406644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15.831274247404927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15.831274247404927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-5.1159076974727213E-13</v>
      </c>
      <c r="DP151" s="17">
        <f>DO151*VLOOKUP('Données projet'!$B$14,Paramètres!$A$1:$I$89,3,0)*VLOOKUP('Données projet'!$B$14,Paramètres!$A$1:$I$89,5,0)</f>
        <v>-5.8259956858819351E-13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459.67331926893809</v>
      </c>
      <c r="DU151" s="59">
        <f t="shared" si="152"/>
        <v>280.33242658375497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89.916908955376783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89.916908955376783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264.08053957457469</v>
      </c>
      <c r="EP151" s="59">
        <f t="shared" si="154"/>
        <v>284.83300065761051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28.364298863311141</v>
      </c>
      <c r="EW151" s="21">
        <f>EXP(-LN(2)/25)*EW150+(1-EXP(-LN(2)/25))/(LN(2)/25)*Calculateur!ER151*Calculateur!ET151*VLOOKUP('Données projet'!$B$15,Paramètres!$A$1:$I$89,3,0)*0.475*44/12</f>
        <v>1.8412436397857073</v>
      </c>
      <c r="EX151" s="21">
        <f>EXP(-LN(2)/2)*EX150+(1-EXP(-LN(2)/2))/(LN(2)/2)*ER151*EU151*VLOOKUP('Données projet'!$B$15,Paramètres!$A$1:$I$89,3,0)*0.475*44/12</f>
        <v>3.4304602945568717E-12</v>
      </c>
      <c r="EY151" s="22">
        <f t="shared" si="129"/>
        <v>30.205542503100279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166.27444639635013</v>
      </c>
      <c r="FK151" s="59">
        <f t="shared" si="156"/>
        <v>213.60182977243113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17.001551633531317</v>
      </c>
      <c r="FR151" s="21">
        <f>EXP(-LN(2)/25)*FR150+(1-EXP(-LN(2)/25))/(LN(2)/25)*Calculateur!FM151*Calculateur!FO151*VLOOKUP('Données projet'!$B$16,Paramètres!$A$1:$I$89,3,0)*0.475*44/12</f>
        <v>4.0830637988467604</v>
      </c>
      <c r="FS151" s="21">
        <f>EXP(-LN(2)/2)*FS150+(1-EXP(-LN(2)/2))/(LN(2)/2)*FM151*FP151*VLOOKUP('Données projet'!$B$16,Paramètres!$A$1:$I$89,3,0)*0.475*44/12</f>
        <v>1.0771727110470855E-11</v>
      </c>
      <c r="FT151" s="22">
        <f t="shared" si="132"/>
        <v>21.084615432388851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458.37755197712164</v>
      </c>
      <c r="T152" s="59">
        <f t="shared" si="142"/>
        <v>278.21741231699917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105.25900104603579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105.25900104603579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508.60701013958447</v>
      </c>
      <c r="AO152" s="59">
        <f t="shared" si="144"/>
        <v>306.61893266146654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117.9626735860746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117.9626735860746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-1.0818439477588981E-13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291.17074241052887</v>
      </c>
      <c r="BJ152" s="59">
        <f t="shared" si="146"/>
        <v>241.18285512887638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22.831721755493788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22.831721755493788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429.61977776013185</v>
      </c>
      <c r="CE152" s="59">
        <f t="shared" si="148"/>
        <v>261.95434270986385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97.999759594585058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97.999759594585058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-1.7053025658242404E-13</v>
      </c>
      <c r="CU152" s="17">
        <f>CT152*VLOOKUP('Données projet'!$B$13,Paramètres!$A$1:$I$89,3,0)*VLOOKUP('Données projet'!$B$13,Paramètres!$A$1:$I$89,5,0)</f>
        <v>-1.1173142411280423E-13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255.09913504736693</v>
      </c>
      <c r="CZ152" s="59">
        <f t="shared" si="150"/>
        <v>248.42617382406644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15.520832615537145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15.520832615537145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-5.1159076974727213E-13</v>
      </c>
      <c r="DP152" s="17">
        <f>DO152*VLOOKUP('Données projet'!$B$14,Paramètres!$A$1:$I$89,3,0)*VLOOKUP('Données projet'!$B$14,Paramètres!$A$1:$I$89,5,0)</f>
        <v>-5.8259956858819351E-13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459.67331926893809</v>
      </c>
      <c r="DU152" s="59">
        <f t="shared" si="152"/>
        <v>280.33242658375497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88.153693214660919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88.153693214660919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264.08053957457469</v>
      </c>
      <c r="EP152" s="59">
        <f t="shared" si="154"/>
        <v>284.83300065761051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27.808092263115633</v>
      </c>
      <c r="EW152" s="21">
        <f>EXP(-LN(2)/25)*EW151+(1-EXP(-LN(2)/25))/(LN(2)/25)*Calculateur!ER152*Calculateur!ET152*VLOOKUP('Données projet'!$B$15,Paramètres!$A$1:$I$89,3,0)*0.475*44/12</f>
        <v>1.7908947356289724</v>
      </c>
      <c r="EX152" s="21">
        <f>EXP(-LN(2)/2)*EX151+(1-EXP(-LN(2)/2))/(LN(2)/2)*ER152*EU152*VLOOKUP('Données projet'!$B$15,Paramètres!$A$1:$I$89,3,0)*0.475*44/12</f>
        <v>2.4257017368723652E-12</v>
      </c>
      <c r="EY152" s="22">
        <f t="shared" si="129"/>
        <v>29.59898699874703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166.27444639635013</v>
      </c>
      <c r="FK152" s="59">
        <f t="shared" si="156"/>
        <v>213.60182977243113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16.668161575920319</v>
      </c>
      <c r="FR152" s="21">
        <f>EXP(-LN(2)/25)*FR151+(1-EXP(-LN(2)/25))/(LN(2)/25)*Calculateur!FM152*Calculateur!FO152*VLOOKUP('Données projet'!$B$16,Paramètres!$A$1:$I$89,3,0)*0.475*44/12</f>
        <v>3.9714122045483027</v>
      </c>
      <c r="FS152" s="21">
        <f>EXP(-LN(2)/2)*FS151+(1-EXP(-LN(2)/2))/(LN(2)/2)*FM152*FP152*VLOOKUP('Données projet'!$B$16,Paramètres!$A$1:$I$89,3,0)*0.475*44/12</f>
        <v>7.6167612849049166E-12</v>
      </c>
      <c r="FT152" s="22">
        <f t="shared" si="132"/>
        <v>20.63957378047624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458.37755197712164</v>
      </c>
      <c r="T153" s="59">
        <f t="shared" si="142"/>
        <v>278.21741231699917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103.19493623717428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103.19493623717428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508.60701013958447</v>
      </c>
      <c r="AO153" s="59">
        <f t="shared" si="144"/>
        <v>306.61893266146654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115.64949750717808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115.64949750717808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-1.0818439477588981E-13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291.17074241052887</v>
      </c>
      <c r="BJ153" s="59">
        <f t="shared" si="146"/>
        <v>241.18285512887638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22.384005617843751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22.384005617843751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429.61977776013185</v>
      </c>
      <c r="CE153" s="59">
        <f t="shared" si="148"/>
        <v>261.95434270986385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96.078044082886407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96.078044082886407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-1.7053025658242404E-13</v>
      </c>
      <c r="CU153" s="17">
        <f>CT153*VLOOKUP('Données projet'!$B$13,Paramètres!$A$1:$I$89,3,0)*VLOOKUP('Données projet'!$B$13,Paramètres!$A$1:$I$89,5,0)</f>
        <v>-1.1173142411280423E-13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255.09913504736693</v>
      </c>
      <c r="CZ153" s="59">
        <f t="shared" si="150"/>
        <v>248.42617382406644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15.216478554719592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15.216478554719592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-5.1159076974727213E-13</v>
      </c>
      <c r="DP153" s="17">
        <f>DO153*VLOOKUP('Données projet'!$B$14,Paramètres!$A$1:$I$89,3,0)*VLOOKUP('Données projet'!$B$14,Paramètres!$A$1:$I$89,5,0)</f>
        <v>-5.8259956858819351E-13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459.67331926893809</v>
      </c>
      <c r="DU153" s="59">
        <f t="shared" si="152"/>
        <v>280.33242658375497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86.42505305916508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86.42505305916508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264.08053957457469</v>
      </c>
      <c r="EP153" s="59">
        <f t="shared" si="154"/>
        <v>284.83300065761051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27.262792535097429</v>
      </c>
      <c r="EW153" s="21">
        <f>EXP(-LN(2)/25)*EW152+(1-EXP(-LN(2)/25))/(LN(2)/25)*Calculateur!ER153*Calculateur!ET153*VLOOKUP('Données projet'!$B$15,Paramètres!$A$1:$I$89,3,0)*0.475*44/12</f>
        <v>1.7419226249041371</v>
      </c>
      <c r="EX153" s="21">
        <f>EXP(-LN(2)/2)*EX152+(1-EXP(-LN(2)/2))/(LN(2)/2)*ER153*EU153*VLOOKUP('Données projet'!$B$15,Paramètres!$A$1:$I$89,3,0)*0.475*44/12</f>
        <v>1.7152301472784359E-12</v>
      </c>
      <c r="EY153" s="22">
        <f t="shared" si="129"/>
        <v>29.004715160003283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166.27444639635013</v>
      </c>
      <c r="FK153" s="59">
        <f t="shared" si="156"/>
        <v>213.60182977243113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16.341309093991217</v>
      </c>
      <c r="FR153" s="21">
        <f>EXP(-LN(2)/25)*FR152+(1-EXP(-LN(2)/25))/(LN(2)/25)*Calculateur!FM153*Calculateur!FO153*VLOOKUP('Données projet'!$B$16,Paramètres!$A$1:$I$89,3,0)*0.475*44/12</f>
        <v>3.8628137289674385</v>
      </c>
      <c r="FS153" s="21">
        <f>EXP(-LN(2)/2)*FS152+(1-EXP(-LN(2)/2))/(LN(2)/2)*FM153*FP153*VLOOKUP('Données projet'!$B$16,Paramètres!$A$1:$I$89,3,0)*0.475*44/12</f>
        <v>5.3858635552354275E-12</v>
      </c>
      <c r="FT153" s="22">
        <f t="shared" si="132"/>
        <v>20.204122822964042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458.37755197712164</v>
      </c>
      <c r="T154" s="59">
        <f t="shared" si="142"/>
        <v>278.21741231699917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101.17134648025932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101.17134648025932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508.60701013958447</v>
      </c>
      <c r="AO154" s="59">
        <f t="shared" si="144"/>
        <v>306.61893266146654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113.38168140029063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113.38168140029063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-1.0818439477588981E-13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291.17074241052887</v>
      </c>
      <c r="BJ154" s="59">
        <f t="shared" si="146"/>
        <v>241.18285512887638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21.945068920573149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21.945068920573149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429.61977776013185</v>
      </c>
      <c r="CE154" s="59">
        <f t="shared" si="148"/>
        <v>261.95434270986385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94.194012240241449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94.194012240241449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-1.7053025658242404E-13</v>
      </c>
      <c r="CU154" s="17">
        <f>CT154*VLOOKUP('Données projet'!$B$13,Paramètres!$A$1:$I$89,3,0)*VLOOKUP('Données projet'!$B$13,Paramètres!$A$1:$I$89,5,0)</f>
        <v>-1.1173142411280423E-13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255.09913504736693</v>
      </c>
      <c r="CZ154" s="59">
        <f t="shared" si="150"/>
        <v>248.42617382406644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14.918092691397023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14.918092691397023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-5.1159076974727213E-13</v>
      </c>
      <c r="DP154" s="17">
        <f>DO154*VLOOKUP('Données projet'!$B$14,Paramètres!$A$1:$I$89,3,0)*VLOOKUP('Données projet'!$B$14,Paramètres!$A$1:$I$89,5,0)</f>
        <v>-5.8259956858819351E-13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459.67331926893809</v>
      </c>
      <c r="DU154" s="59">
        <f t="shared" si="152"/>
        <v>280.33242658375497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84.730310482752131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84.730310482752131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264.08053957457469</v>
      </c>
      <c r="EP154" s="59">
        <f t="shared" si="154"/>
        <v>284.83300065761051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26.728185802145671</v>
      </c>
      <c r="EW154" s="21">
        <f>EXP(-LN(2)/25)*EW153+(1-EXP(-LN(2)/25))/(LN(2)/25)*Calculateur!ER154*Calculateur!ET154*VLOOKUP('Données projet'!$B$15,Paramètres!$A$1:$I$89,3,0)*0.475*44/12</f>
        <v>1.6942896591224039</v>
      </c>
      <c r="EX154" s="21">
        <f>EXP(-LN(2)/2)*EX153+(1-EXP(-LN(2)/2))/(LN(2)/2)*ER154*EU154*VLOOKUP('Données projet'!$B$15,Paramètres!$A$1:$I$89,3,0)*0.475*44/12</f>
        <v>1.2128508684361826E-12</v>
      </c>
      <c r="EY154" s="22">
        <f t="shared" ref="EY154:EY203" si="181">SUM(EV154:EX154)</f>
        <v>28.422475461269286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166.27444639635013</v>
      </c>
      <c r="FK154" s="59">
        <f t="shared" si="156"/>
        <v>213.60182977243113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16.020865989872416</v>
      </c>
      <c r="FR154" s="21">
        <f>EXP(-LN(2)/25)*FR153+(1-EXP(-LN(2)/25))/(LN(2)/25)*Calculateur!FM154*Calculateur!FO154*VLOOKUP('Données projet'!$B$16,Paramètres!$A$1:$I$89,3,0)*0.475*44/12</f>
        <v>3.7571848844122786</v>
      </c>
      <c r="FS154" s="21">
        <f>EXP(-LN(2)/2)*FS153+(1-EXP(-LN(2)/2))/(LN(2)/2)*FM154*FP154*VLOOKUP('Données projet'!$B$16,Paramètres!$A$1:$I$89,3,0)*0.475*44/12</f>
        <v>3.8083806424524583E-12</v>
      </c>
      <c r="FT154" s="22">
        <f t="shared" ref="FT154:FT203" si="184">SUM(FQ154:FS154)</f>
        <v>19.778050874288503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458.37755197712164</v>
      </c>
      <c r="T155" s="59">
        <f t="shared" si="142"/>
        <v>278.21741231699917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99.187438084209589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99.187438084209589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508.60701013958447</v>
      </c>
      <c r="AO155" s="59">
        <f t="shared" si="144"/>
        <v>306.61893266146654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111.158335784028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111.158335784028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-1.0818439477588981E-13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291.17074241052887</v>
      </c>
      <c r="BJ155" s="59">
        <f t="shared" si="146"/>
        <v>241.18285512887638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21.514739504211075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21.514739504211075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429.61977776013185</v>
      </c>
      <c r="CE155" s="59">
        <f t="shared" si="148"/>
        <v>261.95434270986385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92.346925112884804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92.346925112884804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-1.7053025658242404E-13</v>
      </c>
      <c r="CU155" s="17">
        <f>CT155*VLOOKUP('Données projet'!$B$13,Paramètres!$A$1:$I$89,3,0)*VLOOKUP('Données projet'!$B$13,Paramètres!$A$1:$I$89,5,0)</f>
        <v>-1.1173142411280423E-13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255.09913504736693</v>
      </c>
      <c r="CZ155" s="59">
        <f t="shared" si="150"/>
        <v>248.42617382406644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14.625557992856804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14.625557992856804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-5.1159076974727213E-13</v>
      </c>
      <c r="DP155" s="17">
        <f>DO155*VLOOKUP('Données projet'!$B$14,Paramètres!$A$1:$I$89,3,0)*VLOOKUP('Données projet'!$B$14,Paramètres!$A$1:$I$89,5,0)</f>
        <v>-5.8259956858819351E-13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459.67331926893809</v>
      </c>
      <c r="DU155" s="59">
        <f t="shared" si="152"/>
        <v>280.33242658375497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83.068800774571741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83.068800774571741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264.08053957457469</v>
      </c>
      <c r="EP155" s="59">
        <f t="shared" si="154"/>
        <v>284.83300065761051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26.204062381149186</v>
      </c>
      <c r="EW155" s="21">
        <f>EXP(-LN(2)/25)*EW154+(1-EXP(-LN(2)/25))/(LN(2)/25)*Calculateur!ER155*Calculateur!ET155*VLOOKUP('Données projet'!$B$15,Paramètres!$A$1:$I$89,3,0)*0.475*44/12</f>
        <v>1.6479592192948809</v>
      </c>
      <c r="EX155" s="21">
        <f>EXP(-LN(2)/2)*EX154+(1-EXP(-LN(2)/2))/(LN(2)/2)*ER155*EU155*VLOOKUP('Données projet'!$B$15,Paramètres!$A$1:$I$89,3,0)*0.475*44/12</f>
        <v>8.5761507363921794E-13</v>
      </c>
      <c r="EY155" s="22">
        <f t="shared" si="181"/>
        <v>27.852021600444921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166.27444639635013</v>
      </c>
      <c r="FK155" s="59">
        <f t="shared" si="156"/>
        <v>213.60182977243113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15.706706579574391</v>
      </c>
      <c r="FR155" s="21">
        <f>EXP(-LN(2)/25)*FR154+(1-EXP(-LN(2)/25))/(LN(2)/25)*Calculateur!FM155*Calculateur!FO155*VLOOKUP('Données projet'!$B$16,Paramètres!$A$1:$I$89,3,0)*0.475*44/12</f>
        <v>3.6544444661662587</v>
      </c>
      <c r="FS155" s="21">
        <f>EXP(-LN(2)/2)*FS154+(1-EXP(-LN(2)/2))/(LN(2)/2)*FM155*FP155*VLOOKUP('Données projet'!$B$16,Paramètres!$A$1:$I$89,3,0)*0.475*44/12</f>
        <v>2.6929317776177138E-12</v>
      </c>
      <c r="FT155" s="22">
        <f t="shared" si="184"/>
        <v>19.361151045743341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458.37755197712164</v>
      </c>
      <c r="T156" s="59">
        <f t="shared" si="142"/>
        <v>278.21741231699917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97.242432921741752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97.242432921741752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508.60701013958447</v>
      </c>
      <c r="AO156" s="59">
        <f t="shared" si="144"/>
        <v>306.61893266146654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108.97858861919336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108.97858861919336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-1.0818439477588981E-13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291.17074241052887</v>
      </c>
      <c r="BJ156" s="59">
        <f t="shared" si="146"/>
        <v>241.18285512887638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21.092848585228836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21.092848585228836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429.61977776013185</v>
      </c>
      <c r="CE156" s="59">
        <f t="shared" si="148"/>
        <v>261.95434270986385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90.536058237483715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90.536058237483715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-1.7053025658242404E-13</v>
      </c>
      <c r="CU156" s="17">
        <f>CT156*VLOOKUP('Données projet'!$B$13,Paramètres!$A$1:$I$89,3,0)*VLOOKUP('Données projet'!$B$13,Paramètres!$A$1:$I$89,5,0)</f>
        <v>-1.1173142411280423E-13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255.09913504736693</v>
      </c>
      <c r="CZ156" s="59">
        <f t="shared" si="150"/>
        <v>248.42617382406644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14.33875972132641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14.33875972132641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-5.1159076974727213E-13</v>
      </c>
      <c r="DP156" s="17">
        <f>DO156*VLOOKUP('Données projet'!$B$14,Paramètres!$A$1:$I$89,3,0)*VLOOKUP('Données projet'!$B$14,Paramètres!$A$1:$I$89,5,0)</f>
        <v>-5.8259956858819351E-13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459.67331926893809</v>
      </c>
      <c r="DU156" s="59">
        <f t="shared" si="152"/>
        <v>280.33242658375497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81.439872258347918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81.439872258347918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264.08053957457469</v>
      </c>
      <c r="EP156" s="59">
        <f t="shared" si="154"/>
        <v>284.83300065761051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25.690216700754721</v>
      </c>
      <c r="EW156" s="21">
        <f>EXP(-LN(2)/25)*EW155+(1-EXP(-LN(2)/25))/(LN(2)/25)*Calculateur!ER156*Calculateur!ET156*VLOOKUP('Données projet'!$B$15,Paramètres!$A$1:$I$89,3,0)*0.475*44/12</f>
        <v>1.6028956877808536</v>
      </c>
      <c r="EX156" s="21">
        <f>EXP(-LN(2)/2)*EX155+(1-EXP(-LN(2)/2))/(LN(2)/2)*ER156*EU156*VLOOKUP('Données projet'!$B$15,Paramètres!$A$1:$I$89,3,0)*0.475*44/12</f>
        <v>6.0642543421809131E-13</v>
      </c>
      <c r="EY156" s="22">
        <f t="shared" si="181"/>
        <v>27.293112388536183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166.27444639635013</v>
      </c>
      <c r="FK156" s="59">
        <f t="shared" si="156"/>
        <v>213.60182977243113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15.39870764369399</v>
      </c>
      <c r="FR156" s="21">
        <f>EXP(-LN(2)/25)*FR155+(1-EXP(-LN(2)/25))/(LN(2)/25)*Calculateur!FM156*Calculateur!FO156*VLOOKUP('Données projet'!$B$16,Paramètres!$A$1:$I$89,3,0)*0.475*44/12</f>
        <v>3.5545134900600601</v>
      </c>
      <c r="FS156" s="21">
        <f>EXP(-LN(2)/2)*FS155+(1-EXP(-LN(2)/2))/(LN(2)/2)*FM156*FP156*VLOOKUP('Données projet'!$B$16,Paramètres!$A$1:$I$89,3,0)*0.475*44/12</f>
        <v>1.9041903212262292E-12</v>
      </c>
      <c r="FT156" s="22">
        <f t="shared" si="184"/>
        <v>18.953221133755953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458.37755197712164</v>
      </c>
      <c r="T157" s="59">
        <f t="shared" si="142"/>
        <v>278.21741231699917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95.335568124173903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95.335568124173903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508.60701013958447</v>
      </c>
      <c r="AO157" s="59">
        <f t="shared" si="144"/>
        <v>306.61893266146654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106.84158496674664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106.84158496674664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-1.0818439477588981E-13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291.17074241052887</v>
      </c>
      <c r="BJ157" s="59">
        <f t="shared" si="146"/>
        <v>241.18285512887638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20.679230689839788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20.679230689839788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429.61977776013185</v>
      </c>
      <c r="CE157" s="59">
        <f t="shared" si="148"/>
        <v>261.95434270986385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88.760701356989514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88.760701356989514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-1.7053025658242404E-13</v>
      </c>
      <c r="CU157" s="17">
        <f>CT157*VLOOKUP('Données projet'!$B$13,Paramètres!$A$1:$I$89,3,0)*VLOOKUP('Données projet'!$B$13,Paramètres!$A$1:$I$89,5,0)</f>
        <v>-1.1173142411280423E-13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255.09913504736693</v>
      </c>
      <c r="CZ157" s="59">
        <f t="shared" si="150"/>
        <v>248.42617382406644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14.057585388971054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14.057585388971054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-5.1159076974727213E-13</v>
      </c>
      <c r="DP157" s="17">
        <f>DO157*VLOOKUP('Données projet'!$B$14,Paramètres!$A$1:$I$89,3,0)*VLOOKUP('Données projet'!$B$14,Paramètres!$A$1:$I$89,5,0)</f>
        <v>-5.8259956858819351E-13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459.67331926893809</v>
      </c>
      <c r="DU157" s="59">
        <f t="shared" si="152"/>
        <v>280.33242658375497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79.84288603677895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79.84288603677895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264.08053957457469</v>
      </c>
      <c r="EP157" s="59">
        <f t="shared" si="154"/>
        <v>284.83300065761051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25.186447220737875</v>
      </c>
      <c r="EW157" s="21">
        <f>EXP(-LN(2)/25)*EW156+(1-EXP(-LN(2)/25))/(LN(2)/25)*Calculateur!ER157*Calculateur!ET157*VLOOKUP('Données projet'!$B$15,Paramètres!$A$1:$I$89,3,0)*0.475*44/12</f>
        <v>1.5590644209058653</v>
      </c>
      <c r="EX157" s="21">
        <f>EXP(-LN(2)/2)*EX156+(1-EXP(-LN(2)/2))/(LN(2)/2)*ER157*EU157*VLOOKUP('Données projet'!$B$15,Paramètres!$A$1:$I$89,3,0)*0.475*44/12</f>
        <v>4.2880753681960897E-13</v>
      </c>
      <c r="EY157" s="22">
        <f t="shared" si="181"/>
        <v>26.745511641644171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166.27444639635013</v>
      </c>
      <c r="FK157" s="59">
        <f t="shared" si="156"/>
        <v>213.60182977243113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15.096748379085403</v>
      </c>
      <c r="FR157" s="21">
        <f>EXP(-LN(2)/25)*FR156+(1-EXP(-LN(2)/25))/(LN(2)/25)*Calculateur!FM157*Calculateur!FO157*VLOOKUP('Données projet'!$B$16,Paramètres!$A$1:$I$89,3,0)*0.475*44/12</f>
        <v>3.4573151317506272</v>
      </c>
      <c r="FS157" s="21">
        <f>EXP(-LN(2)/2)*FS156+(1-EXP(-LN(2)/2))/(LN(2)/2)*FM157*FP157*VLOOKUP('Données projet'!$B$16,Paramètres!$A$1:$I$89,3,0)*0.475*44/12</f>
        <v>1.3464658888088569E-12</v>
      </c>
      <c r="FT157" s="22">
        <f t="shared" si="184"/>
        <v>18.554063510837377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458.37755197712164</v>
      </c>
      <c r="T158" s="59">
        <f t="shared" si="142"/>
        <v>278.21741231699917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93.466095782213671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93.466095782213671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508.60701013958447</v>
      </c>
      <c r="AO158" s="59">
        <f t="shared" si="144"/>
        <v>306.61893266146654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104.74648665248087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104.74648665248087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-1.0818439477588981E-13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291.17074241052887</v>
      </c>
      <c r="BJ158" s="59">
        <f t="shared" si="146"/>
        <v>241.18285512887638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20.273723589097312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20.273723589097312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429.61977776013185</v>
      </c>
      <c r="CE158" s="59">
        <f t="shared" si="148"/>
        <v>261.95434270986385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87.020158142061021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87.020158142061021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-1.7053025658242404E-13</v>
      </c>
      <c r="CU158" s="17">
        <f>CT158*VLOOKUP('Données projet'!$B$13,Paramètres!$A$1:$I$89,3,0)*VLOOKUP('Données projet'!$B$13,Paramètres!$A$1:$I$89,5,0)</f>
        <v>-1.1173142411280423E-13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255.09913504736693</v>
      </c>
      <c r="CZ158" s="59">
        <f t="shared" si="150"/>
        <v>248.42617382406644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13.78192471377378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13.78192471377378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-5.1159076974727213E-13</v>
      </c>
      <c r="DP158" s="17">
        <f>DO158*VLOOKUP('Données projet'!$B$14,Paramètres!$A$1:$I$89,3,0)*VLOOKUP('Données projet'!$B$14,Paramètres!$A$1:$I$89,5,0)</f>
        <v>-5.8259956858819351E-13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459.67331926893809</v>
      </c>
      <c r="DU158" s="59">
        <f t="shared" si="152"/>
        <v>280.33242658375497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78.277215740949529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78.277215740949529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264.08053957457469</v>
      </c>
      <c r="EP158" s="59">
        <f t="shared" si="154"/>
        <v>284.83300065761051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24.692556352955119</v>
      </c>
      <c r="EW158" s="21">
        <f>EXP(-LN(2)/25)*EW157+(1-EXP(-LN(2)/25))/(LN(2)/25)*Calculateur!ER158*Calculateur!ET158*VLOOKUP('Données projet'!$B$15,Paramètres!$A$1:$I$89,3,0)*0.475*44/12</f>
        <v>1.5164317223285597</v>
      </c>
      <c r="EX158" s="21">
        <f>EXP(-LN(2)/2)*EX157+(1-EXP(-LN(2)/2))/(LN(2)/2)*ER158*EU158*VLOOKUP('Données projet'!$B$15,Paramètres!$A$1:$I$89,3,0)*0.475*44/12</f>
        <v>3.0321271710904566E-13</v>
      </c>
      <c r="EY158" s="22">
        <f t="shared" si="181"/>
        <v>26.20898807528398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166.27444639635013</v>
      </c>
      <c r="FK158" s="59">
        <f t="shared" si="156"/>
        <v>213.60182977243113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14.800710351478825</v>
      </c>
      <c r="FR158" s="21">
        <f>EXP(-LN(2)/25)*FR157+(1-EXP(-LN(2)/25))/(LN(2)/25)*Calculateur!FM158*Calculateur!FO158*VLOOKUP('Données projet'!$B$16,Paramètres!$A$1:$I$89,3,0)*0.475*44/12</f>
        <v>3.3627746676606054</v>
      </c>
      <c r="FS158" s="21">
        <f>EXP(-LN(2)/2)*FS157+(1-EXP(-LN(2)/2))/(LN(2)/2)*FM158*FP158*VLOOKUP('Données projet'!$B$16,Paramètres!$A$1:$I$89,3,0)*0.475*44/12</f>
        <v>9.5209516061311458E-13</v>
      </c>
      <c r="FT158" s="22">
        <f t="shared" si="184"/>
        <v>18.163485019140381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458.37755197712164</v>
      </c>
      <c r="T159" s="59">
        <f t="shared" si="142"/>
        <v>278.21741231699917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91.633282652613744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91.633282652613744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508.60701013958447</v>
      </c>
      <c r="AO159" s="59">
        <f t="shared" si="144"/>
        <v>306.61893266146654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102.69247193827405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102.69247193827405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-1.0818439477588981E-13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291.17074241052887</v>
      </c>
      <c r="BJ159" s="59">
        <f t="shared" si="146"/>
        <v>241.18285512887638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19.876168235265485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19.876168235265485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429.61977776013185</v>
      </c>
      <c r="CE159" s="59">
        <f t="shared" si="148"/>
        <v>261.95434270986385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85.31374591795074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85.31374591795074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-1.7053025658242404E-13</v>
      </c>
      <c r="CU159" s="17">
        <f>CT159*VLOOKUP('Données projet'!$B$13,Paramètres!$A$1:$I$89,3,0)*VLOOKUP('Données projet'!$B$13,Paramètres!$A$1:$I$89,5,0)</f>
        <v>-1.1173142411280423E-13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255.09913504736693</v>
      </c>
      <c r="CZ159" s="59">
        <f t="shared" si="150"/>
        <v>248.42617382406644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13.511669576280713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13.511669576280713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-5.1159076974727213E-13</v>
      </c>
      <c r="DP159" s="17">
        <f>DO159*VLOOKUP('Données projet'!$B$14,Paramètres!$A$1:$I$89,3,0)*VLOOKUP('Données projet'!$B$14,Paramètres!$A$1:$I$89,5,0)</f>
        <v>-5.8259956858819351E-13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459.67331926893809</v>
      </c>
      <c r="DU159" s="59">
        <f t="shared" si="152"/>
        <v>280.33242658375497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76.742247284656742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76.742247284656742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264.08053957457469</v>
      </c>
      <c r="EP159" s="59">
        <f t="shared" si="154"/>
        <v>284.83300065761051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24.208350383845897</v>
      </c>
      <c r="EW159" s="21">
        <f>EXP(-LN(2)/25)*EW158+(1-EXP(-LN(2)/25))/(LN(2)/25)*Calculateur!ER159*Calculateur!ET159*VLOOKUP('Données projet'!$B$15,Paramètres!$A$1:$I$89,3,0)*0.475*44/12</f>
        <v>1.4749648171358067</v>
      </c>
      <c r="EX159" s="21">
        <f>EXP(-LN(2)/2)*EX158+(1-EXP(-LN(2)/2))/(LN(2)/2)*ER159*EU159*VLOOKUP('Données projet'!$B$15,Paramètres!$A$1:$I$89,3,0)*0.475*44/12</f>
        <v>2.1440376840980448E-13</v>
      </c>
      <c r="EY159" s="22">
        <f t="shared" si="181"/>
        <v>25.683315200981916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166.27444639635013</v>
      </c>
      <c r="FK159" s="59">
        <f t="shared" si="156"/>
        <v>213.60182977243113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14.510477449028244</v>
      </c>
      <c r="FR159" s="21">
        <f>EXP(-LN(2)/25)*FR158+(1-EXP(-LN(2)/25))/(LN(2)/25)*Calculateur!FM159*Calculateur!FO159*VLOOKUP('Données projet'!$B$16,Paramètres!$A$1:$I$89,3,0)*0.475*44/12</f>
        <v>3.2708194175327923</v>
      </c>
      <c r="FS159" s="21">
        <f>EXP(-LN(2)/2)*FS158+(1-EXP(-LN(2)/2))/(LN(2)/2)*FM159*FP159*VLOOKUP('Données projet'!$B$16,Paramètres!$A$1:$I$89,3,0)*0.475*44/12</f>
        <v>6.7323294440442844E-13</v>
      </c>
      <c r="FT159" s="22">
        <f t="shared" si="184"/>
        <v>17.781296866561707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458.37755197712164</v>
      </c>
      <c r="T160" s="59">
        <f t="shared" si="142"/>
        <v>278.21741231699917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89.836409870579644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89.836409870579644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508.60701013958447</v>
      </c>
      <c r="AO160" s="59">
        <f t="shared" si="144"/>
        <v>306.61893266146654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100.67873519978757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100.67873519978757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-1.0818439477588981E-13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291.17074241052887</v>
      </c>
      <c r="BJ160" s="59">
        <f t="shared" si="146"/>
        <v>241.18285512887638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19.486408699437479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19.486408699437479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429.61977776013185</v>
      </c>
      <c r="CE160" s="59">
        <f t="shared" si="148"/>
        <v>261.95434270986385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83.640795396746583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83.640795396746583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-1.7053025658242404E-13</v>
      </c>
      <c r="CU160" s="17">
        <f>CT160*VLOOKUP('Données projet'!$B$13,Paramètres!$A$1:$I$89,3,0)*VLOOKUP('Données projet'!$B$13,Paramètres!$A$1:$I$89,5,0)</f>
        <v>-1.1173142411280423E-13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255.09913504736693</v>
      </c>
      <c r="CZ160" s="59">
        <f t="shared" si="150"/>
        <v>248.42617382406644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13.246713977194529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13.246713977194529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-5.1159076974727213E-13</v>
      </c>
      <c r="DP160" s="17">
        <f>DO160*VLOOKUP('Données projet'!$B$14,Paramètres!$A$1:$I$89,3,0)*VLOOKUP('Données projet'!$B$14,Paramètres!$A$1:$I$89,5,0)</f>
        <v>-5.8259956858819351E-13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459.67331926893809</v>
      </c>
      <c r="DU160" s="59">
        <f t="shared" si="152"/>
        <v>280.33242658375497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75.237378623553539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75.237378623553539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264.08053957457469</v>
      </c>
      <c r="EP160" s="59">
        <f t="shared" si="154"/>
        <v>284.83300065761051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23.733639398454429</v>
      </c>
      <c r="EW160" s="21">
        <f>EXP(-LN(2)/25)*EW159+(1-EXP(-LN(2)/25))/(LN(2)/25)*Calculateur!ER160*Calculateur!ET160*VLOOKUP('Données projet'!$B$15,Paramètres!$A$1:$I$89,3,0)*0.475*44/12</f>
        <v>1.4346318266461995</v>
      </c>
      <c r="EX160" s="21">
        <f>EXP(-LN(2)/2)*EX159+(1-EXP(-LN(2)/2))/(LN(2)/2)*ER160*EU160*VLOOKUP('Données projet'!$B$15,Paramètres!$A$1:$I$89,3,0)*0.475*44/12</f>
        <v>1.5160635855452283E-13</v>
      </c>
      <c r="EY160" s="22">
        <f t="shared" si="181"/>
        <v>25.168271225100781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166.27444639635013</v>
      </c>
      <c r="FK160" s="59">
        <f t="shared" si="156"/>
        <v>213.60182977243113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14.225935836770129</v>
      </c>
      <c r="FR160" s="21">
        <f>EXP(-LN(2)/25)*FR159+(1-EXP(-LN(2)/25))/(LN(2)/25)*Calculateur!FM160*Calculateur!FO160*VLOOKUP('Données projet'!$B$16,Paramètres!$A$1:$I$89,3,0)*0.475*44/12</f>
        <v>3.1813786885554403</v>
      </c>
      <c r="FS160" s="21">
        <f>EXP(-LN(2)/2)*FS159+(1-EXP(-LN(2)/2))/(LN(2)/2)*FM160*FP160*VLOOKUP('Données projet'!$B$16,Paramètres!$A$1:$I$89,3,0)*0.475*44/12</f>
        <v>4.7604758030655729E-13</v>
      </c>
      <c r="FT160" s="22">
        <f t="shared" si="184"/>
        <v>17.407314525326044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458.37755197712164</v>
      </c>
      <c r="T161" s="59">
        <f t="shared" si="142"/>
        <v>278.21741231699917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88.074772667817058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88.074772667817058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508.60701013958447</v>
      </c>
      <c r="AO161" s="59">
        <f t="shared" si="144"/>
        <v>306.61893266146654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98.704486610484679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98.704486610484679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-1.0818439477588981E-13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291.17074241052887</v>
      </c>
      <c r="BJ161" s="59">
        <f t="shared" si="146"/>
        <v>241.18285512887638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19.104292110377219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19.104292110377219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429.61977776013185</v>
      </c>
      <c r="CE161" s="59">
        <f t="shared" si="148"/>
        <v>261.95434270986385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82.000650414864182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82.000650414864182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-1.7053025658242404E-13</v>
      </c>
      <c r="CU161" s="17">
        <f>CT161*VLOOKUP('Données projet'!$B$13,Paramètres!$A$1:$I$89,3,0)*VLOOKUP('Données projet'!$B$13,Paramètres!$A$1:$I$89,5,0)</f>
        <v>-1.1173142411280423E-13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255.09913504736693</v>
      </c>
      <c r="CZ161" s="59">
        <f t="shared" si="150"/>
        <v>248.42617382406644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12.986953995799468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12.986953995799468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-5.1159076974727213E-13</v>
      </c>
      <c r="DP161" s="17">
        <f>DO161*VLOOKUP('Données projet'!$B$14,Paramètres!$A$1:$I$89,3,0)*VLOOKUP('Données projet'!$B$14,Paramètres!$A$1:$I$89,5,0)</f>
        <v>-5.8259956858819351E-13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459.67331926893809</v>
      </c>
      <c r="DU161" s="59">
        <f t="shared" si="152"/>
        <v>280.33242658375497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73.762019519015325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73.762019519015325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264.08053957457469</v>
      </c>
      <c r="EP161" s="59">
        <f t="shared" si="154"/>
        <v>284.83300065761051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23.268237205941375</v>
      </c>
      <c r="EW161" s="21">
        <f>EXP(-LN(2)/25)*EW160+(1-EXP(-LN(2)/25))/(LN(2)/25)*Calculateur!ER161*Calculateur!ET161*VLOOKUP('Données projet'!$B$15,Paramètres!$A$1:$I$89,3,0)*0.475*44/12</f>
        <v>1.3954017439025503</v>
      </c>
      <c r="EX161" s="21">
        <f>EXP(-LN(2)/2)*EX160+(1-EXP(-LN(2)/2))/(LN(2)/2)*ER161*EU161*VLOOKUP('Données projet'!$B$15,Paramètres!$A$1:$I$89,3,0)*0.475*44/12</f>
        <v>1.0720188420490224E-13</v>
      </c>
      <c r="EY161" s="22">
        <f t="shared" si="181"/>
        <v>24.663638949844032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166.27444639635013</v>
      </c>
      <c r="FK161" s="59">
        <f t="shared" si="156"/>
        <v>213.60182977243113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13.946973911975148</v>
      </c>
      <c r="FR161" s="21">
        <f>EXP(-LN(2)/25)*FR160+(1-EXP(-LN(2)/25))/(LN(2)/25)*Calculateur!FM161*Calculateur!FO161*VLOOKUP('Données projet'!$B$16,Paramètres!$A$1:$I$89,3,0)*0.475*44/12</f>
        <v>3.0943837210154577</v>
      </c>
      <c r="FS161" s="21">
        <f>EXP(-LN(2)/2)*FS160+(1-EXP(-LN(2)/2))/(LN(2)/2)*FM161*FP161*VLOOKUP('Données projet'!$B$16,Paramètres!$A$1:$I$89,3,0)*0.475*44/12</f>
        <v>3.3661647220221422E-13</v>
      </c>
      <c r="FT161" s="22">
        <f t="shared" si="184"/>
        <v>17.041357632990941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458.37755197712164</v>
      </c>
      <c r="T162" s="59">
        <f t="shared" si="142"/>
        <v>278.21741231699917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86.34768009610805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86.34768009610805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508.60701013958447</v>
      </c>
      <c r="AO162" s="59">
        <f t="shared" si="144"/>
        <v>306.61893266146654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96.768951831845271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96.768951831845271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-1.0818439477588981E-13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291.17074241052887</v>
      </c>
      <c r="BJ162" s="59">
        <f t="shared" si="146"/>
        <v>241.18285512887638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18.729668594560323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18.729668594560323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429.61977776013185</v>
      </c>
      <c r="CE162" s="59">
        <f t="shared" si="148"/>
        <v>261.95434270986385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80.392667675686837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80.392667675686837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-1.7053025658242404E-13</v>
      </c>
      <c r="CU162" s="17">
        <f>CT162*VLOOKUP('Données projet'!$B$13,Paramètres!$A$1:$I$89,3,0)*VLOOKUP('Données projet'!$B$13,Paramètres!$A$1:$I$89,5,0)</f>
        <v>-1.1173142411280423E-13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255.09913504736693</v>
      </c>
      <c r="CZ162" s="59">
        <f t="shared" si="150"/>
        <v>248.42617382406644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12.732287749201618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12.732287749201618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-5.1159076974727213E-13</v>
      </c>
      <c r="DP162" s="17">
        <f>DO162*VLOOKUP('Données projet'!$B$14,Paramètres!$A$1:$I$89,3,0)*VLOOKUP('Données projet'!$B$14,Paramètres!$A$1:$I$89,5,0)</f>
        <v>-5.8259956858819351E-13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459.67331926893809</v>
      </c>
      <c r="DU162" s="59">
        <f t="shared" si="152"/>
        <v>280.33242658375497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72.315591306636904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72.315591306636904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264.08053957457469</v>
      </c>
      <c r="EP162" s="59">
        <f t="shared" si="154"/>
        <v>284.83300065761051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22.811961266556196</v>
      </c>
      <c r="EW162" s="21">
        <f>EXP(-LN(2)/25)*EW161+(1-EXP(-LN(2)/25))/(LN(2)/25)*Calculateur!ER162*Calculateur!ET162*VLOOKUP('Données projet'!$B$15,Paramètres!$A$1:$I$89,3,0)*0.475*44/12</f>
        <v>1.3572444098345466</v>
      </c>
      <c r="EX162" s="21">
        <f>EXP(-LN(2)/2)*EX161+(1-EXP(-LN(2)/2))/(LN(2)/2)*ER162*EU162*VLOOKUP('Données projet'!$B$15,Paramètres!$A$1:$I$89,3,0)*0.475*44/12</f>
        <v>7.5803179277261414E-14</v>
      </c>
      <c r="EY162" s="22">
        <f t="shared" si="181"/>
        <v>24.169205676390817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166.27444639635013</v>
      </c>
      <c r="FK162" s="59">
        <f t="shared" si="156"/>
        <v>213.60182977243113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13.673482260375422</v>
      </c>
      <c r="FR162" s="21">
        <f>EXP(-LN(2)/25)*FR161+(1-EXP(-LN(2)/25))/(LN(2)/25)*Calculateur!FM162*Calculateur!FO162*VLOOKUP('Données projet'!$B$16,Paramètres!$A$1:$I$89,3,0)*0.475*44/12</f>
        <v>3.0097676354377225</v>
      </c>
      <c r="FS162" s="21">
        <f>EXP(-LN(2)/2)*FS161+(1-EXP(-LN(2)/2))/(LN(2)/2)*FM162*FP162*VLOOKUP('Données projet'!$B$16,Paramètres!$A$1:$I$89,3,0)*0.475*44/12</f>
        <v>2.3802379015327864E-13</v>
      </c>
      <c r="FT162" s="22">
        <f t="shared" si="184"/>
        <v>16.683249895813383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458.37755197712164</v>
      </c>
      <c r="T163" s="59">
        <f t="shared" si="142"/>
        <v>278.21741231699917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84.6544547563078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84.6544547563078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508.60701013958447</v>
      </c>
      <c r="AO163" s="59">
        <f t="shared" si="144"/>
        <v>306.61893266146654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94.871371709655349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94.871371709655349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-1.0818439477588981E-13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291.17074241052887</v>
      </c>
      <c r="BJ163" s="59">
        <f t="shared" si="146"/>
        <v>241.18285512887638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18.362391217390815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18.362391217390815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429.61977776013185</v>
      </c>
      <c r="CE163" s="59">
        <f t="shared" si="148"/>
        <v>261.95434270986385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78.816216497252128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78.816216497252128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-1.7053025658242404E-13</v>
      </c>
      <c r="CU163" s="17">
        <f>CT163*VLOOKUP('Données projet'!$B$13,Paramètres!$A$1:$I$89,3,0)*VLOOKUP('Données projet'!$B$13,Paramètres!$A$1:$I$89,5,0)</f>
        <v>-1.1173142411280423E-13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255.09913504736693</v>
      </c>
      <c r="CZ163" s="59">
        <f t="shared" si="150"/>
        <v>248.42617382406644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12.482615352368478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12.482615352368478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-5.1159076974727213E-13</v>
      </c>
      <c r="DP163" s="17">
        <f>DO163*VLOOKUP('Données projet'!$B$14,Paramètres!$A$1:$I$89,3,0)*VLOOKUP('Données projet'!$B$14,Paramètres!$A$1:$I$89,5,0)</f>
        <v>-5.8259956858819351E-13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459.67331926893809</v>
      </c>
      <c r="DU163" s="59">
        <f t="shared" si="152"/>
        <v>280.33242658375497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70.897526669269126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70.897526669269126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264.08053957457469</v>
      </c>
      <c r="EP163" s="59">
        <f t="shared" si="154"/>
        <v>284.83300065761051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22.364632620041515</v>
      </c>
      <c r="EW163" s="21">
        <f>EXP(-LN(2)/25)*EW162+(1-EXP(-LN(2)/25))/(LN(2)/25)*Calculateur!ER163*Calculateur!ET163*VLOOKUP('Données projet'!$B$15,Paramètres!$A$1:$I$89,3,0)*0.475*44/12</f>
        <v>1.3201304900732396</v>
      </c>
      <c r="EX163" s="21">
        <f>EXP(-LN(2)/2)*EX162+(1-EXP(-LN(2)/2))/(LN(2)/2)*ER163*EU163*VLOOKUP('Données projet'!$B$15,Paramètres!$A$1:$I$89,3,0)*0.475*44/12</f>
        <v>5.3600942102451121E-14</v>
      </c>
      <c r="EY163" s="22">
        <f t="shared" si="181"/>
        <v>23.684763110114808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166.27444639635013</v>
      </c>
      <c r="FK163" s="59">
        <f t="shared" si="156"/>
        <v>213.60182977243113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13.405353613250133</v>
      </c>
      <c r="FR163" s="21">
        <f>EXP(-LN(2)/25)*FR162+(1-EXP(-LN(2)/25))/(LN(2)/25)*Calculateur!FM163*Calculateur!FO163*VLOOKUP('Données projet'!$B$16,Paramètres!$A$1:$I$89,3,0)*0.475*44/12</f>
        <v>2.9274653811698768</v>
      </c>
      <c r="FS163" s="21">
        <f>EXP(-LN(2)/2)*FS162+(1-EXP(-LN(2)/2))/(LN(2)/2)*FM163*FP163*VLOOKUP('Données projet'!$B$16,Paramètres!$A$1:$I$89,3,0)*0.475*44/12</f>
        <v>1.6830823610110711E-13</v>
      </c>
      <c r="FT163" s="22">
        <f t="shared" si="184"/>
        <v>16.332818994420176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458.37755197712164</v>
      </c>
      <c r="T164" s="59">
        <f t="shared" si="142"/>
        <v>278.21741231699917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82.994432532655566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82.994432532655566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508.60701013958447</v>
      </c>
      <c r="AO164" s="59">
        <f t="shared" si="144"/>
        <v>306.61893266146654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93.011001976251976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93.011001976251976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-1.0818439477588981E-13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291.17074241052887</v>
      </c>
      <c r="BJ164" s="59">
        <f t="shared" si="146"/>
        <v>241.18285512887638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18.002315925570521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18.002315925570521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429.61977776013185</v>
      </c>
      <c r="CE164" s="59">
        <f t="shared" si="148"/>
        <v>261.95434270986385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77.270678564886254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77.270678564886254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-1.7053025658242404E-13</v>
      </c>
      <c r="CU164" s="17">
        <f>CT164*VLOOKUP('Données projet'!$B$13,Paramètres!$A$1:$I$89,3,0)*VLOOKUP('Données projet'!$B$13,Paramètres!$A$1:$I$89,5,0)</f>
        <v>-1.1173142411280423E-13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255.09913504736693</v>
      </c>
      <c r="CZ164" s="59">
        <f t="shared" si="150"/>
        <v>248.42617382406644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12.237838878952113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12.237838878952113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-5.1159076974727213E-13</v>
      </c>
      <c r="DP164" s="17">
        <f>DO164*VLOOKUP('Données projet'!$B$14,Paramètres!$A$1:$I$89,3,0)*VLOOKUP('Données projet'!$B$14,Paramètres!$A$1:$I$89,5,0)</f>
        <v>-5.8259956858819351E-13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459.67331926893809</v>
      </c>
      <c r="DU164" s="59">
        <f t="shared" si="152"/>
        <v>280.33242658375497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69.507269414506112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69.507269414506112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264.08053957457469</v>
      </c>
      <c r="EP164" s="59">
        <f t="shared" si="154"/>
        <v>284.83300065761051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21.926075815441454</v>
      </c>
      <c r="EW164" s="21">
        <f>EXP(-LN(2)/25)*EW163+(1-EXP(-LN(2)/25))/(LN(2)/25)*Calculateur!ER164*Calculateur!ET164*VLOOKUP('Données projet'!$B$15,Paramètres!$A$1:$I$89,3,0)*0.475*44/12</f>
        <v>1.2840314523995415</v>
      </c>
      <c r="EX164" s="21">
        <f>EXP(-LN(2)/2)*EX163+(1-EXP(-LN(2)/2))/(LN(2)/2)*ER164*EU164*VLOOKUP('Données projet'!$B$15,Paramètres!$A$1:$I$89,3,0)*0.475*44/12</f>
        <v>3.7901589638630707E-14</v>
      </c>
      <c r="EY164" s="22">
        <f t="shared" si="181"/>
        <v>23.210107267841035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166.27444639635013</v>
      </c>
      <c r="FK164" s="59">
        <f t="shared" si="156"/>
        <v>213.60182977243113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13.142482805352644</v>
      </c>
      <c r="FR164" s="21">
        <f>EXP(-LN(2)/25)*FR163+(1-EXP(-LN(2)/25))/(LN(2)/25)*Calculateur!FM164*Calculateur!FO164*VLOOKUP('Données projet'!$B$16,Paramètres!$A$1:$I$89,3,0)*0.475*44/12</f>
        <v>2.847413686373073</v>
      </c>
      <c r="FS164" s="21">
        <f>EXP(-LN(2)/2)*FS163+(1-EXP(-LN(2)/2))/(LN(2)/2)*FM164*FP164*VLOOKUP('Données projet'!$B$16,Paramètres!$A$1:$I$89,3,0)*0.475*44/12</f>
        <v>1.1901189507663932E-13</v>
      </c>
      <c r="FT164" s="22">
        <f t="shared" si="184"/>
        <v>15.989896491725837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458.37755197712164</v>
      </c>
      <c r="T165" s="59">
        <f t="shared" si="142"/>
        <v>278.21741231699917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81.366962332295572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81.366962332295572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508.60701013958447</v>
      </c>
      <c r="AO165" s="59">
        <f t="shared" si="144"/>
        <v>306.61893266146654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91.187112958607145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91.187112958607145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-1.0818439477588981E-13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291.17074241052887</v>
      </c>
      <c r="BJ165" s="59">
        <f t="shared" si="146"/>
        <v>241.18285512887638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17.649301490598582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17.649301490598582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429.61977776013185</v>
      </c>
      <c r="CE165" s="59">
        <f t="shared" si="148"/>
        <v>261.95434270986385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75.755447688689017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75.755447688689017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-1.7053025658242404E-13</v>
      </c>
      <c r="CU165" s="17">
        <f>CT165*VLOOKUP('Données projet'!$B$13,Paramètres!$A$1:$I$89,3,0)*VLOOKUP('Données projet'!$B$13,Paramètres!$A$1:$I$89,5,0)</f>
        <v>-1.1173142411280423E-13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255.09913504736693</v>
      </c>
      <c r="CZ165" s="59">
        <f t="shared" si="150"/>
        <v>248.42617382406644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11.997862322880536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11.997862322880536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-5.1159076974727213E-13</v>
      </c>
      <c r="DP165" s="17">
        <f>DO165*VLOOKUP('Données projet'!$B$14,Paramètres!$A$1:$I$89,3,0)*VLOOKUP('Données projet'!$B$14,Paramètres!$A$1:$I$89,5,0)</f>
        <v>-5.8259956858819351E-13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459.67331926893809</v>
      </c>
      <c r="DU165" s="59">
        <f t="shared" si="152"/>
        <v>280.33242658375497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68.144274256535809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68.144274256535809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264.08053957457469</v>
      </c>
      <c r="EP165" s="59">
        <f t="shared" si="154"/>
        <v>284.83300065761051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21.496118842286364</v>
      </c>
      <c r="EW165" s="21">
        <f>EXP(-LN(2)/25)*EW164+(1-EXP(-LN(2)/25))/(LN(2)/25)*Calculateur!ER165*Calculateur!ET165*VLOOKUP('Données projet'!$B$15,Paramètres!$A$1:$I$89,3,0)*0.475*44/12</f>
        <v>1.2489195448093966</v>
      </c>
      <c r="EX165" s="21">
        <f>EXP(-LN(2)/2)*EX164+(1-EXP(-LN(2)/2))/(LN(2)/2)*ER165*EU165*VLOOKUP('Données projet'!$B$15,Paramètres!$A$1:$I$89,3,0)*0.475*44/12</f>
        <v>2.6800471051225561E-14</v>
      </c>
      <c r="EY165" s="22">
        <f t="shared" si="181"/>
        <v>22.745038387095789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166.27444639635013</v>
      </c>
      <c r="FK165" s="59">
        <f t="shared" si="156"/>
        <v>213.60182977243113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12.884766733662664</v>
      </c>
      <c r="FR165" s="21">
        <f>EXP(-LN(2)/25)*FR164+(1-EXP(-LN(2)/25))/(LN(2)/25)*Calculateur!FM165*Calculateur!FO165*VLOOKUP('Données projet'!$B$16,Paramètres!$A$1:$I$89,3,0)*0.475*44/12</f>
        <v>2.7695510093802236</v>
      </c>
      <c r="FS165" s="21">
        <f>EXP(-LN(2)/2)*FS164+(1-EXP(-LN(2)/2))/(LN(2)/2)*FM165*FP165*VLOOKUP('Données projet'!$B$16,Paramètres!$A$1:$I$89,3,0)*0.475*44/12</f>
        <v>8.4154118050553555E-14</v>
      </c>
      <c r="FT165" s="22">
        <f t="shared" si="184"/>
        <v>15.654317743042972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458.37755197712164</v>
      </c>
      <c r="T166" s="59">
        <f t="shared" si="142"/>
        <v>278.21741231699917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79.771405829905831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79.771405829905831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508.60701013958447</v>
      </c>
      <c r="AO166" s="59">
        <f t="shared" si="144"/>
        <v>306.61893266146654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89.39898929213588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89.39898929213588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-1.0818439477588981E-13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291.17074241052887</v>
      </c>
      <c r="BJ166" s="59">
        <f t="shared" si="146"/>
        <v>241.18285512887638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17.303209453378898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17.303209453378898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429.61977776013185</v>
      </c>
      <c r="CE166" s="59">
        <f t="shared" si="148"/>
        <v>261.95434270986385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74.269929565774433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74.269929565774433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-1.7053025658242404E-13</v>
      </c>
      <c r="CU166" s="17">
        <f>CT166*VLOOKUP('Données projet'!$B$13,Paramètres!$A$1:$I$89,3,0)*VLOOKUP('Données projet'!$B$13,Paramètres!$A$1:$I$89,5,0)</f>
        <v>-1.1173142411280423E-13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255.09913504736693</v>
      </c>
      <c r="CZ166" s="59">
        <f t="shared" si="150"/>
        <v>248.42617382406644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11.762591560702276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11.762591560702276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-5.1159076974727213E-13</v>
      </c>
      <c r="DP166" s="17">
        <f>DO166*VLOOKUP('Données projet'!$B$14,Paramètres!$A$1:$I$89,3,0)*VLOOKUP('Données projet'!$B$14,Paramètres!$A$1:$I$89,5,0)</f>
        <v>-5.8259956858819351E-13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459.67331926893809</v>
      </c>
      <c r="DU166" s="59">
        <f t="shared" si="152"/>
        <v>280.33242658375497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66.80800660226835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66.80800660226835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264.08053957457469</v>
      </c>
      <c r="EP166" s="59">
        <f t="shared" si="154"/>
        <v>284.83300065761051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21.074593063126986</v>
      </c>
      <c r="EW166" s="21">
        <f>EXP(-LN(2)/25)*EW165+(1-EXP(-LN(2)/25))/(LN(2)/25)*Calculateur!ER166*Calculateur!ET166*VLOOKUP('Données projet'!$B$15,Paramètres!$A$1:$I$89,3,0)*0.475*44/12</f>
        <v>1.2147677741787593</v>
      </c>
      <c r="EX166" s="21">
        <f>EXP(-LN(2)/2)*EX165+(1-EXP(-LN(2)/2))/(LN(2)/2)*ER166*EU166*VLOOKUP('Données projet'!$B$15,Paramètres!$A$1:$I$89,3,0)*0.475*44/12</f>
        <v>1.8950794819315353E-14</v>
      </c>
      <c r="EY166" s="22">
        <f t="shared" si="181"/>
        <v>22.289360837305765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166.27444639635013</v>
      </c>
      <c r="FK166" s="59">
        <f t="shared" si="156"/>
        <v>213.60182977243113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12.632104316947242</v>
      </c>
      <c r="FR166" s="21">
        <f>EXP(-LN(2)/25)*FR165+(1-EXP(-LN(2)/25))/(LN(2)/25)*Calculateur!FM166*Calculateur!FO166*VLOOKUP('Données projet'!$B$16,Paramètres!$A$1:$I$89,3,0)*0.475*44/12</f>
        <v>2.6938174913843635</v>
      </c>
      <c r="FS166" s="21">
        <f>EXP(-LN(2)/2)*FS165+(1-EXP(-LN(2)/2))/(LN(2)/2)*FM166*FP166*VLOOKUP('Données projet'!$B$16,Paramètres!$A$1:$I$89,3,0)*0.475*44/12</f>
        <v>5.9505947538319661E-14</v>
      </c>
      <c r="FT166" s="22">
        <f t="shared" si="184"/>
        <v>15.325921808331664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458.37755197712164</v>
      </c>
      <c r="T167" s="59">
        <f t="shared" si="142"/>
        <v>278.21741231699917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78.207137217334576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78.207137217334576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508.60701013958447</v>
      </c>
      <c r="AO167" s="59">
        <f t="shared" si="144"/>
        <v>306.61893266146654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87.645929640116364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87.645929640116364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-1.0818439477588981E-13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291.17074241052887</v>
      </c>
      <c r="BJ167" s="59">
        <f t="shared" si="146"/>
        <v>241.18285512887638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16.963904069913792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16.963904069913792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429.61977776013185</v>
      </c>
      <c r="CE167" s="59">
        <f t="shared" si="148"/>
        <v>261.95434270986385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72.813541547173614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72.813541547173614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-1.7053025658242404E-13</v>
      </c>
      <c r="CU167" s="17">
        <f>CT167*VLOOKUP('Données projet'!$B$13,Paramètres!$A$1:$I$89,3,0)*VLOOKUP('Données projet'!$B$13,Paramètres!$A$1:$I$89,5,0)</f>
        <v>-1.1173142411280423E-13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255.09913504736693</v>
      </c>
      <c r="CZ167" s="59">
        <f t="shared" si="150"/>
        <v>248.42617382406644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11.531934314669336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11.531934314669336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-5.1159076974727213E-13</v>
      </c>
      <c r="DP167" s="17">
        <f>DO167*VLOOKUP('Données projet'!$B$14,Paramètres!$A$1:$I$89,3,0)*VLOOKUP('Données projet'!$B$14,Paramètres!$A$1:$I$89,5,0)</f>
        <v>-5.8259956858819351E-13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459.67331926893809</v>
      </c>
      <c r="DU167" s="59">
        <f t="shared" si="152"/>
        <v>280.33242658375497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65.497942341658273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65.497942341658273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264.08053957457469</v>
      </c>
      <c r="EP167" s="59">
        <f t="shared" si="154"/>
        <v>284.83300065761051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20.661333147391584</v>
      </c>
      <c r="EW167" s="21">
        <f>EXP(-LN(2)/25)*EW166+(1-EXP(-LN(2)/25))/(LN(2)/25)*Calculateur!ER167*Calculateur!ET167*VLOOKUP('Données projet'!$B$15,Paramètres!$A$1:$I$89,3,0)*0.475*44/12</f>
        <v>1.1815498855119801</v>
      </c>
      <c r="EX167" s="21">
        <f>EXP(-LN(2)/2)*EX166+(1-EXP(-LN(2)/2))/(LN(2)/2)*ER167*EU167*VLOOKUP('Données projet'!$B$15,Paramètres!$A$1:$I$89,3,0)*0.475*44/12</f>
        <v>1.340023552561278E-14</v>
      </c>
      <c r="EY167" s="22">
        <f t="shared" si="181"/>
        <v>21.842883032903579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166.27444639635013</v>
      </c>
      <c r="FK167" s="59">
        <f t="shared" si="156"/>
        <v>213.60182977243113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12.384396456114752</v>
      </c>
      <c r="FR167" s="21">
        <f>EXP(-LN(2)/25)*FR166+(1-EXP(-LN(2)/25))/(LN(2)/25)*Calculateur!FM167*Calculateur!FO167*VLOOKUP('Données projet'!$B$16,Paramètres!$A$1:$I$89,3,0)*0.475*44/12</f>
        <v>2.6201549104207529</v>
      </c>
      <c r="FS167" s="21">
        <f>EXP(-LN(2)/2)*FS166+(1-EXP(-LN(2)/2))/(LN(2)/2)*FM167*FP167*VLOOKUP('Données projet'!$B$16,Paramètres!$A$1:$I$89,3,0)*0.475*44/12</f>
        <v>4.2077059025276777E-14</v>
      </c>
      <c r="FT167" s="22">
        <f t="shared" si="184"/>
        <v>15.004551366535548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458.37755197712164</v>
      </c>
      <c r="T168" s="59">
        <f t="shared" si="142"/>
        <v>278.21741231699917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76.6735429581462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76.6735429581462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508.60701013958447</v>
      </c>
      <c r="AO168" s="59">
        <f t="shared" si="144"/>
        <v>306.61893266146654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85.927246418612157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85.927246418612157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-1.0818439477588981E-13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291.17074241052887</v>
      </c>
      <c r="BJ168" s="59">
        <f t="shared" si="146"/>
        <v>241.18285512887638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16.631252258062588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16.631252258062588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429.61977776013185</v>
      </c>
      <c r="CE168" s="59">
        <f t="shared" si="148"/>
        <v>261.95434270986385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71.385712409308582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71.385712409308582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-1.7053025658242404E-13</v>
      </c>
      <c r="CU168" s="17">
        <f>CT168*VLOOKUP('Données projet'!$B$13,Paramètres!$A$1:$I$89,3,0)*VLOOKUP('Données projet'!$B$13,Paramètres!$A$1:$I$89,5,0)</f>
        <v>-1.1173142411280423E-13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255.09913504736693</v>
      </c>
      <c r="CZ168" s="59">
        <f t="shared" si="150"/>
        <v>248.42617382406644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11.305800116544074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11.305800116544074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-5.1159076974727213E-13</v>
      </c>
      <c r="DP168" s="17">
        <f>DO168*VLOOKUP('Données projet'!$B$14,Paramètres!$A$1:$I$89,3,0)*VLOOKUP('Données projet'!$B$14,Paramètres!$A$1:$I$89,5,0)</f>
        <v>-5.8259956858819351E-13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459.67331926893809</v>
      </c>
      <c r="DU168" s="59">
        <f t="shared" si="152"/>
        <v>280.33242658375497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64.213567642138472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64.213567642138472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264.08053957457469</v>
      </c>
      <c r="EP168" s="59">
        <f t="shared" si="154"/>
        <v>284.83300065761051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20.256177006540096</v>
      </c>
      <c r="EW168" s="21">
        <f>EXP(-LN(2)/25)*EW167+(1-EXP(-LN(2)/25))/(LN(2)/25)*Calculateur!ER168*Calculateur!ET168*VLOOKUP('Données projet'!$B$15,Paramètres!$A$1:$I$89,3,0)*0.475*44/12</f>
        <v>1.1492403417576471</v>
      </c>
      <c r="EX168" s="21">
        <f>EXP(-LN(2)/2)*EX167+(1-EXP(-LN(2)/2))/(LN(2)/2)*ER168*EU168*VLOOKUP('Données projet'!$B$15,Paramètres!$A$1:$I$89,3,0)*0.475*44/12</f>
        <v>9.4753974096576767E-15</v>
      </c>
      <c r="EY168" s="22">
        <f t="shared" si="181"/>
        <v>21.405417348297753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166.27444639635013</v>
      </c>
      <c r="FK168" s="59">
        <f t="shared" si="156"/>
        <v>213.60182977243113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12.141545995346311</v>
      </c>
      <c r="FR168" s="21">
        <f>EXP(-LN(2)/25)*FR167+(1-EXP(-LN(2)/25))/(LN(2)/25)*Calculateur!FM168*Calculateur!FO168*VLOOKUP('Données projet'!$B$16,Paramètres!$A$1:$I$89,3,0)*0.475*44/12</f>
        <v>2.548506636607339</v>
      </c>
      <c r="FS168" s="21">
        <f>EXP(-LN(2)/2)*FS167+(1-EXP(-LN(2)/2))/(LN(2)/2)*FM168*FP168*VLOOKUP('Données projet'!$B$16,Paramètres!$A$1:$I$89,3,0)*0.475*44/12</f>
        <v>2.975297376915983E-14</v>
      </c>
      <c r="FT168" s="22">
        <f t="shared" si="184"/>
        <v>14.69005263195368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458.37755197712164</v>
      </c>
      <c r="T169" s="59">
        <f t="shared" si="142"/>
        <v>278.21741231699917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75.170021546980379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75.170021546980379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508.60701013958447</v>
      </c>
      <c r="AO169" s="59">
        <f t="shared" si="144"/>
        <v>306.61893266146654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84.242265526788387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84.242265526788387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-1.0818439477588981E-13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291.17074241052887</v>
      </c>
      <c r="BJ169" s="59">
        <f t="shared" si="146"/>
        <v>241.18285512887638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16.305123545344216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16.305123545344216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429.61977776013185</v>
      </c>
      <c r="CE169" s="59">
        <f t="shared" si="148"/>
        <v>261.95434270986385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69.985882129947299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69.985882129947299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-1.7053025658242404E-13</v>
      </c>
      <c r="CU169" s="17">
        <f>CT169*VLOOKUP('Données projet'!$B$13,Paramètres!$A$1:$I$89,3,0)*VLOOKUP('Données projet'!$B$13,Paramètres!$A$1:$I$89,5,0)</f>
        <v>-1.1173142411280423E-13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255.09913504736693</v>
      </c>
      <c r="CZ169" s="59">
        <f t="shared" si="150"/>
        <v>248.42617382406644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11.084100272115807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11.084100272115807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-5.1159076974727213E-13</v>
      </c>
      <c r="DP169" s="17">
        <f>DO169*VLOOKUP('Données projet'!$B$14,Paramètres!$A$1:$I$89,3,0)*VLOOKUP('Données projet'!$B$14,Paramètres!$A$1:$I$89,5,0)</f>
        <v>-5.8259956858819351E-13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459.67331926893809</v>
      </c>
      <c r="DU169" s="59">
        <f t="shared" si="152"/>
        <v>280.33242658375497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62.954378747085038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62.954378747085038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264.08053957457469</v>
      </c>
      <c r="EP169" s="59">
        <f t="shared" si="154"/>
        <v>284.83300065761051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19.85896573048986</v>
      </c>
      <c r="EW169" s="21">
        <f>EXP(-LN(2)/25)*EW168+(1-EXP(-LN(2)/25))/(LN(2)/25)*Calculateur!ER169*Calculateur!ET169*VLOOKUP('Données projet'!$B$15,Paramètres!$A$1:$I$89,3,0)*0.475*44/12</f>
        <v>1.1178143041763613</v>
      </c>
      <c r="EX169" s="21">
        <f>EXP(-LN(2)/2)*EX168+(1-EXP(-LN(2)/2))/(LN(2)/2)*ER169*EU169*VLOOKUP('Données projet'!$B$15,Paramètres!$A$1:$I$89,3,0)*0.475*44/12</f>
        <v>6.7001177628063901E-15</v>
      </c>
      <c r="EY169" s="22">
        <f t="shared" si="181"/>
        <v>20.976780034666227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166.27444639635013</v>
      </c>
      <c r="FK169" s="59">
        <f t="shared" si="156"/>
        <v>213.60182977243113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11.903457683989384</v>
      </c>
      <c r="FR169" s="21">
        <f>EXP(-LN(2)/25)*FR168+(1-EXP(-LN(2)/25))/(LN(2)/25)*Calculateur!FM169*Calculateur!FO169*VLOOKUP('Données projet'!$B$16,Paramètres!$A$1:$I$89,3,0)*0.475*44/12</f>
        <v>2.4788175886091719</v>
      </c>
      <c r="FS169" s="21">
        <f>EXP(-LN(2)/2)*FS168+(1-EXP(-LN(2)/2))/(LN(2)/2)*FM169*FP169*VLOOKUP('Données projet'!$B$16,Paramètres!$A$1:$I$89,3,0)*0.475*44/12</f>
        <v>2.1038529512638389E-14</v>
      </c>
      <c r="FT169" s="22">
        <f t="shared" si="184"/>
        <v>14.382275272598577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458.37755197712164</v>
      </c>
      <c r="T170" s="59">
        <f t="shared" si="142"/>
        <v>278.21741231699917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73.695983273630006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73.695983273630006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508.60701013958447</v>
      </c>
      <c r="AO170" s="59">
        <f t="shared" si="144"/>
        <v>306.61893266146654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82.590326082516412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82.590326082516412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-1.0818439477588981E-13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291.17074241052887</v>
      </c>
      <c r="BJ170" s="59">
        <f t="shared" si="146"/>
        <v>241.18285512887638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15.985390017763377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15.985390017763377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429.61977776013185</v>
      </c>
      <c r="CE170" s="59">
        <f t="shared" si="148"/>
        <v>261.95434270986385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68.613501668552118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68.613501668552118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-1.7053025658242404E-13</v>
      </c>
      <c r="CU170" s="17">
        <f>CT170*VLOOKUP('Données projet'!$B$13,Paramètres!$A$1:$I$89,3,0)*VLOOKUP('Données projet'!$B$13,Paramètres!$A$1:$I$89,5,0)</f>
        <v>-1.1173142411280423E-13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255.09913504736693</v>
      </c>
      <c r="CZ170" s="59">
        <f t="shared" si="150"/>
        <v>248.42617382406644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10.866747826413224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10.866747826413224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-5.1159076974727213E-13</v>
      </c>
      <c r="DP170" s="17">
        <f>DO170*VLOOKUP('Données projet'!$B$14,Paramètres!$A$1:$I$89,3,0)*VLOOKUP('Données projet'!$B$14,Paramètres!$A$1:$I$89,5,0)</f>
        <v>-5.8259956858819351E-13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459.67331926893809</v>
      </c>
      <c r="DU170" s="59">
        <f t="shared" si="152"/>
        <v>280.33242658375497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61.71988177823421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61.71988177823421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264.08053957457469</v>
      </c>
      <c r="EP170" s="59">
        <f t="shared" si="154"/>
        <v>284.83300065761051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19.469543525288014</v>
      </c>
      <c r="EW170" s="21">
        <f>EXP(-LN(2)/25)*EW169+(1-EXP(-LN(2)/25))/(LN(2)/25)*Calculateur!ER170*Calculateur!ET170*VLOOKUP('Données projet'!$B$15,Paramètres!$A$1:$I$89,3,0)*0.475*44/12</f>
        <v>1.0872476132453592</v>
      </c>
      <c r="EX170" s="21">
        <f>EXP(-LN(2)/2)*EX169+(1-EXP(-LN(2)/2))/(LN(2)/2)*ER170*EU170*VLOOKUP('Données projet'!$B$15,Paramètres!$A$1:$I$89,3,0)*0.475*44/12</f>
        <v>4.7376987048288384E-15</v>
      </c>
      <c r="EY170" s="22">
        <f t="shared" si="181"/>
        <v>20.556791138533377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166.27444639635013</v>
      </c>
      <c r="FK170" s="59">
        <f t="shared" si="156"/>
        <v>213.60182977243113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11.670038139198635</v>
      </c>
      <c r="FR170" s="21">
        <f>EXP(-LN(2)/25)*FR169+(1-EXP(-LN(2)/25))/(LN(2)/25)*Calculateur!FM170*Calculateur!FO170*VLOOKUP('Données projet'!$B$16,Paramètres!$A$1:$I$89,3,0)*0.475*44/12</f>
        <v>2.4110341912933024</v>
      </c>
      <c r="FS170" s="21">
        <f>EXP(-LN(2)/2)*FS169+(1-EXP(-LN(2)/2))/(LN(2)/2)*FM170*FP170*VLOOKUP('Données projet'!$B$16,Paramètres!$A$1:$I$89,3,0)*0.475*44/12</f>
        <v>1.4876486884579915E-14</v>
      </c>
      <c r="FT170" s="22">
        <f t="shared" si="184"/>
        <v>14.081072330491951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458.37755197712164</v>
      </c>
      <c r="T171" s="59">
        <f t="shared" si="142"/>
        <v>278.21741231699917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72.250849991745469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72.250849991745469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508.60701013958447</v>
      </c>
      <c r="AO171" s="59">
        <f t="shared" si="144"/>
        <v>306.61893266146654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80.970780163163042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80.970780163163042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-1.0818439477588981E-13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291.17074241052887</v>
      </c>
      <c r="BJ171" s="59">
        <f t="shared" si="146"/>
        <v>241.18285512887638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15.671926269640203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15.671926269640203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429.61977776013185</v>
      </c>
      <c r="CE171" s="59">
        <f t="shared" si="148"/>
        <v>261.95434270986385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67.268032750935475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67.268032750935475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-1.7053025658242404E-13</v>
      </c>
      <c r="CU171" s="17">
        <f>CT171*VLOOKUP('Données projet'!$B$13,Paramètres!$A$1:$I$89,3,0)*VLOOKUP('Données projet'!$B$13,Paramètres!$A$1:$I$89,5,0)</f>
        <v>-1.1173142411280423E-13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255.09913504736693</v>
      </c>
      <c r="CZ171" s="59">
        <f t="shared" si="150"/>
        <v>248.42617382406644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10.653657529598968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10.653657529598968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-5.1159076974727213E-13</v>
      </c>
      <c r="DP171" s="17">
        <f>DO171*VLOOKUP('Données projet'!$B$14,Paramètres!$A$1:$I$89,3,0)*VLOOKUP('Données projet'!$B$14,Paramètres!$A$1:$I$89,5,0)</f>
        <v>-5.8259956858819351E-13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459.67331926893809</v>
      </c>
      <c r="DU171" s="59">
        <f t="shared" si="152"/>
        <v>280.33242658375497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60.509592541973745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60.509592541973745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264.08053957457469</v>
      </c>
      <c r="EP171" s="59">
        <f t="shared" si="154"/>
        <v>284.83300065761051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19.087757652006083</v>
      </c>
      <c r="EW171" s="21">
        <f>EXP(-LN(2)/25)*EW170+(1-EXP(-LN(2)/25))/(LN(2)/25)*Calculateur!ER171*Calculateur!ET171*VLOOKUP('Données projet'!$B$15,Paramètres!$A$1:$I$89,3,0)*0.475*44/12</f>
        <v>1.0575167700852979</v>
      </c>
      <c r="EX171" s="21">
        <f>EXP(-LN(2)/2)*EX170+(1-EXP(-LN(2)/2))/(LN(2)/2)*ER171*EU171*VLOOKUP('Données projet'!$B$15,Paramètres!$A$1:$I$89,3,0)*0.475*44/12</f>
        <v>3.3500588814031951E-15</v>
      </c>
      <c r="EY171" s="22">
        <f t="shared" si="181"/>
        <v>20.145274422091383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166.27444639635013</v>
      </c>
      <c r="FK171" s="59">
        <f t="shared" si="156"/>
        <v>213.60182977243113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11.441195809309368</v>
      </c>
      <c r="FR171" s="21">
        <f>EXP(-LN(2)/25)*FR170+(1-EXP(-LN(2)/25))/(LN(2)/25)*Calculateur!FM171*Calculateur!FO171*VLOOKUP('Données projet'!$B$16,Paramètres!$A$1:$I$89,3,0)*0.475*44/12</f>
        <v>2.3451043345416096</v>
      </c>
      <c r="FS171" s="21">
        <f>EXP(-LN(2)/2)*FS170+(1-EXP(-LN(2)/2))/(LN(2)/2)*FM171*FP171*VLOOKUP('Données projet'!$B$16,Paramètres!$A$1:$I$89,3,0)*0.475*44/12</f>
        <v>1.0519264756319194E-14</v>
      </c>
      <c r="FT171" s="22">
        <f t="shared" si="184"/>
        <v>13.786300143850989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458.37755197712164</v>
      </c>
      <c r="T172" s="59">
        <f t="shared" si="142"/>
        <v>278.21741231699917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70.83405489207442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70.83405489207442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508.60701013958447</v>
      </c>
      <c r="AO172" s="59">
        <f t="shared" si="144"/>
        <v>306.61893266146654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79.382992551462721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79.382992551462721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-1.0818439477588981E-13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291.17074241052887</v>
      </c>
      <c r="BJ172" s="59">
        <f t="shared" si="146"/>
        <v>241.18285512887638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15.364609354423717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15.364609354423717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429.61977776013185</v>
      </c>
      <c r="CE172" s="59">
        <f t="shared" si="148"/>
        <v>261.95434270986385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65.94894765813828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65.94894765813828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-1.7053025658242404E-13</v>
      </c>
      <c r="CU172" s="17">
        <f>CT172*VLOOKUP('Données projet'!$B$13,Paramètres!$A$1:$I$89,3,0)*VLOOKUP('Données projet'!$B$13,Paramètres!$A$1:$I$89,5,0)</f>
        <v>-1.1173142411280423E-13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255.09913504736693</v>
      </c>
      <c r="CZ172" s="59">
        <f t="shared" si="150"/>
        <v>248.42617382406644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10.444745803532992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10.444745803532992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-5.1159076974727213E-13</v>
      </c>
      <c r="DP172" s="17">
        <f>DO172*VLOOKUP('Données projet'!$B$14,Paramètres!$A$1:$I$89,3,0)*VLOOKUP('Données projet'!$B$14,Paramètres!$A$1:$I$89,5,0)</f>
        <v>-5.8259956858819351E-13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459.67331926893809</v>
      </c>
      <c r="DU172" s="59">
        <f t="shared" si="152"/>
        <v>280.33242658375497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59.323036339432804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59.323036339432804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264.08053957457469</v>
      </c>
      <c r="EP172" s="59">
        <f t="shared" si="154"/>
        <v>284.83300065761051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18.713458366832821</v>
      </c>
      <c r="EW172" s="21">
        <f>EXP(-LN(2)/25)*EW171+(1-EXP(-LN(2)/25))/(LN(2)/25)*Calculateur!ER172*Calculateur!ET172*VLOOKUP('Données projet'!$B$15,Paramètres!$A$1:$I$89,3,0)*0.475*44/12</f>
        <v>1.0285989183949253</v>
      </c>
      <c r="EX172" s="21">
        <f>EXP(-LN(2)/2)*EX171+(1-EXP(-LN(2)/2))/(LN(2)/2)*ER172*EU172*VLOOKUP('Données projet'!$B$15,Paramètres!$A$1:$I$89,3,0)*0.475*44/12</f>
        <v>2.3688493524144192E-15</v>
      </c>
      <c r="EY172" s="22">
        <f t="shared" si="181"/>
        <v>19.742057285227752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166.27444639635013</v>
      </c>
      <c r="FK172" s="59">
        <f t="shared" si="156"/>
        <v>213.60182977243113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11.216840937929192</v>
      </c>
      <c r="FR172" s="21">
        <f>EXP(-LN(2)/25)*FR171+(1-EXP(-LN(2)/25))/(LN(2)/25)*Calculateur!FM172*Calculateur!FO172*VLOOKUP('Données projet'!$B$16,Paramètres!$A$1:$I$89,3,0)*0.475*44/12</f>
        <v>2.2809773331898922</v>
      </c>
      <c r="FS172" s="21">
        <f>EXP(-LN(2)/2)*FS171+(1-EXP(-LN(2)/2))/(LN(2)/2)*FM172*FP172*VLOOKUP('Données projet'!$B$16,Paramètres!$A$1:$I$89,3,0)*0.475*44/12</f>
        <v>7.4382434422899576E-15</v>
      </c>
      <c r="FT172" s="22">
        <f t="shared" si="184"/>
        <v>13.49781827111909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458.37755197712164</v>
      </c>
      <c r="T173" s="59">
        <f t="shared" si="142"/>
        <v>278.21741231699917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69.445042280148229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69.445042280148229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508.60701013958447</v>
      </c>
      <c r="AO173" s="59">
        <f t="shared" si="144"/>
        <v>306.61893266146654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77.826340486373027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77.826340486373027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-1.0818439477588981E-13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291.17074241052887</v>
      </c>
      <c r="BJ173" s="59">
        <f t="shared" si="146"/>
        <v>241.18285512887638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15.063318736469817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15.063318736469817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429.61977776013185</v>
      </c>
      <c r="CE173" s="59">
        <f t="shared" si="148"/>
        <v>261.95434270986385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64.655729019448387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64.655729019448387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-1.7053025658242404E-13</v>
      </c>
      <c r="CU173" s="17">
        <f>CT173*VLOOKUP('Données projet'!$B$13,Paramètres!$A$1:$I$89,3,0)*VLOOKUP('Données projet'!$B$13,Paramètres!$A$1:$I$89,5,0)</f>
        <v>-1.1173142411280423E-13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255.09913504736693</v>
      </c>
      <c r="CZ173" s="59">
        <f t="shared" si="150"/>
        <v>248.42617382406644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10.239930708991599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10.239930708991599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-5.1159076974727213E-13</v>
      </c>
      <c r="DP173" s="17">
        <f>DO173*VLOOKUP('Données projet'!$B$14,Paramètres!$A$1:$I$89,3,0)*VLOOKUP('Données projet'!$B$14,Paramètres!$A$1:$I$89,5,0)</f>
        <v>-5.8259956858819351E-13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459.67331926893809</v>
      </c>
      <c r="DU173" s="59">
        <f t="shared" si="152"/>
        <v>280.33242658375497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58.159747780295874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58.159747780295874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264.08053957457469</v>
      </c>
      <c r="EP173" s="59">
        <f t="shared" si="154"/>
        <v>284.83300065761051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18.346498862341786</v>
      </c>
      <c r="EW173" s="21">
        <f>EXP(-LN(2)/25)*EW172+(1-EXP(-LN(2)/25))/(LN(2)/25)*Calculateur!ER173*Calculateur!ET173*VLOOKUP('Données projet'!$B$15,Paramètres!$A$1:$I$89,3,0)*0.475*44/12</f>
        <v>1.0004718268797499</v>
      </c>
      <c r="EX173" s="21">
        <f>EXP(-LN(2)/2)*EX172+(1-EXP(-LN(2)/2))/(LN(2)/2)*ER173*EU173*VLOOKUP('Données projet'!$B$15,Paramètres!$A$1:$I$89,3,0)*0.475*44/12</f>
        <v>1.6750294407015975E-15</v>
      </c>
      <c r="EY173" s="22">
        <f t="shared" si="181"/>
        <v>19.346970689221536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166.27444639635013</v>
      </c>
      <c r="FK173" s="59">
        <f t="shared" si="156"/>
        <v>213.60182977243113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10.99688552873382</v>
      </c>
      <c r="FR173" s="21">
        <f>EXP(-LN(2)/25)*FR172+(1-EXP(-LN(2)/25))/(LN(2)/25)*Calculateur!FM173*Calculateur!FO173*VLOOKUP('Données projet'!$B$16,Paramètres!$A$1:$I$89,3,0)*0.475*44/12</f>
        <v>2.2186038880624297</v>
      </c>
      <c r="FS173" s="21">
        <f>EXP(-LN(2)/2)*FS172+(1-EXP(-LN(2)/2))/(LN(2)/2)*FM173*FP173*VLOOKUP('Données projet'!$B$16,Paramètres!$A$1:$I$89,3,0)*0.475*44/12</f>
        <v>5.2596323781595972E-15</v>
      </c>
      <c r="FT173" s="22">
        <f t="shared" si="184"/>
        <v>13.215489416796254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458.37755197712164</v>
      </c>
      <c r="T174" s="59">
        <f t="shared" si="142"/>
        <v>278.21741231699917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68.083267358327873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68.083267358327873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508.60701013958447</v>
      </c>
      <c r="AO174" s="59">
        <f t="shared" si="144"/>
        <v>306.61893266146654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76.30021341881573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76.30021341881573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-1.0818439477588981E-13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291.17074241052887</v>
      </c>
      <c r="BJ174" s="59">
        <f t="shared" si="146"/>
        <v>241.18285512887638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14.767936243764861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14.767936243764861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429.61977776013185</v>
      </c>
      <c r="CE174" s="59">
        <f t="shared" si="148"/>
        <v>261.95434270986385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63.387869609477711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63.387869609477711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-1.7053025658242404E-13</v>
      </c>
      <c r="CU174" s="17">
        <f>CT174*VLOOKUP('Données projet'!$B$13,Paramètres!$A$1:$I$89,3,0)*VLOOKUP('Données projet'!$B$13,Paramètres!$A$1:$I$89,5,0)</f>
        <v>-1.1173142411280423E-13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255.09913504736693</v>
      </c>
      <c r="CZ174" s="59">
        <f t="shared" si="150"/>
        <v>248.42617382406644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10.039131913529291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10.039131913529291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-5.1159076974727213E-13</v>
      </c>
      <c r="DP174" s="17">
        <f>DO174*VLOOKUP('Données projet'!$B$14,Paramètres!$A$1:$I$89,3,0)*VLOOKUP('Données projet'!$B$14,Paramètres!$A$1:$I$89,5,0)</f>
        <v>-5.8259956858819351E-13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459.67331926893809</v>
      </c>
      <c r="DU174" s="59">
        <f t="shared" si="152"/>
        <v>280.33242658375497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57.019270600267653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57.019270600267653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264.08053957457469</v>
      </c>
      <c r="EP174" s="59">
        <f t="shared" si="154"/>
        <v>284.83300065761051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17.986735209910623</v>
      </c>
      <c r="EW174" s="21">
        <f>EXP(-LN(2)/25)*EW173+(1-EXP(-LN(2)/25))/(LN(2)/25)*Calculateur!ER174*Calculateur!ET174*VLOOKUP('Données projet'!$B$15,Paramètres!$A$1:$I$89,3,0)*0.475*44/12</f>
        <v>0.97311387216119638</v>
      </c>
      <c r="EX174" s="21">
        <f>EXP(-LN(2)/2)*EX173+(1-EXP(-LN(2)/2))/(LN(2)/2)*ER174*EU174*VLOOKUP('Données projet'!$B$15,Paramètres!$A$1:$I$89,3,0)*0.475*44/12</f>
        <v>1.1844246762072096E-15</v>
      </c>
      <c r="EY174" s="22">
        <f t="shared" si="181"/>
        <v>18.95984908207182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166.27444639635013</v>
      </c>
      <c r="FK174" s="59">
        <f t="shared" si="156"/>
        <v>213.60182977243113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10.781243310953219</v>
      </c>
      <c r="FR174" s="21">
        <f>EXP(-LN(2)/25)*FR173+(1-EXP(-LN(2)/25))/(LN(2)/25)*Calculateur!FM174*Calculateur!FO174*VLOOKUP('Données projet'!$B$16,Paramètres!$A$1:$I$89,3,0)*0.475*44/12</f>
        <v>2.1579360480720546</v>
      </c>
      <c r="FS174" s="21">
        <f>EXP(-LN(2)/2)*FS173+(1-EXP(-LN(2)/2))/(LN(2)/2)*FM174*FP174*VLOOKUP('Données projet'!$B$16,Paramètres!$A$1:$I$89,3,0)*0.475*44/12</f>
        <v>3.7191217211449788E-15</v>
      </c>
      <c r="FT174" s="22">
        <f t="shared" si="184"/>
        <v>12.939179359025276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458.37755197712164</v>
      </c>
      <c r="T175" s="59">
        <f t="shared" si="142"/>
        <v>278.21741231699917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66.748196012123728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66.748196012123728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508.60701013958447</v>
      </c>
      <c r="AO175" s="59">
        <f t="shared" si="144"/>
        <v>306.61893266146654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74.804012772207642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74.804012772207642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-1.0818439477588981E-13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291.17074241052887</v>
      </c>
      <c r="BJ175" s="59">
        <f t="shared" si="146"/>
        <v>241.18285512887638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14.47834602157632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14.47834602157632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429.61977776013185</v>
      </c>
      <c r="CE175" s="59">
        <f t="shared" si="148"/>
        <v>261.95434270986385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62.144872149218685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62.144872149218685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-1.7053025658242404E-13</v>
      </c>
      <c r="CU175" s="17">
        <f>CT175*VLOOKUP('Données projet'!$B$13,Paramètres!$A$1:$I$89,3,0)*VLOOKUP('Données projet'!$B$13,Paramètres!$A$1:$I$89,5,0)</f>
        <v>-1.1173142411280423E-13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255.09913504736693</v>
      </c>
      <c r="CZ175" s="59">
        <f t="shared" si="150"/>
        <v>248.42617382406644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9.8422706599708256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9.8422706599708256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-5.1159076974727213E-13</v>
      </c>
      <c r="DP175" s="17">
        <f>DO175*VLOOKUP('Données projet'!$B$14,Paramètres!$A$1:$I$89,3,0)*VLOOKUP('Données projet'!$B$14,Paramètres!$A$1:$I$89,5,0)</f>
        <v>-5.8259956858819351E-13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459.67331926893809</v>
      </c>
      <c r="DU175" s="59">
        <f t="shared" si="152"/>
        <v>280.33242658375497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55.901157482117398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55.901157482117398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264.08053957457469</v>
      </c>
      <c r="EP175" s="59">
        <f t="shared" si="154"/>
        <v>284.83300065761051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17.634026303269476</v>
      </c>
      <c r="EW175" s="21">
        <f>EXP(-LN(2)/25)*EW174+(1-EXP(-LN(2)/25))/(LN(2)/25)*Calculateur!ER175*Calculateur!ET175*VLOOKUP('Données projet'!$B$15,Paramètres!$A$1:$I$89,3,0)*0.475*44/12</f>
        <v>0.94650402215311402</v>
      </c>
      <c r="EX175" s="21">
        <f>EXP(-LN(2)/2)*EX174+(1-EXP(-LN(2)/2))/(LN(2)/2)*ER175*EU175*VLOOKUP('Données projet'!$B$15,Paramètres!$A$1:$I$89,3,0)*0.475*44/12</f>
        <v>8.3751472035079877E-16</v>
      </c>
      <c r="EY175" s="22">
        <f t="shared" si="181"/>
        <v>18.58053032542259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166.27444639635013</v>
      </c>
      <c r="FK175" s="59">
        <f t="shared" si="156"/>
        <v>213.60182977243113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10.569829705534529</v>
      </c>
      <c r="FR175" s="21">
        <f>EXP(-LN(2)/25)*FR174+(1-EXP(-LN(2)/25))/(LN(2)/25)*Calculateur!FM175*Calculateur!FO175*VLOOKUP('Données projet'!$B$16,Paramètres!$A$1:$I$89,3,0)*0.475*44/12</f>
        <v>2.0989271733565995</v>
      </c>
      <c r="FS175" s="21">
        <f>EXP(-LN(2)/2)*FS174+(1-EXP(-LN(2)/2))/(LN(2)/2)*FM175*FP175*VLOOKUP('Données projet'!$B$16,Paramètres!$A$1:$I$89,3,0)*0.475*44/12</f>
        <v>2.6298161890797986E-15</v>
      </c>
      <c r="FT175" s="22">
        <f t="shared" si="184"/>
        <v>12.668756878891131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458.37755197712164</v>
      </c>
      <c r="T176" s="59">
        <f t="shared" si="142"/>
        <v>278.21741231699917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65.43930460070554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65.43930460070554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508.60701013958447</v>
      </c>
      <c r="AO176" s="59">
        <f t="shared" si="144"/>
        <v>306.61893266146654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73.337151707687255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73.337151707687255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-1.0818439477588981E-13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291.17074241052887</v>
      </c>
      <c r="BJ176" s="59">
        <f t="shared" si="146"/>
        <v>241.18285512887638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14.1944344870123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14.1944344870123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429.61977776013185</v>
      </c>
      <c r="CE176" s="59">
        <f t="shared" si="148"/>
        <v>261.95434270986385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60.926249111001745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60.926249111001745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-1.7053025658242404E-13</v>
      </c>
      <c r="CU176" s="17">
        <f>CT176*VLOOKUP('Données projet'!$B$13,Paramètres!$A$1:$I$89,3,0)*VLOOKUP('Données projet'!$B$13,Paramètres!$A$1:$I$89,5,0)</f>
        <v>-1.1173142411280423E-13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255.09913504736693</v>
      </c>
      <c r="CZ176" s="59">
        <f t="shared" si="150"/>
        <v>248.42617382406644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9.6492697355211341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9.6492697355211341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-5.1159076974727213E-13</v>
      </c>
      <c r="DP176" s="17">
        <f>DO176*VLOOKUP('Données projet'!$B$14,Paramètres!$A$1:$I$89,3,0)*VLOOKUP('Données projet'!$B$14,Paramètres!$A$1:$I$89,5,0)</f>
        <v>-5.8259956858819351E-13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459.67331926893809</v>
      </c>
      <c r="DU176" s="59">
        <f t="shared" si="152"/>
        <v>280.33242658375497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54.804969880232406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54.804969880232406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264.08053957457469</v>
      </c>
      <c r="EP176" s="59">
        <f t="shared" si="154"/>
        <v>284.83300065761051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17.28823380315637</v>
      </c>
      <c r="EW176" s="21">
        <f>EXP(-LN(2)/25)*EW175+(1-EXP(-LN(2)/25))/(LN(2)/25)*Calculateur!ER176*Calculateur!ET176*VLOOKUP('Données projet'!$B$15,Paramètres!$A$1:$I$89,3,0)*0.475*44/12</f>
        <v>0.92062181989285385</v>
      </c>
      <c r="EX176" s="21">
        <f>EXP(-LN(2)/2)*EX175+(1-EXP(-LN(2)/2))/(LN(2)/2)*ER176*EU176*VLOOKUP('Données projet'!$B$15,Paramètres!$A$1:$I$89,3,0)*0.475*44/12</f>
        <v>5.922123381036048E-16</v>
      </c>
      <c r="EY176" s="22">
        <f t="shared" si="181"/>
        <v>18.208855623049224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166.27444639635013</v>
      </c>
      <c r="FK176" s="59">
        <f t="shared" si="156"/>
        <v>213.60182977243113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10.362561791968533</v>
      </c>
      <c r="FR176" s="21">
        <f>EXP(-LN(2)/25)*FR175+(1-EXP(-LN(2)/25))/(LN(2)/25)*Calculateur!FM176*Calculateur!FO176*VLOOKUP('Données projet'!$B$16,Paramètres!$A$1:$I$89,3,0)*0.475*44/12</f>
        <v>2.0415318994233802</v>
      </c>
      <c r="FS176" s="21">
        <f>EXP(-LN(2)/2)*FS175+(1-EXP(-LN(2)/2))/(LN(2)/2)*FM176*FP176*VLOOKUP('Données projet'!$B$16,Paramètres!$A$1:$I$89,3,0)*0.475*44/12</f>
        <v>1.8595608605724894E-15</v>
      </c>
      <c r="FT176" s="22">
        <f t="shared" si="184"/>
        <v>12.404093691391916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458.37755197712164</v>
      </c>
      <c r="T177" s="59">
        <f t="shared" si="142"/>
        <v>278.21741231699917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64.156079751520323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64.156079751520323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508.60701013958447</v>
      </c>
      <c r="AO177" s="59">
        <f t="shared" si="144"/>
        <v>306.61893266146654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71.899054893945205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71.899054893945205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-1.0818439477588981E-13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291.17074241052887</v>
      </c>
      <c r="BJ177" s="59">
        <f t="shared" si="146"/>
        <v>241.18285512887638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13.916090284472144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13.916090284472144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429.61977776013185</v>
      </c>
      <c r="CE177" s="59">
        <f t="shared" si="148"/>
        <v>261.95434270986385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59.731522527277583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59.731522527277583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-1.7053025658242404E-13</v>
      </c>
      <c r="CU177" s="17">
        <f>CT177*VLOOKUP('Données projet'!$B$13,Paramètres!$A$1:$I$89,3,0)*VLOOKUP('Données projet'!$B$13,Paramètres!$A$1:$I$89,5,0)</f>
        <v>-1.1173142411280423E-13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255.09913504736693</v>
      </c>
      <c r="CZ177" s="59">
        <f t="shared" si="150"/>
        <v>248.42617382406644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9.4600534414809605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9.4600534414809605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-5.1159076974727213E-13</v>
      </c>
      <c r="DP177" s="17">
        <f>DO177*VLOOKUP('Données projet'!$B$14,Paramètres!$A$1:$I$89,3,0)*VLOOKUP('Données projet'!$B$14,Paramètres!$A$1:$I$89,5,0)</f>
        <v>-5.8259956858819351E-13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459.67331926893809</v>
      </c>
      <c r="DU177" s="59">
        <f t="shared" si="152"/>
        <v>280.33242658375497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53.730277848611962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53.730277848611962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264.08053957457469</v>
      </c>
      <c r="EP177" s="59">
        <f t="shared" si="154"/>
        <v>284.83300065761051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16.949222083057883</v>
      </c>
      <c r="EW177" s="21">
        <f>EXP(-LN(2)/25)*EW176+(1-EXP(-LN(2)/25))/(LN(2)/25)*Calculateur!ER177*Calculateur!ET177*VLOOKUP('Données projet'!$B$15,Paramètres!$A$1:$I$89,3,0)*0.475*44/12</f>
        <v>0.89544736781448642</v>
      </c>
      <c r="EX177" s="21">
        <f>EXP(-LN(2)/2)*EX176+(1-EXP(-LN(2)/2))/(LN(2)/2)*ER177*EU177*VLOOKUP('Données projet'!$B$15,Paramètres!$A$1:$I$89,3,0)*0.475*44/12</f>
        <v>4.1875736017539938E-16</v>
      </c>
      <c r="EY177" s="22">
        <f t="shared" si="181"/>
        <v>17.84466945087237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166.27444639635013</v>
      </c>
      <c r="FK177" s="59">
        <f t="shared" si="156"/>
        <v>213.60182977243113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10.159358275766621</v>
      </c>
      <c r="FR177" s="21">
        <f>EXP(-LN(2)/25)*FR176+(1-EXP(-LN(2)/25))/(LN(2)/25)*Calculateur!FM177*Calculateur!FO177*VLOOKUP('Données projet'!$B$16,Paramètres!$A$1:$I$89,3,0)*0.475*44/12</f>
        <v>1.9857061022741513</v>
      </c>
      <c r="FS177" s="21">
        <f>EXP(-LN(2)/2)*FS176+(1-EXP(-LN(2)/2))/(LN(2)/2)*FM177*FP177*VLOOKUP('Données projet'!$B$16,Paramètres!$A$1:$I$89,3,0)*0.475*44/12</f>
        <v>1.3149080945398993E-15</v>
      </c>
      <c r="FT177" s="22">
        <f t="shared" si="184"/>
        <v>12.145064378040773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458.37755197712164</v>
      </c>
      <c r="T178" s="59">
        <f t="shared" si="142"/>
        <v>278.21741231699917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62.898018158937759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62.898018158937759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508.60701013958447</v>
      </c>
      <c r="AO178" s="59">
        <f t="shared" si="144"/>
        <v>306.61893266146654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70.489158281568194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70.489158281568194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-1.0818439477588981E-13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291.17074241052887</v>
      </c>
      <c r="BJ178" s="59">
        <f t="shared" si="146"/>
        <v>241.18285512887638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13.643204241970601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13.643204241970601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429.61977776013185</v>
      </c>
      <c r="CE178" s="59">
        <f t="shared" si="148"/>
        <v>261.95434270986385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58.560223803148986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58.560223803148986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-1.7053025658242404E-13</v>
      </c>
      <c r="CU178" s="17">
        <f>CT178*VLOOKUP('Données projet'!$B$13,Paramètres!$A$1:$I$89,3,0)*VLOOKUP('Données projet'!$B$13,Paramètres!$A$1:$I$89,5,0)</f>
        <v>-1.1173142411280423E-13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255.09913504736693</v>
      </c>
      <c r="CZ178" s="59">
        <f t="shared" si="150"/>
        <v>248.42617382406644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9.2745475635563714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9.2745475635563714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-5.1159076974727213E-13</v>
      </c>
      <c r="DP178" s="17">
        <f>DO178*VLOOKUP('Données projet'!$B$14,Paramètres!$A$1:$I$89,3,0)*VLOOKUP('Données projet'!$B$14,Paramètres!$A$1:$I$89,5,0)</f>
        <v>-5.8259956858819351E-13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459.67331926893809</v>
      </c>
      <c r="DU178" s="59">
        <f t="shared" si="152"/>
        <v>280.33242658375497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52.676659872234183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52.676659872234183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264.08053957457469</v>
      </c>
      <c r="EP178" s="59">
        <f t="shared" si="154"/>
        <v>284.83300065761051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16.616858176013796</v>
      </c>
      <c r="EW178" s="21">
        <f>EXP(-LN(2)/25)*EW177+(1-EXP(-LN(2)/25))/(LN(2)/25)*Calculateur!ER178*Calculateur!ET178*VLOOKUP('Données projet'!$B$15,Paramètres!$A$1:$I$89,3,0)*0.475*44/12</f>
        <v>0.87096131245206876</v>
      </c>
      <c r="EX178" s="21">
        <f>EXP(-LN(2)/2)*EX177+(1-EXP(-LN(2)/2))/(LN(2)/2)*ER178*EU178*VLOOKUP('Données projet'!$B$15,Paramètres!$A$1:$I$89,3,0)*0.475*44/12</f>
        <v>2.961061690518024E-16</v>
      </c>
      <c r="EY178" s="22">
        <f t="shared" si="181"/>
        <v>17.487819488465863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166.27444639635013</v>
      </c>
      <c r="FK178" s="59">
        <f t="shared" si="156"/>
        <v>213.60182977243113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9.9601394565755221</v>
      </c>
      <c r="FR178" s="21">
        <f>EXP(-LN(2)/25)*FR177+(1-EXP(-LN(2)/25))/(LN(2)/25)*Calculateur!FM178*Calculateur!FO178*VLOOKUP('Données projet'!$B$16,Paramètres!$A$1:$I$89,3,0)*0.475*44/12</f>
        <v>1.9314068644837192</v>
      </c>
      <c r="FS178" s="21">
        <f>EXP(-LN(2)/2)*FS177+(1-EXP(-LN(2)/2))/(LN(2)/2)*FM178*FP178*VLOOKUP('Données projet'!$B$16,Paramètres!$A$1:$I$89,3,0)*0.475*44/12</f>
        <v>9.297804302862447E-16</v>
      </c>
      <c r="FT178" s="22">
        <f t="shared" si="184"/>
        <v>11.891546321059243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458.37755197712164</v>
      </c>
      <c r="T179" s="59">
        <f t="shared" si="142"/>
        <v>278.21741231699917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61.664626386843935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61.664626386843935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508.60701013958447</v>
      </c>
      <c r="AO179" s="59">
        <f t="shared" si="144"/>
        <v>306.61893266146654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69.106908881807868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69.106908881807868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-1.0818439477588981E-13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291.17074241052887</v>
      </c>
      <c r="BJ179" s="59">
        <f t="shared" si="146"/>
        <v>241.18285512887638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13.375669328318462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13.375669328318462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429.61977776013185</v>
      </c>
      <c r="CE179" s="59">
        <f t="shared" si="148"/>
        <v>261.95434270986385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57.411893532578873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57.411893532578873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-1.7053025658242404E-13</v>
      </c>
      <c r="CU179" s="17">
        <f>CT179*VLOOKUP('Données projet'!$B$13,Paramètres!$A$1:$I$89,3,0)*VLOOKUP('Données projet'!$B$13,Paramètres!$A$1:$I$89,5,0)</f>
        <v>-1.1173142411280423E-13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255.09913504736693</v>
      </c>
      <c r="CZ179" s="59">
        <f t="shared" si="150"/>
        <v>248.42617382406644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9.0926793427504702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9.0926793427504702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-5.1159076974727213E-13</v>
      </c>
      <c r="DP179" s="17">
        <f>DO179*VLOOKUP('Données projet'!$B$14,Paramètres!$A$1:$I$89,3,0)*VLOOKUP('Données projet'!$B$14,Paramètres!$A$1:$I$89,5,0)</f>
        <v>-5.8259956858819351E-13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459.67331926893809</v>
      </c>
      <c r="DU179" s="59">
        <f t="shared" si="152"/>
        <v>280.33242658375497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51.643702701729659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51.643702701729659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264.08053957457469</v>
      </c>
      <c r="EP179" s="59">
        <f t="shared" si="154"/>
        <v>284.83300065761051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16.291011722464876</v>
      </c>
      <c r="EW179" s="21">
        <f>EXP(-LN(2)/25)*EW178+(1-EXP(-LN(2)/25))/(LN(2)/25)*Calculateur!ER179*Calculateur!ET179*VLOOKUP('Données projet'!$B$15,Paramètres!$A$1:$I$89,3,0)*0.475*44/12</f>
        <v>0.84714482956120207</v>
      </c>
      <c r="EX179" s="21">
        <f>EXP(-LN(2)/2)*EX178+(1-EXP(-LN(2)/2))/(LN(2)/2)*ER179*EU179*VLOOKUP('Données projet'!$B$15,Paramètres!$A$1:$I$89,3,0)*0.475*44/12</f>
        <v>2.0937868008769969E-16</v>
      </c>
      <c r="EY179" s="22">
        <f t="shared" si="181"/>
        <v>17.138156552026079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166.27444639635013</v>
      </c>
      <c r="FK179" s="59">
        <f t="shared" si="156"/>
        <v>213.60182977243113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9.7648271969172793</v>
      </c>
      <c r="FR179" s="21">
        <f>EXP(-LN(2)/25)*FR178+(1-EXP(-LN(2)/25))/(LN(2)/25)*Calculateur!FM179*Calculateur!FO179*VLOOKUP('Données projet'!$B$16,Paramètres!$A$1:$I$89,3,0)*0.475*44/12</f>
        <v>1.8785924422061393</v>
      </c>
      <c r="FS179" s="21">
        <f>EXP(-LN(2)/2)*FS178+(1-EXP(-LN(2)/2))/(LN(2)/2)*FM179*FP179*VLOOKUP('Données projet'!$B$16,Paramètres!$A$1:$I$89,3,0)*0.475*44/12</f>
        <v>6.5745404726994965E-16</v>
      </c>
      <c r="FT179" s="22">
        <f t="shared" si="184"/>
        <v>11.643419639123419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458.37755197712164</v>
      </c>
      <c r="T180" s="59">
        <f t="shared" si="142"/>
        <v>278.21741231699917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60.455420675106176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60.455420675106176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508.60701013958447</v>
      </c>
      <c r="AO180" s="59">
        <f t="shared" si="144"/>
        <v>306.61893266146654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67.751764549687962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67.751764549687962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-1.0818439477588981E-13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291.17074241052887</v>
      </c>
      <c r="BJ180" s="59">
        <f t="shared" si="146"/>
        <v>241.18285512887638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13.113380611142857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13.113380611142857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429.61977776013185</v>
      </c>
      <c r="CE180" s="59">
        <f t="shared" si="148"/>
        <v>261.95434270986385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56.286081318202335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56.286081318202335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-1.7053025658242404E-13</v>
      </c>
      <c r="CU180" s="17">
        <f>CT180*VLOOKUP('Données projet'!$B$13,Paramètres!$A$1:$I$89,3,0)*VLOOKUP('Données projet'!$B$13,Paramètres!$A$1:$I$89,5,0)</f>
        <v>-1.1173142411280423E-13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255.09913504736693</v>
      </c>
      <c r="CZ180" s="59">
        <f t="shared" si="150"/>
        <v>248.42617382406644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8.9143774468259114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8.9143774468259114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-5.1159076974727213E-13</v>
      </c>
      <c r="DP180" s="17">
        <f>DO180*VLOOKUP('Données projet'!$B$14,Paramètres!$A$1:$I$89,3,0)*VLOOKUP('Données projet'!$B$14,Paramètres!$A$1:$I$89,5,0)</f>
        <v>-5.8259956858819351E-13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459.67331926893809</v>
      </c>
      <c r="DU180" s="59">
        <f t="shared" si="152"/>
        <v>280.33242658375497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50.631001191297067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50.631001191297067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264.08053957457469</v>
      </c>
      <c r="EP180" s="59">
        <f t="shared" si="154"/>
        <v>284.83300065761051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15.97155491912334</v>
      </c>
      <c r="EW180" s="21">
        <f>EXP(-LN(2)/25)*EW179+(1-EXP(-LN(2)/25))/(LN(2)/25)*Calculateur!ER180*Calculateur!ET180*VLOOKUP('Données projet'!$B$15,Paramètres!$A$1:$I$89,3,0)*0.475*44/12</f>
        <v>0.82397960964744055</v>
      </c>
      <c r="EX180" s="21">
        <f>EXP(-LN(2)/2)*EX179+(1-EXP(-LN(2)/2))/(LN(2)/2)*ER180*EU180*VLOOKUP('Données projet'!$B$15,Paramètres!$A$1:$I$89,3,0)*0.475*44/12</f>
        <v>1.480530845259012E-16</v>
      </c>
      <c r="EY180" s="22">
        <f t="shared" si="181"/>
        <v>16.79553452877078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166.27444639635013</v>
      </c>
      <c r="FK180" s="59">
        <f t="shared" si="156"/>
        <v>213.60182977243113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9.5733448915422201</v>
      </c>
      <c r="FR180" s="21">
        <f>EXP(-LN(2)/25)*FR179+(1-EXP(-LN(2)/25))/(LN(2)/25)*Calculateur!FM180*Calculateur!FO180*VLOOKUP('Données projet'!$B$16,Paramètres!$A$1:$I$89,3,0)*0.475*44/12</f>
        <v>1.8272222330831294</v>
      </c>
      <c r="FS180" s="21">
        <f>EXP(-LN(2)/2)*FS179+(1-EXP(-LN(2)/2))/(LN(2)/2)*FM180*FP180*VLOOKUP('Données projet'!$B$16,Paramètres!$A$1:$I$89,3,0)*0.475*44/12</f>
        <v>4.6489021514312235E-16</v>
      </c>
      <c r="FT180" s="22">
        <f t="shared" si="184"/>
        <v>11.400567124625349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458.37755197712164</v>
      </c>
      <c r="T181" s="59">
        <f t="shared" si="142"/>
        <v>278.21741231699917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59.269926749832933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59.269926749832933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508.60701013958447</v>
      </c>
      <c r="AO181" s="59">
        <f t="shared" si="144"/>
        <v>306.61893266146654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66.423193771364495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66.423193771364495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-1.0818439477588981E-13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291.17074241052887</v>
      </c>
      <c r="BJ181" s="59">
        <f t="shared" si="146"/>
        <v>241.18285512887638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12.856235215730745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12.856235215730745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429.61977776013185</v>
      </c>
      <c r="CE181" s="59">
        <f t="shared" si="148"/>
        <v>261.95434270986385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55.182345594672071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55.182345594672071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-1.7053025658242404E-13</v>
      </c>
      <c r="CU181" s="17">
        <f>CT181*VLOOKUP('Données projet'!$B$13,Paramètres!$A$1:$I$89,3,0)*VLOOKUP('Données projet'!$B$13,Paramètres!$A$1:$I$89,5,0)</f>
        <v>-1.1173142411280423E-13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255.09913504736693</v>
      </c>
      <c r="CZ181" s="59">
        <f t="shared" si="150"/>
        <v>248.42617382406644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8.7395719423270162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8.7395719423270162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-5.1159076974727213E-13</v>
      </c>
      <c r="DP181" s="17">
        <f>DO181*VLOOKUP('Données projet'!$B$14,Paramètres!$A$1:$I$89,3,0)*VLOOKUP('Données projet'!$B$14,Paramètres!$A$1:$I$89,5,0)</f>
        <v>-5.8259956858819351E-13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459.67331926893809</v>
      </c>
      <c r="DU181" s="59">
        <f t="shared" si="152"/>
        <v>280.33242658375497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49.638158139797127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49.638158139797127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264.08053957457469</v>
      </c>
      <c r="EP181" s="59">
        <f t="shared" si="154"/>
        <v>284.83300065761051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15.658362468845921</v>
      </c>
      <c r="EW181" s="21">
        <f>EXP(-LN(2)/25)*EW180+(1-EXP(-LN(2)/25))/(LN(2)/25)*Calculateur!ER181*Calculateur!ET181*VLOOKUP('Données projet'!$B$15,Paramètres!$A$1:$I$89,3,0)*0.475*44/12</f>
        <v>0.80144784389042689</v>
      </c>
      <c r="EX181" s="21">
        <f>EXP(-LN(2)/2)*EX180+(1-EXP(-LN(2)/2))/(LN(2)/2)*ER181*EU181*VLOOKUP('Données projet'!$B$15,Paramètres!$A$1:$I$89,3,0)*0.475*44/12</f>
        <v>1.0468934004384985E-16</v>
      </c>
      <c r="EY181" s="22">
        <f t="shared" si="181"/>
        <v>16.459810312736348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166.27444639635013</v>
      </c>
      <c r="FK181" s="59">
        <f t="shared" si="156"/>
        <v>213.60182977243113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9.3856174373828907</v>
      </c>
      <c r="FR181" s="21">
        <f>EXP(-LN(2)/25)*FR180+(1-EXP(-LN(2)/25))/(LN(2)/25)*Calculateur!FM181*Calculateur!FO181*VLOOKUP('Données projet'!$B$16,Paramètres!$A$1:$I$89,3,0)*0.475*44/12</f>
        <v>1.7772567450300301</v>
      </c>
      <c r="FS181" s="21">
        <f>EXP(-LN(2)/2)*FS180+(1-EXP(-LN(2)/2))/(LN(2)/2)*FM181*FP181*VLOOKUP('Données projet'!$B$16,Paramètres!$A$1:$I$89,3,0)*0.475*44/12</f>
        <v>3.2872702363497482E-16</v>
      </c>
      <c r="FT181" s="22">
        <f t="shared" si="184"/>
        <v>11.162874182412921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458.37755197712164</v>
      </c>
      <c r="T182" s="59">
        <f t="shared" si="142"/>
        <v>278.21741231699917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58.107679637354401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58.107679637354401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508.60701013958447</v>
      </c>
      <c r="AO182" s="59">
        <f t="shared" si="144"/>
        <v>306.61893266146654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65.1206754556558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65.1206754556558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-1.0818439477588981E-13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291.17074241052887</v>
      </c>
      <c r="BJ182" s="59">
        <f t="shared" si="146"/>
        <v>241.18285512887638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12.60413228467946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12.60413228467946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429.61977776013185</v>
      </c>
      <c r="CE182" s="59">
        <f t="shared" si="148"/>
        <v>261.95434270986385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54.100253455467922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54.100253455467922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-1.7053025658242404E-13</v>
      </c>
      <c r="CU182" s="17">
        <f>CT182*VLOOKUP('Données projet'!$B$13,Paramètres!$A$1:$I$89,3,0)*VLOOKUP('Données projet'!$B$13,Paramètres!$A$1:$I$89,5,0)</f>
        <v>-1.1173142411280423E-13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255.09913504736693</v>
      </c>
      <c r="CZ182" s="59">
        <f t="shared" si="150"/>
        <v>248.42617382406644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8.5681942671505134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8.5681942671505134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-5.1159076974727213E-13</v>
      </c>
      <c r="DP182" s="17">
        <f>DO182*VLOOKUP('Données projet'!$B$14,Paramètres!$A$1:$I$89,3,0)*VLOOKUP('Données projet'!$B$14,Paramètres!$A$1:$I$89,5,0)</f>
        <v>-5.8259956858819351E-13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459.67331926893809</v>
      </c>
      <c r="DU182" s="59">
        <f t="shared" si="152"/>
        <v>280.33242658375497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48.664784134962638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48.664784134962638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264.08053957457469</v>
      </c>
      <c r="EP182" s="59">
        <f t="shared" si="154"/>
        <v>284.83300065761051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15.351311531489909</v>
      </c>
      <c r="EW182" s="21">
        <f>EXP(-LN(2)/25)*EW181+(1-EXP(-LN(2)/25))/(LN(2)/25)*Calculateur!ER182*Calculateur!ET182*VLOOKUP('Données projet'!$B$15,Paramètres!$A$1:$I$89,3,0)*0.475*44/12</f>
        <v>0.77953221045293275</v>
      </c>
      <c r="EX182" s="21">
        <f>EXP(-LN(2)/2)*EX181+(1-EXP(-LN(2)/2))/(LN(2)/2)*ER182*EU182*VLOOKUP('Données projet'!$B$15,Paramètres!$A$1:$I$89,3,0)*0.475*44/12</f>
        <v>7.40265422629506E-17</v>
      </c>
      <c r="EY182" s="22">
        <f t="shared" si="181"/>
        <v>16.13084374194284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166.27444639635013</v>
      </c>
      <c r="FK182" s="59">
        <f t="shared" si="156"/>
        <v>213.60182977243113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9.2015712040971849</v>
      </c>
      <c r="FR182" s="21">
        <f>EXP(-LN(2)/25)*FR181+(1-EXP(-LN(2)/25))/(LN(2)/25)*Calculateur!FM182*Calculateur!FO182*VLOOKUP('Données projet'!$B$16,Paramètres!$A$1:$I$89,3,0)*0.475*44/12</f>
        <v>1.7286575658753136</v>
      </c>
      <c r="FS182" s="21">
        <f>EXP(-LN(2)/2)*FS181+(1-EXP(-LN(2)/2))/(LN(2)/2)*FM182*FP182*VLOOKUP('Données projet'!$B$16,Paramètres!$A$1:$I$89,3,0)*0.475*44/12</f>
        <v>2.3244510757156118E-16</v>
      </c>
      <c r="FT182" s="22">
        <f t="shared" si="184"/>
        <v>10.930228769972498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458.37755197712164</v>
      </c>
      <c r="T183" s="59">
        <f t="shared" si="142"/>
        <v>278.21741231699917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56.968223481850835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56.968223481850835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508.60701013958447</v>
      </c>
      <c r="AO183" s="59">
        <f t="shared" si="144"/>
        <v>306.61893266146654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63.843698729660424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63.843698729660424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-1.0818439477588981E-13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291.17074241052887</v>
      </c>
      <c r="BJ183" s="59">
        <f t="shared" si="146"/>
        <v>241.18285512887638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12.356972938338487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12.356972938338487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429.61977776013185</v>
      </c>
      <c r="CE183" s="59">
        <f t="shared" si="148"/>
        <v>261.95434270986385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53.039380483102534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53.039380483102534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-1.7053025658242404E-13</v>
      </c>
      <c r="CU183" s="17">
        <f>CT183*VLOOKUP('Données projet'!$B$13,Paramètres!$A$1:$I$89,3,0)*VLOOKUP('Données projet'!$B$13,Paramètres!$A$1:$I$89,5,0)</f>
        <v>-1.1173142411280423E-13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255.09913504736693</v>
      </c>
      <c r="CZ183" s="59">
        <f t="shared" si="150"/>
        <v>248.42617382406644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8.4001772036541613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8.4001772036541613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-5.1159076974727213E-13</v>
      </c>
      <c r="DP183" s="17">
        <f>DO183*VLOOKUP('Données projet'!$B$14,Paramètres!$A$1:$I$89,3,0)*VLOOKUP('Données projet'!$B$14,Paramètres!$A$1:$I$89,5,0)</f>
        <v>-5.8259956858819351E-13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459.67331926893809</v>
      </c>
      <c r="DU183" s="59">
        <f t="shared" si="152"/>
        <v>280.33242658375497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47.710497400663428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47.710497400663428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264.08053957457469</v>
      </c>
      <c r="EP183" s="59">
        <f t="shared" si="154"/>
        <v>284.83300065761051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15.050281675732869</v>
      </c>
      <c r="EW183" s="21">
        <f>EXP(-LN(2)/25)*EW182+(1-EXP(-LN(2)/25))/(LN(2)/25)*Calculateur!ER183*Calculateur!ET183*VLOOKUP('Données projet'!$B$15,Paramètres!$A$1:$I$89,3,0)*0.475*44/12</f>
        <v>0.75821586116427997</v>
      </c>
      <c r="EX183" s="21">
        <f>EXP(-LN(2)/2)*EX182+(1-EXP(-LN(2)/2))/(LN(2)/2)*ER183*EU183*VLOOKUP('Données projet'!$B$15,Paramètres!$A$1:$I$89,3,0)*0.475*44/12</f>
        <v>5.2344670021924923E-17</v>
      </c>
      <c r="EY183" s="22">
        <f t="shared" si="181"/>
        <v>15.808497536897148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166.27444639635013</v>
      </c>
      <c r="FK183" s="59">
        <f t="shared" si="156"/>
        <v>213.60182977243113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9.0211340051890954</v>
      </c>
      <c r="FR183" s="21">
        <f>EXP(-LN(2)/25)*FR182+(1-EXP(-LN(2)/25))/(LN(2)/25)*Calculateur!FM183*Calculateur!FO183*VLOOKUP('Données projet'!$B$16,Paramètres!$A$1:$I$89,3,0)*0.475*44/12</f>
        <v>1.6813873338303027</v>
      </c>
      <c r="FS183" s="21">
        <f>EXP(-LN(2)/2)*FS182+(1-EXP(-LN(2)/2))/(LN(2)/2)*FM183*FP183*VLOOKUP('Données projet'!$B$16,Paramètres!$A$1:$I$89,3,0)*0.475*44/12</f>
        <v>1.6436351181748741E-16</v>
      </c>
      <c r="FT183" s="22">
        <f t="shared" si="184"/>
        <v>10.702521339019398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458.37755197712164</v>
      </c>
      <c r="T184" s="59">
        <f t="shared" si="142"/>
        <v>278.21741231699917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55.851111366557063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55.851111366557063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508.60701013958447</v>
      </c>
      <c r="AO184" s="59">
        <f t="shared" si="144"/>
        <v>306.61893266146654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62.591762738382926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62.591762738382926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-1.0818439477588981E-13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291.17074241052887</v>
      </c>
      <c r="BJ184" s="59">
        <f t="shared" si="146"/>
        <v>241.18285512887638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12.114660236026944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12.114660236026944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429.61977776013185</v>
      </c>
      <c r="CE184" s="59">
        <f t="shared" si="148"/>
        <v>261.95434270986385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51.999310582656605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51.999310582656605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-1.7053025658242404E-13</v>
      </c>
      <c r="CU184" s="17">
        <f>CT184*VLOOKUP('Données projet'!$B$13,Paramètres!$A$1:$I$89,3,0)*VLOOKUP('Données projet'!$B$13,Paramètres!$A$1:$I$89,5,0)</f>
        <v>-1.1173142411280423E-13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255.09913504736693</v>
      </c>
      <c r="CZ184" s="59">
        <f t="shared" si="150"/>
        <v>248.42617382406644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8.2354548522926834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8.2354548522926834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-5.1159076974727213E-13</v>
      </c>
      <c r="DP184" s="17">
        <f>DO184*VLOOKUP('Données projet'!$B$14,Paramètres!$A$1:$I$89,3,0)*VLOOKUP('Données projet'!$B$14,Paramètres!$A$1:$I$89,5,0)</f>
        <v>-5.8259956858819351E-13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459.67331926893809</v>
      </c>
      <c r="DU184" s="59">
        <f t="shared" si="152"/>
        <v>280.33242658375497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46.774923647166396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46.774923647166396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264.08053957457469</v>
      </c>
      <c r="EP184" s="59">
        <f t="shared" si="154"/>
        <v>284.83300065761051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14.755154831837142</v>
      </c>
      <c r="EW184" s="21">
        <f>EXP(-LN(2)/25)*EW183+(1-EXP(-LN(2)/25))/(LN(2)/25)*Calculateur!ER184*Calculateur!ET184*VLOOKUP('Données projet'!$B$15,Paramètres!$A$1:$I$89,3,0)*0.475*44/12</f>
        <v>0.73748240856790348</v>
      </c>
      <c r="EX184" s="21">
        <f>EXP(-LN(2)/2)*EX183+(1-EXP(-LN(2)/2))/(LN(2)/2)*ER184*EU184*VLOOKUP('Données projet'!$B$15,Paramètres!$A$1:$I$89,3,0)*0.475*44/12</f>
        <v>3.70132711314753E-17</v>
      </c>
      <c r="EY184" s="22">
        <f t="shared" si="181"/>
        <v>15.492637240405045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166.27444639635013</v>
      </c>
      <c r="FK184" s="59">
        <f t="shared" si="156"/>
        <v>213.60182977243113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8.8442350696957686</v>
      </c>
      <c r="FR184" s="21">
        <f>EXP(-LN(2)/25)*FR183+(1-EXP(-LN(2)/25))/(LN(2)/25)*Calculateur!FM184*Calculateur!FO184*VLOOKUP('Données projet'!$B$16,Paramètres!$A$1:$I$89,3,0)*0.475*44/12</f>
        <v>1.6354097087663961</v>
      </c>
      <c r="FS184" s="21">
        <f>EXP(-LN(2)/2)*FS183+(1-EXP(-LN(2)/2))/(LN(2)/2)*FM184*FP184*VLOOKUP('Données projet'!$B$16,Paramètres!$A$1:$I$89,3,0)*0.475*44/12</f>
        <v>1.1622255378578059E-16</v>
      </c>
      <c r="FT184" s="22">
        <f t="shared" si="184"/>
        <v>10.479644778462164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458.37755197712164</v>
      </c>
      <c r="T185" s="59">
        <f t="shared" si="142"/>
        <v>278.21741231699917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54.755905138473096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54.755905138473096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508.60701013958447</v>
      </c>
      <c r="AO185" s="59">
        <f t="shared" si="144"/>
        <v>306.61893266146654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61.364376448288823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61.364376448288823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-1.0818439477588981E-13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291.17074241052887</v>
      </c>
      <c r="BJ185" s="59">
        <f t="shared" si="146"/>
        <v>241.18285512887638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11.877099138011577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11.877099138011577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429.61977776013185</v>
      </c>
      <c r="CE185" s="59">
        <f t="shared" si="148"/>
        <v>261.95434270986385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50.979635818578423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50.979635818578423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-1.7053025658242404E-13</v>
      </c>
      <c r="CU185" s="17">
        <f>CT185*VLOOKUP('Données projet'!$B$13,Paramètres!$A$1:$I$89,3,0)*VLOOKUP('Données projet'!$B$13,Paramètres!$A$1:$I$89,5,0)</f>
        <v>-1.1173142411280423E-13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255.09913504736693</v>
      </c>
      <c r="CZ185" s="59">
        <f t="shared" si="150"/>
        <v>248.42617382406644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8.0739626057706904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8.0739626057706904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-5.1159076974727213E-13</v>
      </c>
      <c r="DP185" s="17">
        <f>DO185*VLOOKUP('Données projet'!$B$14,Paramètres!$A$1:$I$89,3,0)*VLOOKUP('Données projet'!$B$14,Paramètres!$A$1:$I$89,5,0)</f>
        <v>-5.8259956858819351E-13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459.67331926893809</v>
      </c>
      <c r="DU185" s="59">
        <f t="shared" si="152"/>
        <v>280.33242658375497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45.857695924331793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45.857695924331793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264.08053957457469</v>
      </c>
      <c r="EP185" s="59">
        <f t="shared" si="154"/>
        <v>284.83300065761051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14.465815245340611</v>
      </c>
      <c r="EW185" s="21">
        <f>EXP(-LN(2)/25)*EW184+(1-EXP(-LN(2)/25))/(LN(2)/25)*Calculateur!ER185*Calculateur!ET185*VLOOKUP('Données projet'!$B$15,Paramètres!$A$1:$I$89,3,0)*0.475*44/12</f>
        <v>0.71731591332309985</v>
      </c>
      <c r="EX185" s="21">
        <f>EXP(-LN(2)/2)*EX184+(1-EXP(-LN(2)/2))/(LN(2)/2)*ER185*EU185*VLOOKUP('Données projet'!$B$15,Paramètres!$A$1:$I$89,3,0)*0.475*44/12</f>
        <v>2.6172335010962461E-17</v>
      </c>
      <c r="EY185" s="22">
        <f t="shared" si="181"/>
        <v>15.183131158663711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166.27444639635013</v>
      </c>
      <c r="FK185" s="59">
        <f t="shared" si="156"/>
        <v>213.60182977243113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8.670805014429769</v>
      </c>
      <c r="FR185" s="21">
        <f>EXP(-LN(2)/25)*FR184+(1-EXP(-LN(2)/25))/(LN(2)/25)*Calculateur!FM185*Calculateur!FO185*VLOOKUP('Données projet'!$B$16,Paramètres!$A$1:$I$89,3,0)*0.475*44/12</f>
        <v>1.5906893442777201</v>
      </c>
      <c r="FS185" s="21">
        <f>EXP(-LN(2)/2)*FS184+(1-EXP(-LN(2)/2))/(LN(2)/2)*FM185*FP185*VLOOKUP('Données projet'!$B$16,Paramètres!$A$1:$I$89,3,0)*0.475*44/12</f>
        <v>8.2181755908743706E-17</v>
      </c>
      <c r="FT185" s="22">
        <f t="shared" si="184"/>
        <v>10.261494358707489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458.37755197712164</v>
      </c>
      <c r="T186" s="59">
        <f t="shared" si="142"/>
        <v>278.21741231699917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53.682175236512016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53.682175236512016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508.60701013958447</v>
      </c>
      <c r="AO186" s="59">
        <f t="shared" si="144"/>
        <v>306.61893266146654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60.16105845471175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60.16105845471175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-1.0818439477588981E-13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291.17074241052887</v>
      </c>
      <c r="BJ186" s="59">
        <f t="shared" si="146"/>
        <v>241.18285512887638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11.644196468230327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11.644196468230327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429.61977776013185</v>
      </c>
      <c r="CE186" s="59">
        <f t="shared" si="148"/>
        <v>261.95434270986385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49.979956254683621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49.979956254683621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-1.7053025658242404E-13</v>
      </c>
      <c r="CU186" s="17">
        <f>CT186*VLOOKUP('Données projet'!$B$13,Paramètres!$A$1:$I$89,3,0)*VLOOKUP('Données projet'!$B$13,Paramètres!$A$1:$I$89,5,0)</f>
        <v>-1.1173142411280423E-13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255.09913504736693</v>
      </c>
      <c r="CZ186" s="59">
        <f t="shared" si="150"/>
        <v>248.42617382406644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7.9156371237024494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7.9156371237024494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-5.1159076974727213E-13</v>
      </c>
      <c r="DP186" s="17">
        <f>DO186*VLOOKUP('Données projet'!$B$14,Paramètres!$A$1:$I$89,3,0)*VLOOKUP('Données projet'!$B$14,Paramètres!$A$1:$I$89,5,0)</f>
        <v>-5.8259956858819351E-13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459.67331926893809</v>
      </c>
      <c r="DU186" s="59">
        <f t="shared" si="152"/>
        <v>280.33242658375497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44.958454477688306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44.958454477688306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264.08053957457469</v>
      </c>
      <c r="EP186" s="59">
        <f t="shared" si="154"/>
        <v>284.83300065761051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14.182149431655555</v>
      </c>
      <c r="EW186" s="21">
        <f>EXP(-LN(2)/25)*EW185+(1-EXP(-LN(2)/25))/(LN(2)/25)*Calculateur!ER186*Calculateur!ET186*VLOOKUP('Données projet'!$B$15,Paramètres!$A$1:$I$89,3,0)*0.475*44/12</f>
        <v>0.69770087195127528</v>
      </c>
      <c r="EX186" s="21">
        <f>EXP(-LN(2)/2)*EX185+(1-EXP(-LN(2)/2))/(LN(2)/2)*ER186*EU186*VLOOKUP('Données projet'!$B$15,Paramètres!$A$1:$I$89,3,0)*0.475*44/12</f>
        <v>1.850663556573765E-17</v>
      </c>
      <c r="EY186" s="22">
        <f t="shared" si="181"/>
        <v>14.87985030360683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166.27444639635013</v>
      </c>
      <c r="FK186" s="59">
        <f t="shared" si="156"/>
        <v>213.60182977243113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8.500775816765648</v>
      </c>
      <c r="FR186" s="21">
        <f>EXP(-LN(2)/25)*FR185+(1-EXP(-LN(2)/25))/(LN(2)/25)*Calculateur!FM186*Calculateur!FO186*VLOOKUP('Données projet'!$B$16,Paramètres!$A$1:$I$89,3,0)*0.475*44/12</f>
        <v>1.5471918605077288</v>
      </c>
      <c r="FS186" s="21">
        <f>EXP(-LN(2)/2)*FS185+(1-EXP(-LN(2)/2))/(LN(2)/2)*FM186*FP186*VLOOKUP('Données projet'!$B$16,Paramètres!$A$1:$I$89,3,0)*0.475*44/12</f>
        <v>5.8111276892890294E-17</v>
      </c>
      <c r="FT186" s="22">
        <f t="shared" si="184"/>
        <v>10.047967677273377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458.37755197712164</v>
      </c>
      <c r="T187" s="59">
        <f t="shared" si="142"/>
        <v>278.21741231699917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52.629500523017818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52.629500523017818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508.60701013958447</v>
      </c>
      <c r="AO187" s="59">
        <f t="shared" si="144"/>
        <v>306.61893266146654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58.981336793037215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58.981336793037215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-1.0818439477588981E-13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291.17074241052887</v>
      </c>
      <c r="BJ187" s="59">
        <f t="shared" si="146"/>
        <v>241.18285512887638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11.415860877746885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11.415860877746885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429.61977776013185</v>
      </c>
      <c r="CE187" s="59">
        <f t="shared" si="148"/>
        <v>261.95434270986385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48.999879797292472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48.999879797292472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-1.7053025658242404E-13</v>
      </c>
      <c r="CU187" s="17">
        <f>CT187*VLOOKUP('Données projet'!$B$13,Paramètres!$A$1:$I$89,3,0)*VLOOKUP('Données projet'!$B$13,Paramètres!$A$1:$I$89,5,0)</f>
        <v>-1.1173142411280423E-13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255.09913504736693</v>
      </c>
      <c r="CZ187" s="59">
        <f t="shared" si="150"/>
        <v>248.42617382406644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7.7604163077685584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7.7604163077685584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-5.1159076974727213E-13</v>
      </c>
      <c r="DP187" s="17">
        <f>DO187*VLOOKUP('Données projet'!$B$14,Paramètres!$A$1:$I$89,3,0)*VLOOKUP('Données projet'!$B$14,Paramètres!$A$1:$I$89,5,0)</f>
        <v>-5.8259956858819351E-13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459.67331926893809</v>
      </c>
      <c r="DU187" s="59">
        <f t="shared" si="152"/>
        <v>280.33242658375497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44.076846607330374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44.076846607330374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264.08053957457469</v>
      </c>
      <c r="EP187" s="59">
        <f t="shared" si="154"/>
        <v>284.83300065761051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13.9040461315578</v>
      </c>
      <c r="EW187" s="21">
        <f>EXP(-LN(2)/25)*EW186+(1-EXP(-LN(2)/25))/(LN(2)/25)*Calculateur!ER187*Calculateur!ET187*VLOOKUP('Données projet'!$B$15,Paramètres!$A$1:$I$89,3,0)*0.475*44/12</f>
        <v>0.67862220491727343</v>
      </c>
      <c r="EX187" s="21">
        <f>EXP(-LN(2)/2)*EX186+(1-EXP(-LN(2)/2))/(LN(2)/2)*ER187*EU187*VLOOKUP('Données projet'!$B$15,Paramètres!$A$1:$I$89,3,0)*0.475*44/12</f>
        <v>1.3086167505481231E-17</v>
      </c>
      <c r="EY187" s="22">
        <f t="shared" si="181"/>
        <v>14.582668336475074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166.27444639635013</v>
      </c>
      <c r="FK187" s="59">
        <f t="shared" si="156"/>
        <v>213.60182977243113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8.3340807879601488</v>
      </c>
      <c r="FR187" s="21">
        <f>EXP(-LN(2)/25)*FR186+(1-EXP(-LN(2)/25))/(LN(2)/25)*Calculateur!FM187*Calculateur!FO187*VLOOKUP('Données projet'!$B$16,Paramètres!$A$1:$I$89,3,0)*0.475*44/12</f>
        <v>1.5048838177188613</v>
      </c>
      <c r="FS187" s="21">
        <f>EXP(-LN(2)/2)*FS186+(1-EXP(-LN(2)/2))/(LN(2)/2)*FM187*FP187*VLOOKUP('Données projet'!$B$16,Paramètres!$A$1:$I$89,3,0)*0.475*44/12</f>
        <v>4.1090877954371853E-17</v>
      </c>
      <c r="FT187" s="22">
        <f t="shared" si="184"/>
        <v>9.8389646056790099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458.37755197712164</v>
      </c>
      <c r="T188" s="59">
        <f t="shared" si="142"/>
        <v>278.21741231699917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51.597468118587066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51.597468118587066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508.60701013958447</v>
      </c>
      <c r="AO188" s="59">
        <f t="shared" si="144"/>
        <v>306.61893266146654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57.824748753588956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57.824748753588956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-1.0818439477588981E-13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291.17074241052887</v>
      </c>
      <c r="BJ188" s="59">
        <f t="shared" si="146"/>
        <v>241.18285512887638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11.192002808921867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11.192002808921867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429.61977776013185</v>
      </c>
      <c r="CE188" s="59">
        <f t="shared" si="148"/>
        <v>261.95434270986385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48.039022041443147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48.039022041443147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-1.7053025658242404E-13</v>
      </c>
      <c r="CU188" s="17">
        <f>CT188*VLOOKUP('Données projet'!$B$13,Paramètres!$A$1:$I$89,3,0)*VLOOKUP('Données projet'!$B$13,Paramètres!$A$1:$I$89,5,0)</f>
        <v>-1.1173142411280423E-13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255.09913504736693</v>
      </c>
      <c r="CZ188" s="59">
        <f t="shared" si="150"/>
        <v>248.42617382406644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7.6082392773597816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7.6082392773597816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-5.1159076974727213E-13</v>
      </c>
      <c r="DP188" s="17">
        <f>DO188*VLOOKUP('Données projet'!$B$14,Paramètres!$A$1:$I$89,3,0)*VLOOKUP('Données projet'!$B$14,Paramètres!$A$1:$I$89,5,0)</f>
        <v>-5.8259956858819351E-13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459.67331926893809</v>
      </c>
      <c r="DU188" s="59">
        <f t="shared" si="152"/>
        <v>280.33242658375497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43.212526529582462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43.212526529582462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264.08053957457469</v>
      </c>
      <c r="EP188" s="59">
        <f t="shared" si="154"/>
        <v>284.83300065761051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13.6313962675487</v>
      </c>
      <c r="EW188" s="21">
        <f>EXP(-LN(2)/25)*EW187+(1-EXP(-LN(2)/25))/(LN(2)/25)*Calculateur!ER188*Calculateur!ET188*VLOOKUP('Données projet'!$B$15,Paramètres!$A$1:$I$89,3,0)*0.475*44/12</f>
        <v>0.6600652450366199</v>
      </c>
      <c r="EX188" s="21">
        <f>EXP(-LN(2)/2)*EX187+(1-EXP(-LN(2)/2))/(LN(2)/2)*ER188*EU188*VLOOKUP('Données projet'!$B$15,Paramètres!$A$1:$I$89,3,0)*0.475*44/12</f>
        <v>9.2533177828688249E-18</v>
      </c>
      <c r="EY188" s="22">
        <f t="shared" si="181"/>
        <v>14.29146151258532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166.27444639635013</v>
      </c>
      <c r="FK188" s="59">
        <f t="shared" si="156"/>
        <v>213.60182977243113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8.170654546995598</v>
      </c>
      <c r="FR188" s="21">
        <f>EXP(-LN(2)/25)*FR187+(1-EXP(-LN(2)/25))/(LN(2)/25)*Calculateur!FM188*Calculateur!FO188*VLOOKUP('Données projet'!$B$16,Paramètres!$A$1:$I$89,3,0)*0.475*44/12</f>
        <v>1.4637326905849384</v>
      </c>
      <c r="FS188" s="21">
        <f>EXP(-LN(2)/2)*FS187+(1-EXP(-LN(2)/2))/(LN(2)/2)*FM188*FP188*VLOOKUP('Données projet'!$B$16,Paramètres!$A$1:$I$89,3,0)*0.475*44/12</f>
        <v>2.9055638446445147E-17</v>
      </c>
      <c r="FT188" s="22">
        <f t="shared" si="184"/>
        <v>9.6343872375805368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458.37755197712164</v>
      </c>
      <c r="T189" s="59">
        <f t="shared" si="142"/>
        <v>278.21741231699917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50.585673240129587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50.585673240129587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508.60701013958447</v>
      </c>
      <c r="AO189" s="59">
        <f t="shared" si="144"/>
        <v>306.61893266146654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56.69084070014523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56.69084070014523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-1.0818439477588981E-13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291.17074241052887</v>
      </c>
      <c r="BJ189" s="59">
        <f t="shared" si="146"/>
        <v>241.18285512887638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10.972534460286568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10.972534460286568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429.61977776013185</v>
      </c>
      <c r="CE189" s="59">
        <f t="shared" si="148"/>
        <v>261.95434270986385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47.097006120120668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47.097006120120668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-1.7053025658242404E-13</v>
      </c>
      <c r="CU189" s="17">
        <f>CT189*VLOOKUP('Données projet'!$B$13,Paramètres!$A$1:$I$89,3,0)*VLOOKUP('Données projet'!$B$13,Paramètres!$A$1:$I$89,5,0)</f>
        <v>-1.1173142411280423E-13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255.09913504736693</v>
      </c>
      <c r="CZ189" s="59">
        <f t="shared" si="150"/>
        <v>248.42617382406644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7.4590463456984972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7.4590463456984972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-5.1159076974727213E-13</v>
      </c>
      <c r="DP189" s="17">
        <f>DO189*VLOOKUP('Données projet'!$B$14,Paramètres!$A$1:$I$89,3,0)*VLOOKUP('Données projet'!$B$14,Paramètres!$A$1:$I$89,5,0)</f>
        <v>-5.8259956858819351E-13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459.67331926893809</v>
      </c>
      <c r="DU189" s="59">
        <f t="shared" si="152"/>
        <v>280.33242658375497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42.365155241375994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42.365155241375994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264.08053957457469</v>
      </c>
      <c r="EP189" s="59">
        <f t="shared" si="154"/>
        <v>284.83300065761051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13.364092901072821</v>
      </c>
      <c r="EW189" s="21">
        <f>EXP(-LN(2)/25)*EW188+(1-EXP(-LN(2)/25))/(LN(2)/25)*Calculateur!ER189*Calculateur!ET189*VLOOKUP('Données projet'!$B$15,Paramètres!$A$1:$I$89,3,0)*0.475*44/12</f>
        <v>0.64201572619977088</v>
      </c>
      <c r="EX189" s="21">
        <f>EXP(-LN(2)/2)*EX188+(1-EXP(-LN(2)/2))/(LN(2)/2)*ER189*EU189*VLOOKUP('Données projet'!$B$15,Paramètres!$A$1:$I$89,3,0)*0.475*44/12</f>
        <v>6.5430837527406154E-18</v>
      </c>
      <c r="EY189" s="22">
        <f t="shared" si="181"/>
        <v>14.006108627272592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166.27444639635013</v>
      </c>
      <c r="FK189" s="59">
        <f t="shared" si="156"/>
        <v>213.60182977243113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8.0104329949361972</v>
      </c>
      <c r="FR189" s="21">
        <f>EXP(-LN(2)/25)*FR188+(1-EXP(-LN(2)/25))/(LN(2)/25)*Calculateur!FM189*Calculateur!FO189*VLOOKUP('Données projet'!$B$16,Paramètres!$A$1:$I$89,3,0)*0.475*44/12</f>
        <v>1.4237068431865365</v>
      </c>
      <c r="FS189" s="21">
        <f>EXP(-LN(2)/2)*FS188+(1-EXP(-LN(2)/2))/(LN(2)/2)*FM189*FP189*VLOOKUP('Données projet'!$B$16,Paramètres!$A$1:$I$89,3,0)*0.475*44/12</f>
        <v>2.0545438977185926E-17</v>
      </c>
      <c r="FT189" s="22">
        <f t="shared" si="184"/>
        <v>9.4341398381227339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458.37755197712164</v>
      </c>
      <c r="T190" s="59">
        <f t="shared" si="142"/>
        <v>278.21741231699917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49.593719042104723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49.593719042104723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508.60701013958447</v>
      </c>
      <c r="AO190" s="59">
        <f t="shared" si="144"/>
        <v>306.61893266146654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55.579167892013913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55.579167892013913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-1.0818439477588981E-13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291.17074241052887</v>
      </c>
      <c r="BJ190" s="59">
        <f t="shared" si="146"/>
        <v>241.18285512887638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10.75736975210553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10.75736975210553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429.61977776013185</v>
      </c>
      <c r="CE190" s="59">
        <f t="shared" si="148"/>
        <v>261.95434270986385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46.173462556442345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46.173462556442345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-1.7053025658242404E-13</v>
      </c>
      <c r="CU190" s="17">
        <f>CT190*VLOOKUP('Données projet'!$B$13,Paramètres!$A$1:$I$89,3,0)*VLOOKUP('Données projet'!$B$13,Paramètres!$A$1:$I$89,5,0)</f>
        <v>-1.1173142411280423E-13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255.09913504736693</v>
      </c>
      <c r="CZ190" s="59">
        <f t="shared" si="150"/>
        <v>248.42617382406644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7.3127789964283876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7.3127789964283876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-5.1159076974727213E-13</v>
      </c>
      <c r="DP190" s="17">
        <f>DO190*VLOOKUP('Données projet'!$B$14,Paramètres!$A$1:$I$89,3,0)*VLOOKUP('Données projet'!$B$14,Paramètres!$A$1:$I$89,5,0)</f>
        <v>-5.8259956858819351E-13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459.67331926893809</v>
      </c>
      <c r="DU190" s="59">
        <f t="shared" si="152"/>
        <v>280.33242658375497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41.5344003872858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41.5344003872858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264.08053957457469</v>
      </c>
      <c r="EP190" s="59">
        <f t="shared" si="154"/>
        <v>284.83300065761051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13.10203119057458</v>
      </c>
      <c r="EW190" s="21">
        <f>EXP(-LN(2)/25)*EW189+(1-EXP(-LN(2)/25))/(LN(2)/25)*Calculateur!ER190*Calculateur!ET190*VLOOKUP('Données projet'!$B$15,Paramètres!$A$1:$I$89,3,0)*0.475*44/12</f>
        <v>0.62445977240469841</v>
      </c>
      <c r="EX190" s="21">
        <f>EXP(-LN(2)/2)*EX189+(1-EXP(-LN(2)/2))/(LN(2)/2)*ER190*EU190*VLOOKUP('Données projet'!$B$15,Paramètres!$A$1:$I$89,3,0)*0.475*44/12</f>
        <v>4.6266588914344125E-18</v>
      </c>
      <c r="EY190" s="22">
        <f t="shared" si="181"/>
        <v>13.726490962979279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166.27444639635013</v>
      </c>
      <c r="FK190" s="59">
        <f t="shared" si="156"/>
        <v>213.60182977243113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7.8533532897871847</v>
      </c>
      <c r="FR190" s="21">
        <f>EXP(-LN(2)/25)*FR189+(1-EXP(-LN(2)/25))/(LN(2)/25)*Calculateur!FM190*Calculateur!FO190*VLOOKUP('Données projet'!$B$16,Paramètres!$A$1:$I$89,3,0)*0.475*44/12</f>
        <v>1.3847755046901118</v>
      </c>
      <c r="FS190" s="21">
        <f>EXP(-LN(2)/2)*FS189+(1-EXP(-LN(2)/2))/(LN(2)/2)*FM190*FP190*VLOOKUP('Données projet'!$B$16,Paramètres!$A$1:$I$89,3,0)*0.475*44/12</f>
        <v>1.4527819223222573E-17</v>
      </c>
      <c r="FT190" s="22">
        <f t="shared" si="184"/>
        <v>9.2381287944772961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458.37755197712164</v>
      </c>
      <c r="T191" s="59">
        <f t="shared" si="142"/>
        <v>278.21741231699917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48.621216460870805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48.621216460870805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508.60701013958447</v>
      </c>
      <c r="AO191" s="59">
        <f t="shared" si="144"/>
        <v>306.61893266146654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54.489294309596595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54.489294309596595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-1.0818439477588981E-13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291.17074241052887</v>
      </c>
      <c r="BJ191" s="59">
        <f t="shared" si="146"/>
        <v>241.18285512887638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10.546424292614411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10.546424292614411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429.61977776013185</v>
      </c>
      <c r="CE191" s="59">
        <f t="shared" si="148"/>
        <v>261.95434270986385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45.268029118741801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45.268029118741801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-1.7053025658242404E-13</v>
      </c>
      <c r="CU191" s="17">
        <f>CT191*VLOOKUP('Données projet'!$B$13,Paramètres!$A$1:$I$89,3,0)*VLOOKUP('Données projet'!$B$13,Paramètres!$A$1:$I$89,5,0)</f>
        <v>-1.1173142411280423E-13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255.09913504736693</v>
      </c>
      <c r="CZ191" s="59">
        <f t="shared" si="150"/>
        <v>248.42617382406644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7.1693798606631916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7.1693798606631916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-5.1159076974727213E-13</v>
      </c>
      <c r="DP191" s="17">
        <f>DO191*VLOOKUP('Données projet'!$B$14,Paramètres!$A$1:$I$89,3,0)*VLOOKUP('Données projet'!$B$14,Paramètres!$A$1:$I$89,5,0)</f>
        <v>-5.8259956858819351E-13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459.67331926893809</v>
      </c>
      <c r="DU191" s="59">
        <f t="shared" si="152"/>
        <v>280.33242658375497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40.719936129173888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40.719936129173888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264.08053957457469</v>
      </c>
      <c r="EP191" s="59">
        <f t="shared" si="154"/>
        <v>284.83300065761051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12.845108350377348</v>
      </c>
      <c r="EW191" s="21">
        <f>EXP(-LN(2)/25)*EW190+(1-EXP(-LN(2)/25))/(LN(2)/25)*Calculateur!ER191*Calculateur!ET191*VLOOKUP('Données projet'!$B$15,Paramètres!$A$1:$I$89,3,0)*0.475*44/12</f>
        <v>0.60738388708937974</v>
      </c>
      <c r="EX191" s="21">
        <f>EXP(-LN(2)/2)*EX190+(1-EXP(-LN(2)/2))/(LN(2)/2)*ER191*EU191*VLOOKUP('Données projet'!$B$15,Paramètres!$A$1:$I$89,3,0)*0.475*44/12</f>
        <v>3.2715418763703077E-18</v>
      </c>
      <c r="EY191" s="22">
        <f t="shared" si="181"/>
        <v>13.452492237466728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166.27444639635013</v>
      </c>
      <c r="FK191" s="59">
        <f t="shared" si="156"/>
        <v>213.60182977243113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7.6993538218469846</v>
      </c>
      <c r="FR191" s="21">
        <f>EXP(-LN(2)/25)*FR190+(1-EXP(-LN(2)/25))/(LN(2)/25)*Calculateur!FM191*Calculateur!FO191*VLOOKUP('Données projet'!$B$16,Paramètres!$A$1:$I$89,3,0)*0.475*44/12</f>
        <v>1.3469087456921818</v>
      </c>
      <c r="FS191" s="21">
        <f>EXP(-LN(2)/2)*FS190+(1-EXP(-LN(2)/2))/(LN(2)/2)*FM191*FP191*VLOOKUP('Données projet'!$B$16,Paramètres!$A$1:$I$89,3,0)*0.475*44/12</f>
        <v>1.0272719488592963E-17</v>
      </c>
      <c r="FT191" s="22">
        <f t="shared" si="184"/>
        <v>9.0462625675391664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458.37755197712164</v>
      </c>
      <c r="T192" s="59">
        <f t="shared" si="142"/>
        <v>278.21741231699917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47.667784062086881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47.667784062086881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508.60701013958447</v>
      </c>
      <c r="AO192" s="59">
        <f t="shared" si="144"/>
        <v>306.61893266146654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53.420792483373233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53.420792483373233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-1.0818439477588981E-13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291.17074241052887</v>
      </c>
      <c r="BJ192" s="59">
        <f t="shared" si="146"/>
        <v>241.18285512887638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10.339615344919887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10.339615344919887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429.61977776013185</v>
      </c>
      <c r="CE192" s="59">
        <f t="shared" si="148"/>
        <v>261.95434270986385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44.3803506784947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44.3803506784947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-1.7053025658242404E-13</v>
      </c>
      <c r="CU192" s="17">
        <f>CT192*VLOOKUP('Données projet'!$B$13,Paramètres!$A$1:$I$89,3,0)*VLOOKUP('Données projet'!$B$13,Paramètres!$A$1:$I$89,5,0)</f>
        <v>-1.1173142411280423E-13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255.09913504736693</v>
      </c>
      <c r="CZ192" s="59">
        <f t="shared" si="150"/>
        <v>248.42617382406644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7.0287926944855146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7.0287926944855146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-5.1159076974727213E-13</v>
      </c>
      <c r="DP192" s="17">
        <f>DO192*VLOOKUP('Données projet'!$B$14,Paramètres!$A$1:$I$89,3,0)*VLOOKUP('Données projet'!$B$14,Paramètres!$A$1:$I$89,5,0)</f>
        <v>-5.8259956858819351E-13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459.67331926893809</v>
      </c>
      <c r="DU192" s="59">
        <f t="shared" si="152"/>
        <v>280.33242658375497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39.921443018389404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39.921443018389404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264.08053957457469</v>
      </c>
      <c r="EP192" s="59">
        <f t="shared" si="154"/>
        <v>284.83300065761051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12.593223610368925</v>
      </c>
      <c r="EW192" s="21">
        <f>EXP(-LN(2)/25)*EW191+(1-EXP(-LN(2)/25))/(LN(2)/25)*Calculateur!ER192*Calculateur!ET192*VLOOKUP('Données projet'!$B$15,Paramètres!$A$1:$I$89,3,0)*0.475*44/12</f>
        <v>0.59077494275599018</v>
      </c>
      <c r="EX192" s="21">
        <f>EXP(-LN(2)/2)*EX191+(1-EXP(-LN(2)/2))/(LN(2)/2)*ER192*EU192*VLOOKUP('Données projet'!$B$15,Paramètres!$A$1:$I$89,3,0)*0.475*44/12</f>
        <v>2.3133294457172062E-18</v>
      </c>
      <c r="EY192" s="22">
        <f t="shared" si="181"/>
        <v>13.183998553124916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166.27444639635013</v>
      </c>
      <c r="FK192" s="59">
        <f t="shared" si="156"/>
        <v>213.60182977243113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7.5483741895426908</v>
      </c>
      <c r="FR192" s="21">
        <f>EXP(-LN(2)/25)*FR191+(1-EXP(-LN(2)/25))/(LN(2)/25)*Calculateur!FM192*Calculateur!FO192*VLOOKUP('Données projet'!$B$16,Paramètres!$A$1:$I$89,3,0)*0.475*44/12</f>
        <v>1.3100774552103764</v>
      </c>
      <c r="FS192" s="21">
        <f>EXP(-LN(2)/2)*FS191+(1-EXP(-LN(2)/2))/(LN(2)/2)*FM192*FP192*VLOOKUP('Données projet'!$B$16,Paramètres!$A$1:$I$89,3,0)*0.475*44/12</f>
        <v>7.2639096116112867E-18</v>
      </c>
      <c r="FT192" s="22">
        <f t="shared" si="184"/>
        <v>8.8584516447530675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458.37755197712164</v>
      </c>
      <c r="T193" s="59">
        <f t="shared" si="142"/>
        <v>278.21741231699917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46.733047891106771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46.733047891106771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508.60701013958447</v>
      </c>
      <c r="AO193" s="59">
        <f t="shared" si="144"/>
        <v>306.61893266146654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52.373243326240349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52.373243326240349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-1.0818439477588981E-13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291.17074241052887</v>
      </c>
      <c r="BJ193" s="59">
        <f t="shared" si="146"/>
        <v>241.18285512887638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10.136861794548649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10.136861794548649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429.61977776013185</v>
      </c>
      <c r="CE193" s="59">
        <f t="shared" si="148"/>
        <v>261.95434270986385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43.510079071030461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43.510079071030461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-1.7053025658242404E-13</v>
      </c>
      <c r="CU193" s="17">
        <f>CT193*VLOOKUP('Données projet'!$B$13,Paramètres!$A$1:$I$89,3,0)*VLOOKUP('Données projet'!$B$13,Paramètres!$A$1:$I$89,5,0)</f>
        <v>-1.1173142411280423E-13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255.09913504736693</v>
      </c>
      <c r="CZ193" s="59">
        <f t="shared" si="150"/>
        <v>248.42617382406644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6.8909623568868774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6.8909623568868774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-5.1159076974727213E-13</v>
      </c>
      <c r="DP193" s="17">
        <f>DO193*VLOOKUP('Données projet'!$B$14,Paramètres!$A$1:$I$89,3,0)*VLOOKUP('Données projet'!$B$14,Paramètres!$A$1:$I$89,5,0)</f>
        <v>-5.8259956858819351E-13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459.67331926893809</v>
      </c>
      <c r="DU193" s="59">
        <f t="shared" si="152"/>
        <v>280.33242658375497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39.138607870474701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39.138607870474701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264.08053957457469</v>
      </c>
      <c r="EP193" s="59">
        <f t="shared" si="154"/>
        <v>284.83300065761051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12.346278176477547</v>
      </c>
      <c r="EW193" s="21">
        <f>EXP(-LN(2)/25)*EW192+(1-EXP(-LN(2)/25))/(LN(2)/25)*Calculateur!ER193*Calculateur!ET193*VLOOKUP('Données projet'!$B$15,Paramètres!$A$1:$I$89,3,0)*0.475*44/12</f>
        <v>0.57462017087882367</v>
      </c>
      <c r="EX193" s="21">
        <f>EXP(-LN(2)/2)*EX192+(1-EXP(-LN(2)/2))/(LN(2)/2)*ER193*EU193*VLOOKUP('Données projet'!$B$15,Paramètres!$A$1:$I$89,3,0)*0.475*44/12</f>
        <v>1.6357709381851538E-18</v>
      </c>
      <c r="EY193" s="22">
        <f t="shared" si="181"/>
        <v>12.920898347356371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166.27444639635013</v>
      </c>
      <c r="FK193" s="59">
        <f t="shared" si="156"/>
        <v>213.60182977243113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7.4003551757394019</v>
      </c>
      <c r="FR193" s="21">
        <f>EXP(-LN(2)/25)*FR192+(1-EXP(-LN(2)/25))/(LN(2)/25)*Calculateur!FM193*Calculateur!FO193*VLOOKUP('Données projet'!$B$16,Paramètres!$A$1:$I$89,3,0)*0.475*44/12</f>
        <v>1.2742533183036695</v>
      </c>
      <c r="FS193" s="21">
        <f>EXP(-LN(2)/2)*FS192+(1-EXP(-LN(2)/2))/(LN(2)/2)*FM193*FP193*VLOOKUP('Données projet'!$B$16,Paramètres!$A$1:$I$89,3,0)*0.475*44/12</f>
        <v>5.1363597442964816E-18</v>
      </c>
      <c r="FT193" s="22">
        <f t="shared" si="184"/>
        <v>8.6746084940430706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458.37755197712164</v>
      </c>
      <c r="T194" s="59">
        <f t="shared" si="142"/>
        <v>278.21741231699917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45.816641326306808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45.816641326306808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508.60701013958447</v>
      </c>
      <c r="AO194" s="59">
        <f t="shared" si="144"/>
        <v>306.61893266146654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51.346235969136941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51.346235969136941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-1.0818439477588981E-13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291.17074241052887</v>
      </c>
      <c r="BJ194" s="59">
        <f t="shared" si="146"/>
        <v>241.18285512887638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9.9380841176327355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9.9380841176327355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429.61977776013185</v>
      </c>
      <c r="CE194" s="59">
        <f t="shared" si="148"/>
        <v>261.95434270986385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42.656872958975327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42.656872958975327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-1.7053025658242404E-13</v>
      </c>
      <c r="CU194" s="17">
        <f>CT194*VLOOKUP('Données projet'!$B$13,Paramètres!$A$1:$I$89,3,0)*VLOOKUP('Données projet'!$B$13,Paramètres!$A$1:$I$89,5,0)</f>
        <v>-1.1173142411280423E-13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255.09913504736693</v>
      </c>
      <c r="CZ194" s="59">
        <f t="shared" si="150"/>
        <v>248.42617382406644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6.7558347881403442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6.7558347881403442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-5.1159076974727213E-13</v>
      </c>
      <c r="DP194" s="17">
        <f>DO194*VLOOKUP('Données projet'!$B$14,Paramètres!$A$1:$I$89,3,0)*VLOOKUP('Données projet'!$B$14,Paramètres!$A$1:$I$89,5,0)</f>
        <v>-5.8259956858819351E-13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459.67331926893809</v>
      </c>
      <c r="DU194" s="59">
        <f t="shared" si="152"/>
        <v>280.33242658375497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38.371123642328307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38.371123642328307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264.08053957457469</v>
      </c>
      <c r="EP194" s="59">
        <f t="shared" si="154"/>
        <v>284.83300065761051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12.104175191922936</v>
      </c>
      <c r="EW194" s="21">
        <f>EXP(-LN(2)/25)*EW193+(1-EXP(-LN(2)/25))/(LN(2)/25)*Calculateur!ER194*Calculateur!ET194*VLOOKUP('Données projet'!$B$15,Paramètres!$A$1:$I$89,3,0)*0.475*44/12</f>
        <v>0.55890715208818076</v>
      </c>
      <c r="EX194" s="21">
        <f>EXP(-LN(2)/2)*EX193+(1-EXP(-LN(2)/2))/(LN(2)/2)*ER194*EU194*VLOOKUP('Données projet'!$B$15,Paramètres!$A$1:$I$89,3,0)*0.475*44/12</f>
        <v>1.1566647228586031E-18</v>
      </c>
      <c r="EY194" s="22">
        <f t="shared" si="181"/>
        <v>12.663082344011116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166.27444639635013</v>
      </c>
      <c r="FK194" s="59">
        <f t="shared" si="156"/>
        <v>213.60182977243113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7.2552387245141112</v>
      </c>
      <c r="FR194" s="21">
        <f>EXP(-LN(2)/25)*FR193+(1-EXP(-LN(2)/25))/(LN(2)/25)*Calculateur!FM194*Calculateur!FO194*VLOOKUP('Données projet'!$B$16,Paramètres!$A$1:$I$89,3,0)*0.475*44/12</f>
        <v>1.2394087943045859</v>
      </c>
      <c r="FS194" s="21">
        <f>EXP(-LN(2)/2)*FS193+(1-EXP(-LN(2)/2))/(LN(2)/2)*FM194*FP194*VLOOKUP('Données projet'!$B$16,Paramètres!$A$1:$I$89,3,0)*0.475*44/12</f>
        <v>3.6319548058056434E-18</v>
      </c>
      <c r="FT194" s="22">
        <f t="shared" si="184"/>
        <v>8.494647518818697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458.37755197712164</v>
      </c>
      <c r="T195" s="59">
        <f t="shared" si="142"/>
        <v>278.21741231699917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44.918204935289765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44.918204935289765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508.60701013958447</v>
      </c>
      <c r="AO195" s="59">
        <f t="shared" si="144"/>
        <v>306.61893266146654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50.339367599893698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50.339367599893698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-1.0818439477588981E-13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291.17074241052887</v>
      </c>
      <c r="BJ195" s="59">
        <f t="shared" si="146"/>
        <v>241.18285512887638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9.7432043497187326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9.7432043497187326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429.61977776013185</v>
      </c>
      <c r="CE195" s="59">
        <f t="shared" si="148"/>
        <v>261.95434270986385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41.820397698373249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41.820397698373249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-1.7053025658242404E-13</v>
      </c>
      <c r="CU195" s="17">
        <f>CT195*VLOOKUP('Données projet'!$B$13,Paramètres!$A$1:$I$89,3,0)*VLOOKUP('Données projet'!$B$13,Paramètres!$A$1:$I$89,5,0)</f>
        <v>-1.1173142411280423E-13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255.09913504736693</v>
      </c>
      <c r="CZ195" s="59">
        <f t="shared" si="150"/>
        <v>248.42617382406644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6.6233569885972523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6.6233569885972523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-5.1159076974727213E-13</v>
      </c>
      <c r="DP195" s="17">
        <f>DO195*VLOOKUP('Données projet'!$B$14,Paramètres!$A$1:$I$89,3,0)*VLOOKUP('Données projet'!$B$14,Paramètres!$A$1:$I$89,5,0)</f>
        <v>-5.8259956858819351E-13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459.67331926893809</v>
      </c>
      <c r="DU195" s="59">
        <f t="shared" si="152"/>
        <v>280.33242658375497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37.618689311776713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37.618689311776713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264.08053957457469</v>
      </c>
      <c r="EP195" s="59">
        <f t="shared" si="154"/>
        <v>284.83300065761051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11.866819699227202</v>
      </c>
      <c r="EW195" s="21">
        <f>EXP(-LN(2)/25)*EW194+(1-EXP(-LN(2)/25))/(LN(2)/25)*Calculateur!ER195*Calculateur!ET195*VLOOKUP('Données projet'!$B$15,Paramètres!$A$1:$I$89,3,0)*0.475*44/12</f>
        <v>0.54362380662267973</v>
      </c>
      <c r="EX195" s="21">
        <f>EXP(-LN(2)/2)*EX194+(1-EXP(-LN(2)/2))/(LN(2)/2)*ER195*EU195*VLOOKUP('Données projet'!$B$15,Paramètres!$A$1:$I$89,3,0)*0.475*44/12</f>
        <v>8.1788546909257692E-19</v>
      </c>
      <c r="EY195" s="22">
        <f t="shared" si="181"/>
        <v>12.410443505849882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166.27444639635013</v>
      </c>
      <c r="FK195" s="59">
        <f t="shared" si="156"/>
        <v>213.60182977243113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7.1129679183850536</v>
      </c>
      <c r="FR195" s="21">
        <f>EXP(-LN(2)/25)*FR194+(1-EXP(-LN(2)/25))/(LN(2)/25)*Calculateur!FM195*Calculateur!FO195*VLOOKUP('Données projet'!$B$16,Paramètres!$A$1:$I$89,3,0)*0.475*44/12</f>
        <v>1.2055170956466512</v>
      </c>
      <c r="FS195" s="21">
        <f>EXP(-LN(2)/2)*FS194+(1-EXP(-LN(2)/2))/(LN(2)/2)*FM195*FP195*VLOOKUP('Données projet'!$B$16,Paramètres!$A$1:$I$89,3,0)*0.475*44/12</f>
        <v>2.5681798721482408E-18</v>
      </c>
      <c r="FT195" s="22">
        <f t="shared" si="184"/>
        <v>8.3184850140317046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458.37755197712164</v>
      </c>
      <c r="T196" s="59">
        <f t="shared" si="142"/>
        <v>278.21741231699917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44.037386333908472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44.037386333908472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508.60701013958447</v>
      </c>
      <c r="AO196" s="59">
        <f t="shared" si="144"/>
        <v>306.61893266146654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49.352243305242254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49.352243305242254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-1.0818439477588981E-13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291.17074241052887</v>
      </c>
      <c r="BJ196" s="59">
        <f t="shared" si="146"/>
        <v>241.18285512887638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9.5521460551886026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9.5521460551886026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429.61977776013185</v>
      </c>
      <c r="CE196" s="59">
        <f t="shared" si="148"/>
        <v>261.95434270986385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41.000325207432049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41.000325207432049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-1.7053025658242404E-13</v>
      </c>
      <c r="CU196" s="17">
        <f>CT196*VLOOKUP('Données projet'!$B$13,Paramètres!$A$1:$I$89,3,0)*VLOOKUP('Données projet'!$B$13,Paramètres!$A$1:$I$89,5,0)</f>
        <v>-1.1173142411280423E-13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255.09913504736693</v>
      </c>
      <c r="CZ196" s="59">
        <f t="shared" si="150"/>
        <v>248.42617382406644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6.4934769978997213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6.4934769978997213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-5.1159076974727213E-13</v>
      </c>
      <c r="DP196" s="17">
        <f>DO196*VLOOKUP('Données projet'!$B$14,Paramètres!$A$1:$I$89,3,0)*VLOOKUP('Données projet'!$B$14,Paramètres!$A$1:$I$89,5,0)</f>
        <v>-5.8259956858819351E-13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459.67331926893809</v>
      </c>
      <c r="DU196" s="59">
        <f t="shared" si="152"/>
        <v>280.33242658375497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36.881009759507606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36.881009759507606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264.08053957457469</v>
      </c>
      <c r="EP196" s="59">
        <f t="shared" si="154"/>
        <v>284.83300065761051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11.634118602970675</v>
      </c>
      <c r="EW196" s="21">
        <f>EXP(-LN(2)/25)*EW195+(1-EXP(-LN(2)/25))/(LN(2)/25)*Calculateur!ER196*Calculateur!ET196*VLOOKUP('Données projet'!$B$15,Paramètres!$A$1:$I$89,3,0)*0.475*44/12</f>
        <v>0.52875838504264905</v>
      </c>
      <c r="EX196" s="21">
        <f>EXP(-LN(2)/2)*EX195+(1-EXP(-LN(2)/2))/(LN(2)/2)*ER196*EU196*VLOOKUP('Données projet'!$B$15,Paramètres!$A$1:$I$89,3,0)*0.475*44/12</f>
        <v>5.7833236142930156E-19</v>
      </c>
      <c r="EY196" s="22">
        <f t="shared" si="181"/>
        <v>12.162876988013323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166.27444639635013</v>
      </c>
      <c r="FK196" s="59">
        <f t="shared" si="156"/>
        <v>213.60182977243113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6.9734869559875632</v>
      </c>
      <c r="FR196" s="21">
        <f>EXP(-LN(2)/25)*FR195+(1-EXP(-LN(2)/25))/(LN(2)/25)*Calculateur!FM196*Calculateur!FO196*VLOOKUP('Données projet'!$B$16,Paramètres!$A$1:$I$89,3,0)*0.475*44/12</f>
        <v>1.1725521672708048</v>
      </c>
      <c r="FS196" s="21">
        <f>EXP(-LN(2)/2)*FS195+(1-EXP(-LN(2)/2))/(LN(2)/2)*FM196*FP196*VLOOKUP('Données projet'!$B$16,Paramètres!$A$1:$I$89,3,0)*0.475*44/12</f>
        <v>1.8159774029028217E-18</v>
      </c>
      <c r="FT196" s="22">
        <f t="shared" si="184"/>
        <v>8.1460391232583689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458.37755197712164</v>
      </c>
      <c r="T197" s="59">
        <f t="shared" ref="T197:T203" si="204">$T$3</f>
        <v>278.21741231699917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43.173840048053968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43.173840048053968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508.60701013958447</v>
      </c>
      <c r="AO197" s="59">
        <f t="shared" ref="AO197:AO203" si="205">$AO$3</f>
        <v>306.61893266146654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48.384475915922557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48.384475915922557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-1.0818439477588981E-13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291.17074241052887</v>
      </c>
      <c r="BJ197" s="59">
        <f t="shared" ref="BJ197:BJ203" si="206">$BJ$3</f>
        <v>241.18285512887638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9.3648342972801544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9.3648342972801544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429.61977776013185</v>
      </c>
      <c r="CE197" s="59">
        <f t="shared" ref="CE197:CE203" si="207">$CE$3</f>
        <v>261.95434270986385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40.196333837843376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40.196333837843376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-1.7053025658242404E-13</v>
      </c>
      <c r="CU197" s="17">
        <f>CT197*VLOOKUP('Données projet'!$B$13,Paramètres!$A$1:$I$89,3,0)*VLOOKUP('Données projet'!$B$13,Paramètres!$A$1:$I$89,5,0)</f>
        <v>-1.1173142411280423E-13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255.09913504736693</v>
      </c>
      <c r="CZ197" s="59">
        <f t="shared" ref="CZ197:CZ203" si="208">$CZ$3</f>
        <v>248.42617382406644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6.3661438746007972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6.3661438746007972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-5.1159076974727213E-13</v>
      </c>
      <c r="DP197" s="17">
        <f>DO197*VLOOKUP('Données projet'!$B$14,Paramètres!$A$1:$I$89,3,0)*VLOOKUP('Données projet'!$B$14,Paramètres!$A$1:$I$89,5,0)</f>
        <v>-5.8259956858819351E-13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459.67331926893809</v>
      </c>
      <c r="DU197" s="59">
        <f t="shared" ref="DU197:DU203" si="209">$DU$3</f>
        <v>280.33242658375497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36.157795653318402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36.157795653318402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264.08053957457469</v>
      </c>
      <c r="EP197" s="59">
        <f t="shared" ref="EP197:EP203" si="210">$EP$3</f>
        <v>284.83300065761051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11.405980633278086</v>
      </c>
      <c r="EW197" s="21">
        <f>EXP(-LN(2)/25)*EW196+(1-EXP(-LN(2)/25))/(LN(2)/25)*Calculateur!ER197*Calculateur!ET197*VLOOKUP('Données projet'!$B$15,Paramètres!$A$1:$I$89,3,0)*0.475*44/12</f>
        <v>0.51429945919746278</v>
      </c>
      <c r="EX197" s="21">
        <f>EXP(-LN(2)/2)*EX196+(1-EXP(-LN(2)/2))/(LN(2)/2)*ER197*EU197*VLOOKUP('Données projet'!$B$15,Paramètres!$A$1:$I$89,3,0)*0.475*44/12</f>
        <v>4.0894273454628846E-19</v>
      </c>
      <c r="EY197" s="22">
        <f t="shared" si="181"/>
        <v>11.920280092475549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166.27444639635013</v>
      </c>
      <c r="FK197" s="59">
        <f t="shared" ref="FK197:FK203" si="211">$FK$3</f>
        <v>213.60182977243113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6.8367411301877015</v>
      </c>
      <c r="FR197" s="21">
        <f>EXP(-LN(2)/25)*FR196+(1-EXP(-LN(2)/25))/(LN(2)/25)*Calculateur!FM197*Calculateur!FO197*VLOOKUP('Données projet'!$B$16,Paramètres!$A$1:$I$89,3,0)*0.475*44/12</f>
        <v>1.1404886665949461</v>
      </c>
      <c r="FS197" s="21">
        <f>EXP(-LN(2)/2)*FS196+(1-EXP(-LN(2)/2))/(LN(2)/2)*FM197*FP197*VLOOKUP('Données projet'!$B$16,Paramètres!$A$1:$I$89,3,0)*0.475*44/12</f>
        <v>1.2840899360741204E-18</v>
      </c>
      <c r="FT197" s="22">
        <f t="shared" si="184"/>
        <v>7.9772297967826473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458.37755197712164</v>
      </c>
      <c r="T198" s="59">
        <f t="shared" si="204"/>
        <v>278.21741231699917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42.32722737815385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42.32722737815385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508.60701013958447</v>
      </c>
      <c r="AO198" s="59">
        <f t="shared" si="205"/>
        <v>306.61893266146654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47.435685854827597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47.435685854827597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-1.0818439477588981E-13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291.17074241052887</v>
      </c>
      <c r="BJ198" s="59">
        <f t="shared" si="206"/>
        <v>241.18285512887638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9.1811956086954005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9.1811956086954005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429.61977776013185</v>
      </c>
      <c r="CE198" s="59">
        <f t="shared" si="207"/>
        <v>261.95434270986385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39.408108248626021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39.408108248626021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-1.7053025658242404E-13</v>
      </c>
      <c r="CU198" s="17">
        <f>CT198*VLOOKUP('Données projet'!$B$13,Paramètres!$A$1:$I$89,3,0)*VLOOKUP('Données projet'!$B$13,Paramètres!$A$1:$I$89,5,0)</f>
        <v>-1.1173142411280423E-13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255.09913504736693</v>
      </c>
      <c r="CZ198" s="59">
        <f t="shared" si="208"/>
        <v>248.42617382406644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6.2413076761842285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6.2413076761842285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-5.1159076974727213E-13</v>
      </c>
      <c r="DP198" s="17">
        <f>DO198*VLOOKUP('Données projet'!$B$14,Paramètres!$A$1:$I$89,3,0)*VLOOKUP('Données projet'!$B$14,Paramètres!$A$1:$I$89,5,0)</f>
        <v>-5.8259956858819351E-13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459.67331926893809</v>
      </c>
      <c r="DU198" s="59">
        <f t="shared" si="209"/>
        <v>280.33242658375497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35.448763334634521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35.448763334634521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264.08053957457469</v>
      </c>
      <c r="EP198" s="59">
        <f t="shared" si="210"/>
        <v>284.83300065761051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11.182316310020745</v>
      </c>
      <c r="EW198" s="21">
        <f>EXP(-LN(2)/25)*EW197+(1-EXP(-LN(2)/25))/(LN(2)/25)*Calculateur!ER198*Calculateur!ET198*VLOOKUP('Données projet'!$B$15,Paramètres!$A$1:$I$89,3,0)*0.475*44/12</f>
        <v>0.50023591343987506</v>
      </c>
      <c r="EX198" s="21">
        <f>EXP(-LN(2)/2)*EX197+(1-EXP(-LN(2)/2))/(LN(2)/2)*ER198*EU198*VLOOKUP('Données projet'!$B$15,Paramètres!$A$1:$I$89,3,0)*0.475*44/12</f>
        <v>2.8916618071465078E-19</v>
      </c>
      <c r="EY198" s="22">
        <f t="shared" si="181"/>
        <v>11.68255222346062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166.27444639635013</v>
      </c>
      <c r="FK198" s="59">
        <f t="shared" si="211"/>
        <v>213.60182977243113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6.7026768066250568</v>
      </c>
      <c r="FR198" s="21">
        <f>EXP(-LN(2)/25)*FR197+(1-EXP(-LN(2)/25))/(LN(2)/25)*Calculateur!FM198*Calculateur!FO198*VLOOKUP('Données projet'!$B$16,Paramètres!$A$1:$I$89,3,0)*0.475*44/12</f>
        <v>1.1093019440312148</v>
      </c>
      <c r="FS198" s="21">
        <f>EXP(-LN(2)/2)*FS197+(1-EXP(-LN(2)/2))/(LN(2)/2)*FM198*FP198*VLOOKUP('Données projet'!$B$16,Paramètres!$A$1:$I$89,3,0)*0.475*44/12</f>
        <v>9.0798870145141084E-19</v>
      </c>
      <c r="FT198" s="22">
        <f t="shared" si="184"/>
        <v>7.8119787506562712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458.37755197712164</v>
      </c>
      <c r="T199" s="59">
        <f t="shared" si="204"/>
        <v>278.21741231699917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41.497216266327733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41.497216266327733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508.60701013958447</v>
      </c>
      <c r="AO199" s="59">
        <f t="shared" si="205"/>
        <v>306.61893266146654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46.50550098812591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46.50550098812591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-1.0818439477588981E-13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291.17074241052887</v>
      </c>
      <c r="BJ199" s="59">
        <f t="shared" si="206"/>
        <v>241.18285512887638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9.0011579627852534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9.0011579627852534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429.61977776013185</v>
      </c>
      <c r="CE199" s="59">
        <f t="shared" si="207"/>
        <v>261.95434270986385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38.635339282443084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38.635339282443084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-1.7053025658242404E-13</v>
      </c>
      <c r="CU199" s="17">
        <f>CT199*VLOOKUP('Données projet'!$B$13,Paramètres!$A$1:$I$89,3,0)*VLOOKUP('Données projet'!$B$13,Paramètres!$A$1:$I$89,5,0)</f>
        <v>-1.1173142411280423E-13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255.09913504736693</v>
      </c>
      <c r="CZ199" s="59">
        <f t="shared" si="208"/>
        <v>248.42617382406644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6.1189194394760458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6.1189194394760458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-5.1159076974727213E-13</v>
      </c>
      <c r="DP199" s="17">
        <f>DO199*VLOOKUP('Données projet'!$B$14,Paramètres!$A$1:$I$89,3,0)*VLOOKUP('Données projet'!$B$14,Paramètres!$A$1:$I$89,5,0)</f>
        <v>-5.8259956858819351E-13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459.67331926893809</v>
      </c>
      <c r="DU199" s="59">
        <f t="shared" si="209"/>
        <v>280.33242658375497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34.753634707253013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34.753634707253013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264.08053957457469</v>
      </c>
      <c r="EP199" s="59">
        <f t="shared" si="210"/>
        <v>284.83300065761051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10.963037907720715</v>
      </c>
      <c r="EW199" s="21">
        <f>EXP(-LN(2)/25)*EW198+(1-EXP(-LN(2)/25))/(LN(2)/25)*Calculateur!ER199*Calculateur!ET199*VLOOKUP('Données projet'!$B$15,Paramètres!$A$1:$I$89,3,0)*0.475*44/12</f>
        <v>0.4865569360805983</v>
      </c>
      <c r="EX199" s="21">
        <f>EXP(-LN(2)/2)*EX198+(1-EXP(-LN(2)/2))/(LN(2)/2)*ER199*EU199*VLOOKUP('Données projet'!$B$15,Paramètres!$A$1:$I$89,3,0)*0.475*44/12</f>
        <v>2.0447136727314423E-19</v>
      </c>
      <c r="EY199" s="22">
        <f t="shared" si="181"/>
        <v>11.449594843801313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166.27444639635013</v>
      </c>
      <c r="FK199" s="59">
        <f t="shared" si="211"/>
        <v>213.60182977243113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6.5712414026763124</v>
      </c>
      <c r="FR199" s="21">
        <f>EXP(-LN(2)/25)*FR198+(1-EXP(-LN(2)/25))/(LN(2)/25)*Calculateur!FM199*Calculateur!FO199*VLOOKUP('Données projet'!$B$16,Paramètres!$A$1:$I$89,3,0)*0.475*44/12</f>
        <v>1.0789680240360273</v>
      </c>
      <c r="FS199" s="21">
        <f>EXP(-LN(2)/2)*FS198+(1-EXP(-LN(2)/2))/(LN(2)/2)*FM199*FP199*VLOOKUP('Données projet'!$B$16,Paramètres!$A$1:$I$89,3,0)*0.475*44/12</f>
        <v>6.420449680370602E-19</v>
      </c>
      <c r="FT199" s="22">
        <f t="shared" si="184"/>
        <v>7.6502094267123395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458.37755197712164</v>
      </c>
      <c r="T200" s="59">
        <f t="shared" si="204"/>
        <v>278.21741231699917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40.683481166147736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40.683481166147736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508.60701013958447</v>
      </c>
      <c r="AO200" s="59">
        <f t="shared" si="205"/>
        <v>306.61893266146654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45.593556479303494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45.593556479303494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-1.0818439477588981E-13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291.17074241052887</v>
      </c>
      <c r="BJ200" s="59">
        <f t="shared" si="206"/>
        <v>241.18285512887638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8.8246507452992837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8.8246507452992837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429.61977776013185</v>
      </c>
      <c r="CE200" s="59">
        <f t="shared" si="207"/>
        <v>261.95434270986385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37.877723844344466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37.877723844344466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-1.7053025658242404E-13</v>
      </c>
      <c r="CU200" s="17">
        <f>CT200*VLOOKUP('Données projet'!$B$13,Paramètres!$A$1:$I$89,3,0)*VLOOKUP('Données projet'!$B$13,Paramètres!$A$1:$I$89,5,0)</f>
        <v>-1.1173142411280423E-13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255.09913504736693</v>
      </c>
      <c r="CZ200" s="59">
        <f t="shared" si="208"/>
        <v>248.42617382406644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5.9989311614402574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5.9989311614402574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-5.1159076974727213E-13</v>
      </c>
      <c r="DP200" s="17">
        <f>DO200*VLOOKUP('Données projet'!$B$14,Paramètres!$A$1:$I$89,3,0)*VLOOKUP('Données projet'!$B$14,Paramètres!$A$1:$I$89,5,0)</f>
        <v>-5.8259956858819351E-13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459.67331926893809</v>
      </c>
      <c r="DU200" s="59">
        <f t="shared" si="209"/>
        <v>280.33242658375497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34.072137128267862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34.072137128267862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264.08053957457469</v>
      </c>
      <c r="EP200" s="59">
        <f t="shared" si="210"/>
        <v>284.83300065761051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10.74805942114317</v>
      </c>
      <c r="EW200" s="21">
        <f>EXP(-LN(2)/25)*EW199+(1-EXP(-LN(2)/25))/(LN(2)/25)*Calculateur!ER200*Calculateur!ET200*VLOOKUP('Données projet'!$B$15,Paramètres!$A$1:$I$89,3,0)*0.475*44/12</f>
        <v>0.47325201107655712</v>
      </c>
      <c r="EX200" s="21">
        <f>EXP(-LN(2)/2)*EX199+(1-EXP(-LN(2)/2))/(LN(2)/2)*ER200*EU200*VLOOKUP('Données projet'!$B$15,Paramètres!$A$1:$I$89,3,0)*0.475*44/12</f>
        <v>1.4458309035732539E-19</v>
      </c>
      <c r="EY200" s="22">
        <f t="shared" si="181"/>
        <v>11.221311432219727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166.27444639635013</v>
      </c>
      <c r="FK200" s="59">
        <f t="shared" si="211"/>
        <v>213.60182977243113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6.4423833668313222</v>
      </c>
      <c r="FR200" s="21">
        <f>EXP(-LN(2)/25)*FR199+(1-EXP(-LN(2)/25))/(LN(2)/25)*Calculateur!FM200*Calculateur!FO200*VLOOKUP('Données projet'!$B$16,Paramètres!$A$1:$I$89,3,0)*0.475*44/12</f>
        <v>1.0494635866782998</v>
      </c>
      <c r="FS200" s="21">
        <f>EXP(-LN(2)/2)*FS199+(1-EXP(-LN(2)/2))/(LN(2)/2)*FM200*FP200*VLOOKUP('Données projet'!$B$16,Paramètres!$A$1:$I$89,3,0)*0.475*44/12</f>
        <v>4.5399435072570542E-19</v>
      </c>
      <c r="FT200" s="22">
        <f t="shared" si="184"/>
        <v>7.4918469535096222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458.37755197712164</v>
      </c>
      <c r="T201" s="59">
        <f t="shared" si="204"/>
        <v>278.21741231699917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39.885702914952866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39.885702914952866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508.60701013958447</v>
      </c>
      <c r="AO201" s="59">
        <f t="shared" si="205"/>
        <v>306.61893266146654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44.699494646067862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44.699494646067862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-1.0818439477588981E-13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291.17074241052887</v>
      </c>
      <c r="BJ201" s="59">
        <f t="shared" si="206"/>
        <v>241.18285512887638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8.6516047266894418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8.6516047266894418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429.61977776013185</v>
      </c>
      <c r="CE201" s="59">
        <f t="shared" si="207"/>
        <v>261.95434270986385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37.134964782887174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37.134964782887174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-1.7053025658242404E-13</v>
      </c>
      <c r="CU201" s="17">
        <f>CT201*VLOOKUP('Données projet'!$B$13,Paramètres!$A$1:$I$89,3,0)*VLOOKUP('Données projet'!$B$13,Paramètres!$A$1:$I$89,5,0)</f>
        <v>-1.1173142411280423E-13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255.09913504736693</v>
      </c>
      <c r="CZ201" s="59">
        <f t="shared" si="208"/>
        <v>248.42617382406644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5.8812957803511274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5.8812957803511274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-5.1159076974727213E-13</v>
      </c>
      <c r="DP201" s="17">
        <f>DO201*VLOOKUP('Données projet'!$B$14,Paramètres!$A$1:$I$89,3,0)*VLOOKUP('Données projet'!$B$14,Paramètres!$A$1:$I$89,5,0)</f>
        <v>-5.8259956858819351E-13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459.67331926893809</v>
      </c>
      <c r="DU201" s="59">
        <f t="shared" si="209"/>
        <v>280.33242658375497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33.404003301134132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33.404003301134132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264.08053957457469</v>
      </c>
      <c r="EP201" s="59">
        <f t="shared" si="210"/>
        <v>284.83300065761051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10.537296531563481</v>
      </c>
      <c r="EW201" s="21">
        <f>EXP(-LN(2)/25)*EW200+(1-EXP(-LN(2)/25))/(LN(2)/25)*Calculateur!ER201*Calculateur!ET201*VLOOKUP('Données projet'!$B$15,Paramètres!$A$1:$I$89,3,0)*0.475*44/12</f>
        <v>0.46031090994642704</v>
      </c>
      <c r="EX201" s="21">
        <f>EXP(-LN(2)/2)*EX200+(1-EXP(-LN(2)/2))/(LN(2)/2)*ER201*EU201*VLOOKUP('Données projet'!$B$15,Paramètres!$A$1:$I$89,3,0)*0.475*44/12</f>
        <v>1.0223568363657212E-19</v>
      </c>
      <c r="EY201" s="22">
        <f t="shared" si="181"/>
        <v>10.997607441509908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166.27444639635013</v>
      </c>
      <c r="FK201" s="59">
        <f t="shared" si="211"/>
        <v>213.60182977243113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6.3160521584736111</v>
      </c>
      <c r="FR201" s="21">
        <f>EXP(-LN(2)/25)*FR200+(1-EXP(-LN(2)/25))/(LN(2)/25)*Calculateur!FM201*Calculateur!FO201*VLOOKUP('Données projet'!$B$16,Paramètres!$A$1:$I$89,3,0)*0.475*44/12</f>
        <v>1.0207659497116901</v>
      </c>
      <c r="FS201" s="21">
        <f>EXP(-LN(2)/2)*FS200+(1-EXP(-LN(2)/2))/(LN(2)/2)*FM201*FP201*VLOOKUP('Données projet'!$B$16,Paramètres!$A$1:$I$89,3,0)*0.475*44/12</f>
        <v>3.210224840185301E-19</v>
      </c>
      <c r="FT201" s="22">
        <f t="shared" si="184"/>
        <v>7.3368181081853017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458.37755197712164</v>
      </c>
      <c r="T202" s="59">
        <f t="shared" si="204"/>
        <v>278.21741231699917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39.103568608667238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39.103568608667238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508.60701013958447</v>
      </c>
      <c r="AO202" s="59">
        <f t="shared" si="205"/>
        <v>306.61893266146654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43.822964820058111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43.822964820058111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-1.0818439477588981E-13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291.17074241052887</v>
      </c>
      <c r="BJ202" s="59">
        <f t="shared" si="206"/>
        <v>241.18285512887638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8.4819520349568887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8.4819520349568887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429.61977776013185</v>
      </c>
      <c r="CE202" s="59">
        <f t="shared" si="207"/>
        <v>261.95434270986385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36.406770773586764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36.406770773586764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-1.7053025658242404E-13</v>
      </c>
      <c r="CU202" s="17">
        <f>CT202*VLOOKUP('Données projet'!$B$13,Paramètres!$A$1:$I$89,3,0)*VLOOKUP('Données projet'!$B$13,Paramètres!$A$1:$I$89,5,0)</f>
        <v>-1.1173142411280423E-13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255.09913504736693</v>
      </c>
      <c r="CZ202" s="59">
        <f t="shared" si="208"/>
        <v>248.42617382406644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5.765967157334658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5.765967157334658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-5.1159076974727213E-13</v>
      </c>
      <c r="DP202" s="17">
        <f>DO202*VLOOKUP('Données projet'!$B$14,Paramètres!$A$1:$I$89,3,0)*VLOOKUP('Données projet'!$B$14,Paramètres!$A$1:$I$89,5,0)</f>
        <v>-5.8259956858819351E-13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459.67331926893809</v>
      </c>
      <c r="DU202" s="59">
        <f t="shared" si="209"/>
        <v>280.33242658375497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32.748971170829101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32.748971170829101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264.08053957457469</v>
      </c>
      <c r="EP202" s="59">
        <f t="shared" si="210"/>
        <v>284.83300065761051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10.33066657369578</v>
      </c>
      <c r="EW202" s="21">
        <f>EXP(-LN(2)/25)*EW201+(1-EXP(-LN(2)/25))/(LN(2)/25)*Calculateur!ER202*Calculateur!ET202*VLOOKUP('Données projet'!$B$15,Paramètres!$A$1:$I$89,3,0)*0.475*44/12</f>
        <v>0.44772368390724326</v>
      </c>
      <c r="EX202" s="21">
        <f>EXP(-LN(2)/2)*EX201+(1-EXP(-LN(2)/2))/(LN(2)/2)*ER202*EU202*VLOOKUP('Données projet'!$B$15,Paramètres!$A$1:$I$89,3,0)*0.475*44/12</f>
        <v>7.2291545178662695E-20</v>
      </c>
      <c r="EY202" s="22">
        <f t="shared" si="181"/>
        <v>10.778390257603023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166.27444639635013</v>
      </c>
      <c r="FK202" s="59">
        <f t="shared" si="211"/>
        <v>213.60182977243113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6.1921982280573662</v>
      </c>
      <c r="FR202" s="21">
        <f>EXP(-LN(2)/25)*FR201+(1-EXP(-LN(2)/25))/(LN(2)/25)*Calculateur!FM202*Calculateur!FO202*VLOOKUP('Données projet'!$B$16,Paramètres!$A$1:$I$89,3,0)*0.475*44/12</f>
        <v>0.99285305113707567</v>
      </c>
      <c r="FS202" s="21">
        <f>EXP(-LN(2)/2)*FS201+(1-EXP(-LN(2)/2))/(LN(2)/2)*FM202*FP202*VLOOKUP('Données projet'!$B$16,Paramètres!$A$1:$I$89,3,0)*0.475*44/12</f>
        <v>2.2699717536285271E-19</v>
      </c>
      <c r="FT202" s="22">
        <f t="shared" si="184"/>
        <v>7.1850512791944414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458.37755197712164</v>
      </c>
      <c r="T203" s="59">
        <f t="shared" si="204"/>
        <v>278.21741231699917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38.33677147907305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38.33677147907305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508.60701013958447</v>
      </c>
      <c r="AO203" s="59">
        <f t="shared" si="205"/>
        <v>306.61893266146654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42.963623209306007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42.963623209306007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-1.0818439477588981E-13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291.17074241052887</v>
      </c>
      <c r="BJ203" s="59">
        <f t="shared" si="206"/>
        <v>241.18285512887638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8.315626129031287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8.315626129031287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429.61977776013185</v>
      </c>
      <c r="CE203" s="59">
        <f t="shared" si="207"/>
        <v>261.95434270986385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35.692856204654248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35.692856204654248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-1.7053025658242404E-13</v>
      </c>
      <c r="CU203" s="17">
        <f>CT203*VLOOKUP('Données projet'!$B$13,Paramètres!$A$1:$I$89,3,0)*VLOOKUP('Données projet'!$B$13,Paramètres!$A$1:$I$89,5,0)</f>
        <v>-1.1173142411280423E-13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255.09913504736693</v>
      </c>
      <c r="CZ203" s="59">
        <f t="shared" si="208"/>
        <v>248.42617382406644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5.652900058272027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5.652900058272027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-5.1159076974727213E-13</v>
      </c>
      <c r="DP203" s="17">
        <f>DO203*VLOOKUP('Données projet'!$B$14,Paramètres!$A$1:$I$89,3,0)*VLOOKUP('Données projet'!$B$14,Paramètres!$A$1:$I$89,5,0)</f>
        <v>-5.8259956858819351E-13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459.67331926893809</v>
      </c>
      <c r="DU203" s="59">
        <f t="shared" si="209"/>
        <v>280.33242658375497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32.1067838210692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32.1067838210692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264.08053957457469</v>
      </c>
      <c r="EP203" s="59">
        <f t="shared" si="210"/>
        <v>284.83300065761051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10.128088503270035</v>
      </c>
      <c r="EW203" s="21">
        <f>EXP(-LN(2)/25)*EW202+(1-EXP(-LN(2)/25))/(LN(2)/25)*Calculateur!ER203*Calculateur!ET203*VLOOKUP('Données projet'!$B$15,Paramètres!$A$1:$I$89,3,0)*0.475*44/12</f>
        <v>0.43548065622603443</v>
      </c>
      <c r="EX203" s="21">
        <f>EXP(-LN(2)/2)*EX202+(1-EXP(-LN(2)/2))/(LN(2)/2)*ER203*EU203*VLOOKUP('Données projet'!$B$15,Paramètres!$A$1:$I$89,3,0)*0.475*44/12</f>
        <v>5.1117841818286058E-20</v>
      </c>
      <c r="EY203" s="22">
        <f t="shared" si="181"/>
        <v>10.563569159496069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166.27444639635013</v>
      </c>
      <c r="FK203" s="59">
        <f t="shared" si="211"/>
        <v>213.60182977243113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6.0707729976731457</v>
      </c>
      <c r="FR203" s="21">
        <f>EXP(-LN(2)/25)*FR202+(1-EXP(-LN(2)/25))/(LN(2)/25)*Calculateur!FM203*Calculateur!FO203*VLOOKUP('Données projet'!$B$16,Paramètres!$A$1:$I$89,3,0)*0.475*44/12</f>
        <v>0.96570343224185962</v>
      </c>
      <c r="FS203" s="21">
        <f>EXP(-LN(2)/2)*FS202+(1-EXP(-LN(2)/2))/(LN(2)/2)*FM203*FP203*VLOOKUP('Données projet'!$B$16,Paramètres!$A$1:$I$89,3,0)*0.475*44/12</f>
        <v>1.6051124200926505E-19</v>
      </c>
      <c r="FT203" s="22">
        <f t="shared" si="184"/>
        <v>7.0364764299150053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1.2054868146447177</v>
      </c>
      <c r="BV205" s="82">
        <f>EXP(LN('Données projet'!B114)/'Données projet'!A114)</f>
        <v>1.2392705892426346</v>
      </c>
      <c r="CQ205" s="82">
        <f>EXP(LN('Données projet'!B140)/'Données projet'!A140)</f>
        <v>1.2721747796233518</v>
      </c>
      <c r="DL205" s="82">
        <f>EXP(LN('Données projet'!B166)/'Données projet'!A166)</f>
        <v>1.2054868146447177</v>
      </c>
      <c r="EG205" s="82">
        <f>EXP(LN('Données projet'!B192)/'Données projet'!A192)</f>
        <v>1.2716765087493749</v>
      </c>
      <c r="FB205" s="82">
        <f>EXP(LN('Données projet'!B218)/'Données projet'!A218)</f>
        <v>1.1867200975826817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C8" sqref="C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Chêne sessile</v>
      </c>
      <c r="B6" s="146">
        <f>'Données projet'!D9</f>
        <v>0.23322433000000001</v>
      </c>
      <c r="C6" s="147">
        <f ca="1">IF(OR('Données projet'!B9="",'Données projet'!C9="",'Données projet'!C9=0%),0,Calculateur!S3)</f>
        <v>458.37755197712164</v>
      </c>
      <c r="D6" s="147">
        <f>IF(OR('Données projet'!B9="",'Données projet'!C9="",'Données projet'!C9=0%),0,Calculateur!T3)</f>
        <v>278.21741231699917</v>
      </c>
      <c r="E6" s="147">
        <f ca="1">MIN(C6,D6)</f>
        <v>278.21741231699917</v>
      </c>
      <c r="F6" s="147">
        <f ca="1">E6*B6</f>
        <v>64.887069581965875</v>
      </c>
      <c r="G6" s="147">
        <f ca="1">F6*(100%-'Données projet'!$C$24)*(100%-'Données projet'!$C$25)*(100%-'Données projet'!$C$26)*(100%-'Données projet'!$C$27)</f>
        <v>58.398362623769287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58.398362623769287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Chêne pubescent</v>
      </c>
      <c r="B7" s="154">
        <f>'Données projet'!D10</f>
        <v>0.46128584999999994</v>
      </c>
      <c r="C7" s="147">
        <f ca="1">IF(OR('Données projet'!B10="",'Données projet'!C10="",'Données projet'!C10=0%),0,Calculateur!AN3)</f>
        <v>508.60701013958447</v>
      </c>
      <c r="D7" s="147">
        <f>IF(OR('Données projet'!B10="",'Données projet'!C10="",'Données projet'!C10=0%),0,Calculateur!AO3)</f>
        <v>306.61893266146654</v>
      </c>
      <c r="E7" s="147">
        <f t="shared" ref="E7:E15" ca="1" si="0">MIN(C7,D7)</f>
        <v>306.61893266146654</v>
      </c>
      <c r="F7" s="147">
        <f t="shared" ref="F7:F15" ca="1" si="1">E7*B7</f>
        <v>141.43897497883734</v>
      </c>
      <c r="G7" s="147">
        <f ca="1">F7*(100%-'Données projet'!$C$24)*(100%-'Données projet'!$C$25)*(100%-'Données projet'!$C$26)*(100%-'Données projet'!$C$27)</f>
        <v>127.29507748095361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127.29507748095361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Charme</v>
      </c>
      <c r="B8" s="154">
        <f>'Données projet'!D11</f>
        <v>0.40000553999999999</v>
      </c>
      <c r="C8" s="147">
        <f ca="1">IF(OR('Données projet'!B11="",'Données projet'!C11="",'Données projet'!C11=0%),0,Calculateur!BI3)</f>
        <v>291.17074241052887</v>
      </c>
      <c r="D8" s="147">
        <f>IF(OR('Données projet'!B11="",'Données projet'!C11="",'Données projet'!C11=0%),0,Calculateur!BJ3)</f>
        <v>241.18285512887638</v>
      </c>
      <c r="E8" s="147">
        <f t="shared" ca="1" si="0"/>
        <v>241.18285512887638</v>
      </c>
      <c r="F8" s="147">
        <f t="shared" ca="1" si="1"/>
        <v>96.474478204567959</v>
      </c>
      <c r="G8" s="147">
        <f ca="1">F8*(100%-'Données projet'!$C$24)*(100%-'Données projet'!$C$25)*(100%-'Données projet'!$C$26)*(100%-'Données projet'!$C$27)</f>
        <v>86.827030384111168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86.827030384111168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Chêne pédonculé</v>
      </c>
      <c r="B9" s="154">
        <f>'Données projet'!D12</f>
        <v>0.20000277</v>
      </c>
      <c r="C9" s="147">
        <f ca="1">IF(OR('Données projet'!B12="",'Données projet'!C12="",'Données projet'!C12=0%),0,Calculateur!CD3)</f>
        <v>429.61977776013185</v>
      </c>
      <c r="D9" s="147">
        <f>IF(OR('Données projet'!B12="",'Données projet'!C12="",'Données projet'!C12=0%),0,Calculateur!CE3)</f>
        <v>261.95434270986385</v>
      </c>
      <c r="E9" s="147">
        <f t="shared" ca="1" si="0"/>
        <v>261.95434270986385</v>
      </c>
      <c r="F9" s="147">
        <f t="shared" ca="1" si="1"/>
        <v>52.391594155502077</v>
      </c>
      <c r="G9" s="147">
        <f ca="1">F9*(100%-'Données projet'!$C$24)*(100%-'Données projet'!$C$25)*(100%-'Données projet'!$C$26)*(100%-'Données projet'!$C$27)</f>
        <v>47.152434739951872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47.152434739951872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Aulne glutineux</v>
      </c>
      <c r="B10" s="154">
        <f>'Données projet'!D13</f>
        <v>0.20000277</v>
      </c>
      <c r="C10" s="147">
        <f ca="1">IF(OR('Données projet'!B13="",'Données projet'!C13="",'Données projet'!C13=0%),0,Calculateur!CY3)</f>
        <v>255.09913504736693</v>
      </c>
      <c r="D10" s="147">
        <f>IF(OR('Données projet'!B13="",'Données projet'!C13="",'Données projet'!C13=0%),0,Calculateur!CZ3)</f>
        <v>248.42617382406644</v>
      </c>
      <c r="E10" s="147">
        <f t="shared" ca="1" si="0"/>
        <v>248.42617382406644</v>
      </c>
      <c r="F10" s="147">
        <f t="shared" ca="1" si="1"/>
        <v>49.685922905314783</v>
      </c>
      <c r="G10" s="147">
        <f ca="1">F10*(100%-'Données projet'!$C$24)*(100%-'Données projet'!$C$25)*(100%-'Données projet'!$C$26)*(100%-'Données projet'!$C$27)</f>
        <v>44.717330614783307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1.40001939</v>
      </c>
      <c r="K10" s="151">
        <f>J10*(100%-'Données projet'!$C$24)*(100%-'Données projet'!$C$25)*(100%-'Données projet'!$C$26)*(100%-'Données projet'!$C$27)</f>
        <v>1.260017451</v>
      </c>
      <c r="L10" s="152">
        <f t="shared" ca="1" si="2"/>
        <v>45.97734806578331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Chêne vert</v>
      </c>
      <c r="B11" s="154">
        <f>'Données projet'!D14</f>
        <v>0.25005958</v>
      </c>
      <c r="C11" s="147">
        <f ca="1">IF(OR('Données projet'!B14="",'Données projet'!C14="",'Données projet'!C14=0%),0,Calculateur!DT3)</f>
        <v>459.67331926893809</v>
      </c>
      <c r="D11" s="147">
        <f>IF(OR('Données projet'!B14="",'Données projet'!C14="",'Données projet'!C14=0%),0,Calculateur!DU3)</f>
        <v>280.33242658375497</v>
      </c>
      <c r="E11" s="147">
        <f t="shared" ca="1" si="0"/>
        <v>280.33242658375497</v>
      </c>
      <c r="F11" s="147">
        <f t="shared" ca="1" si="1"/>
        <v>70.099808851914602</v>
      </c>
      <c r="G11" s="147">
        <f ca="1">F11*(100%-'Données projet'!$C$24)*(100%-'Données projet'!$C$25)*(100%-'Données projet'!$C$26)*(100%-'Données projet'!$C$27)</f>
        <v>63.089827966723142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63.089827966723142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>Pin maritime</v>
      </c>
      <c r="B12" s="154">
        <f>'Données projet'!D15</f>
        <v>0.25005958</v>
      </c>
      <c r="C12" s="147">
        <f ca="1">IF(OR('Données projet'!B15="",'Données projet'!C15="",'Données projet'!C15=0%),0,Calculateur!EO3)</f>
        <v>264.08053957457469</v>
      </c>
      <c r="D12" s="147">
        <f>IF(OR('Données projet'!B15="",'Données projet'!C15="",'Données projet'!C15=0%),0,Calculateur!EP3)</f>
        <v>284.83300065761051</v>
      </c>
      <c r="E12" s="147">
        <f t="shared" ca="1" si="0"/>
        <v>264.08053957457469</v>
      </c>
      <c r="F12" s="147">
        <f t="shared" ca="1" si="1"/>
        <v>66.035868812191524</v>
      </c>
      <c r="G12" s="147">
        <f ca="1">F12*(100%-'Données projet'!$C$24)*(100%-'Données projet'!$C$25)*(100%-'Données projet'!$C$26)*(100%-'Données projet'!$C$27)</f>
        <v>59.432281930972373</v>
      </c>
      <c r="H12" s="155">
        <f>IF(OR('Données projet'!B15="",'Données projet'!C15="",'Données projet'!C15=0%),0,AVERAGE(Calculateur!$EY$3:$EY$33)*B12)</f>
        <v>1.2226323754346824</v>
      </c>
      <c r="I12" s="149">
        <f>H12*(100%-'Données projet'!$C$24)*(100%-'Données projet'!$C$25)*(100%-'Données projet'!$C$26)*(100%-'Données projet'!$C$27)</f>
        <v>1.1003691378912142</v>
      </c>
      <c r="J12" s="150">
        <f>IF(OR('Données projet'!B15="",'Données projet'!C15="",'Données projet'!C15=0%),0,SUM(Calculateur!$ER$3:$ER$33)*VLOOKUP('Données projet'!$B$15,Paramètres!$A$1:$I$89,9,0)*B12)</f>
        <v>12.755889259212001</v>
      </c>
      <c r="K12" s="151">
        <f>J12*(100%-'Données projet'!$C$24)*(100%-'Données projet'!$C$25)*(100%-'Données projet'!$C$26)*(100%-'Données projet'!$C$27)</f>
        <v>11.480300333290801</v>
      </c>
      <c r="L12" s="152">
        <f t="shared" ca="1" si="2"/>
        <v>72.012951402154386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>Cèdre de l'Atlas</v>
      </c>
      <c r="B13" s="154">
        <f>'Données projet'!D16</f>
        <v>0.25005958</v>
      </c>
      <c r="C13" s="147">
        <f ca="1">IF(OR('Données projet'!B16="",'Données projet'!C16="",'Données projet'!C16=0%),0,Calculateur!FJ3)</f>
        <v>166.27444639635013</v>
      </c>
      <c r="D13" s="147">
        <f>IF(OR('Données projet'!B16="",'Données projet'!C16="",'Données projet'!C16=0%),0,Calculateur!FK3)</f>
        <v>213.60182977243113</v>
      </c>
      <c r="E13" s="147">
        <f t="shared" ca="1" si="0"/>
        <v>166.27444639635013</v>
      </c>
      <c r="F13" s="147">
        <f t="shared" ca="1" si="1"/>
        <v>41.578518230603827</v>
      </c>
      <c r="G13" s="147">
        <f ca="1">F13*(100%-'Données projet'!$C$24)*(100%-'Données projet'!$C$25)*(100%-'Données projet'!$C$26)*(100%-'Données projet'!$C$27)</f>
        <v>37.420666407543443</v>
      </c>
      <c r="H13" s="155">
        <f>IF(OR('Données projet'!B16="",'Données projet'!C16="",'Données projet'!C16=0%),0,AVERAGE(Calculateur!$FT$3:$FT$33)*B13)</f>
        <v>0.22970110280458922</v>
      </c>
      <c r="I13" s="149">
        <f>H13*(100%-'Données projet'!$C$24)*(100%-'Données projet'!$C$25)*(100%-'Données projet'!$C$26)*(100%-'Données projet'!$C$27)</f>
        <v>0.2067309925241303</v>
      </c>
      <c r="J13" s="150">
        <f>IF(OR('Données projet'!C16="",'Données projet'!C16=0%),0,SUM(Calculateur!$FM$3:$FM$33)*VLOOKUP('Données projet'!$B$16,Paramètres!$A$1:$I$89,9,0)*B13)</f>
        <v>7.5267933579999999</v>
      </c>
      <c r="K13" s="151">
        <f>J13*(100%-'Données projet'!$C$24)*(100%-'Données projet'!$C$25)*(100%-'Données projet'!$C$26)*(100%-'Données projet'!$C$27)</f>
        <v>6.7741140222</v>
      </c>
      <c r="L13" s="152">
        <f t="shared" ca="1" si="2"/>
        <v>44.401511422267575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582.59223572089786</v>
      </c>
      <c r="G16" s="166">
        <f t="shared" ca="1" si="3"/>
        <v>524.33301214880817</v>
      </c>
      <c r="H16" s="167">
        <f t="shared" si="3"/>
        <v>1.4523334782392716</v>
      </c>
      <c r="I16" s="167">
        <f t="shared" si="3"/>
        <v>1.3071001304153445</v>
      </c>
      <c r="J16" s="168">
        <f t="shared" si="3"/>
        <v>21.682702007212001</v>
      </c>
      <c r="K16" s="168">
        <f t="shared" si="3"/>
        <v>19.514431806490801</v>
      </c>
      <c r="L16" s="169">
        <f t="shared" ca="1" si="3"/>
        <v>545.15454408571429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Chêne pédonculé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Aulne glutineux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Chêne vert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>Pin maritime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>Cèdre de l'Atlas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Normal="100" workbookViewId="0">
      <selection activeCell="F32" sqref="F32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-376.49606296893126</v>
      </c>
      <c r="U10" s="178">
        <f>'Données projet'!D9</f>
        <v>0.23322433000000001</v>
      </c>
      <c r="V10" s="177">
        <f>U10*T10</f>
        <v>-87.808042033566807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Chêne pubescent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-1194.3058394116351</v>
      </c>
      <c r="U11" s="178">
        <f>'Données projet'!D10</f>
        <v>0.46128584999999994</v>
      </c>
      <c r="V11" s="177">
        <f t="shared" ref="V11" si="0">U11*T11</f>
        <v>-550.91638429295949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Charme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-1155.1165667738983</v>
      </c>
      <c r="U12" s="178">
        <f>'Données projet'!D11</f>
        <v>0.40000553999999999</v>
      </c>
      <c r="V12" s="177">
        <f t="shared" ref="V12:V19" si="1">U12*T12</f>
        <v>-462.05302605533922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Chêne pédonculé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-164.33119373461273</v>
      </c>
      <c r="U13" s="178">
        <f>'Données projet'!D12</f>
        <v>0.20000277</v>
      </c>
      <c r="V13" s="177">
        <f t="shared" si="1"/>
        <v>-32.866693944329192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>Aulne glutineux</v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-1241.8846998558734</v>
      </c>
      <c r="U14" s="178">
        <f>'Données projet'!D13</f>
        <v>0.20000277</v>
      </c>
      <c r="V14" s="177">
        <f t="shared" si="1"/>
        <v>-248.38037999179326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90" t="s">
        <v>318</v>
      </c>
      <c r="H15" s="190">
        <v>0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>Chêne vert</v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-1592.9838309702193</v>
      </c>
      <c r="U15" s="178">
        <f>'Données projet'!D14</f>
        <v>0.25005958</v>
      </c>
      <c r="V15" s="177">
        <f t="shared" si="1"/>
        <v>-398.34086771920403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90"/>
      <c r="H16" s="190">
        <v>1</v>
      </c>
      <c r="I16" s="191">
        <v>2905</v>
      </c>
      <c r="J16" s="257" t="s">
        <v>324</v>
      </c>
      <c r="K16" s="207"/>
      <c r="L16" s="287" t="s">
        <v>254</v>
      </c>
      <c r="M16" s="288"/>
      <c r="N16" s="2">
        <v>30</v>
      </c>
      <c r="O16" s="23"/>
      <c r="P16" s="23"/>
      <c r="Q16" s="233"/>
      <c r="R16" s="23"/>
      <c r="S16" s="36" t="str">
        <f>B200</f>
        <v>Pin maritime</v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634.24571406906443</v>
      </c>
      <c r="U16" s="178">
        <f>'Données projet'!D15</f>
        <v>0.25005958</v>
      </c>
      <c r="V16" s="177">
        <f t="shared" si="1"/>
        <v>158.59921687691033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>
        <f>2566.42</f>
        <v>2566.42</v>
      </c>
      <c r="F17" s="229"/>
      <c r="G17" s="290"/>
      <c r="J17" s="201"/>
      <c r="K17" s="207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>Cèdre de l'Atlas</v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-626.3630582725425</v>
      </c>
      <c r="U17" s="178">
        <f>'Données projet'!D16</f>
        <v>0.25005958</v>
      </c>
      <c r="V17" s="177">
        <f t="shared" si="1"/>
        <v>-156.62808327914752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90"/>
      <c r="J18" s="201"/>
      <c r="K18" s="207"/>
      <c r="L18" s="260" t="s">
        <v>255</v>
      </c>
      <c r="M18" s="262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90"/>
      <c r="H19" s="211" t="s">
        <v>178</v>
      </c>
      <c r="I19" s="211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90"/>
      <c r="H20" s="190">
        <v>0</v>
      </c>
      <c r="I20" s="191">
        <f>392.04 +74.62+150</f>
        <v>616.66000000000008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256">
        <f>400+250</f>
        <v>650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f t="shared" ref="I22:I23" si="2">400+250</f>
        <v>650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20</v>
      </c>
      <c r="B23" s="181">
        <f>'Données projet'!D36</f>
        <v>0</v>
      </c>
      <c r="C23" s="193">
        <f>225*'Données projet'!E36+13.8*('Données projet'!F36+'Données projet'!G36)+10*'Données projet'!G36</f>
        <v>0</v>
      </c>
      <c r="D23" s="182">
        <f>B23*C23</f>
        <v>0</v>
      </c>
      <c r="E23" s="193"/>
      <c r="F23" s="229"/>
      <c r="H23" s="190">
        <v>3</v>
      </c>
      <c r="I23" s="191">
        <f t="shared" si="2"/>
        <v>650</v>
      </c>
      <c r="K23" s="207"/>
      <c r="L23" s="289" t="s">
        <v>260</v>
      </c>
      <c r="M23" s="289"/>
      <c r="N23" s="289"/>
      <c r="O23" s="23"/>
      <c r="P23" s="23"/>
      <c r="Q23" s="233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-8768.7430801733972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25</v>
      </c>
      <c r="B24" s="181">
        <f>'Données projet'!D37</f>
        <v>0</v>
      </c>
      <c r="C24" s="193">
        <f>225*'Données projet'!E37+13.8*('Données projet'!F37+'Données projet'!G37)+10*'Données projet'!G37</f>
        <v>0</v>
      </c>
      <c r="D24" s="182">
        <f t="shared" ref="D24:D42" si="3">B24*C24</f>
        <v>0</v>
      </c>
      <c r="E24" s="193"/>
      <c r="F24" s="232"/>
      <c r="H24" s="190">
        <v>4</v>
      </c>
      <c r="I24" s="191">
        <v>250</v>
      </c>
      <c r="K24" s="207"/>
      <c r="O24" s="23"/>
      <c r="P24" s="23"/>
      <c r="Q24" s="233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30</v>
      </c>
      <c r="B25" s="181">
        <f>'Données projet'!D38</f>
        <v>0</v>
      </c>
      <c r="C25" s="193">
        <f>225*'Données projet'!E38+13.8*('Données projet'!F38+'Données projet'!G38)+10*'Données projet'!G38</f>
        <v>0</v>
      </c>
      <c r="D25" s="182">
        <f t="shared" si="3"/>
        <v>0</v>
      </c>
      <c r="E25" s="193"/>
      <c r="F25" s="232"/>
      <c r="H25" s="190">
        <v>5</v>
      </c>
      <c r="I25" s="191">
        <f>600+250</f>
        <v>850</v>
      </c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4">
        <f ca="1">T23-T24</f>
        <v>-8768.7430801733972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35</v>
      </c>
      <c r="B26" s="181">
        <f>'Données projet'!D39</f>
        <v>28</v>
      </c>
      <c r="C26" s="193">
        <f>225*'Données projet'!E39+13.8*('Données projet'!F39+'Données projet'!G39)+10*'Données projet'!G39</f>
        <v>0</v>
      </c>
      <c r="D26" s="182">
        <f t="shared" si="3"/>
        <v>0</v>
      </c>
      <c r="E26" s="193"/>
      <c r="F26" s="232"/>
      <c r="G26" s="228"/>
      <c r="H26" s="190"/>
      <c r="I26" s="191"/>
      <c r="K26" s="207"/>
      <c r="L26" s="291" t="s">
        <v>258</v>
      </c>
      <c r="M26" s="292"/>
      <c r="N26" s="292"/>
      <c r="O26" s="292"/>
      <c r="P26" s="293"/>
      <c r="Q26" s="233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40</v>
      </c>
      <c r="B27" s="181">
        <f>'Données projet'!D40</f>
        <v>28</v>
      </c>
      <c r="C27" s="193">
        <f>225*'Données projet'!E40+13.8*('Données projet'!F40+'Données projet'!G40)+10*'Données projet'!G40</f>
        <v>45</v>
      </c>
      <c r="D27" s="182">
        <f t="shared" si="3"/>
        <v>1260</v>
      </c>
      <c r="E27" s="193"/>
      <c r="F27" s="232"/>
      <c r="G27" s="228"/>
      <c r="H27" s="190"/>
      <c r="I27" s="191"/>
      <c r="K27" s="207"/>
      <c r="L27" s="294"/>
      <c r="M27" s="295"/>
      <c r="N27" s="295"/>
      <c r="O27" s="295"/>
      <c r="P27" s="296"/>
      <c r="Q27" s="233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45</v>
      </c>
      <c r="B28" s="181">
        <f>'Données projet'!D41</f>
        <v>28</v>
      </c>
      <c r="C28" s="193">
        <f>225*'Données projet'!E41+13.8*('Données projet'!F41+'Données projet'!G41)+10*'Données projet'!G41</f>
        <v>45</v>
      </c>
      <c r="D28" s="182">
        <f t="shared" si="3"/>
        <v>1260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50</v>
      </c>
      <c r="B29" s="181">
        <f>'Données projet'!D42</f>
        <v>28</v>
      </c>
      <c r="C29" s="193">
        <f>225*'Données projet'!E42+13.8*('Données projet'!F42+'Données projet'!G42)+10*'Données projet'!G42</f>
        <v>67.5</v>
      </c>
      <c r="D29" s="182">
        <f t="shared" si="3"/>
        <v>1890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55</v>
      </c>
      <c r="B30" s="181">
        <f>'Données projet'!D43</f>
        <v>28</v>
      </c>
      <c r="C30" s="193">
        <f>225*'Données projet'!E43+13.8*('Données projet'!F43+'Données projet'!G43)+10*'Données projet'!G43</f>
        <v>67.5</v>
      </c>
      <c r="D30" s="182">
        <f t="shared" si="3"/>
        <v>1890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60</v>
      </c>
      <c r="B31" s="181">
        <f>'Données projet'!D44</f>
        <v>28</v>
      </c>
      <c r="C31" s="193">
        <f>225*'Données projet'!E44+13.8*('Données projet'!F44+'Données projet'!G44)+10*'Données projet'!G44</f>
        <v>90</v>
      </c>
      <c r="D31" s="182">
        <f t="shared" si="3"/>
        <v>2520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65</v>
      </c>
      <c r="B32" s="181">
        <f>'Données projet'!D45</f>
        <v>28</v>
      </c>
      <c r="C32" s="193">
        <f>225*'Données projet'!E45+13.8*('Données projet'!F45+'Données projet'!G45)+10*'Données projet'!G45</f>
        <v>90</v>
      </c>
      <c r="D32" s="182">
        <f t="shared" si="3"/>
        <v>2520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70</v>
      </c>
      <c r="B33" s="181">
        <f>'Données projet'!D46</f>
        <v>28</v>
      </c>
      <c r="C33" s="193">
        <f>225*'Données projet'!E46+13.8*('Données projet'!F46+'Données projet'!G46)+10*'Données projet'!G46</f>
        <v>112.5</v>
      </c>
      <c r="D33" s="182">
        <f t="shared" si="3"/>
        <v>3150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75</v>
      </c>
      <c r="B34" s="181">
        <f>'Données projet'!D47</f>
        <v>28</v>
      </c>
      <c r="C34" s="193">
        <f>225*'Données projet'!E47+13.8*('Données projet'!F47+'Données projet'!G47)+10*'Données projet'!G47</f>
        <v>112.5</v>
      </c>
      <c r="D34" s="182">
        <f t="shared" si="3"/>
        <v>3150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4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80</v>
      </c>
      <c r="B35" s="181">
        <f>'Données projet'!D48</f>
        <v>28</v>
      </c>
      <c r="C35" s="193">
        <f>225*'Données projet'!E48+13.8*('Données projet'!F48+'Données projet'!G48)+10*'Données projet'!G48</f>
        <v>135</v>
      </c>
      <c r="D35" s="182">
        <f t="shared" si="3"/>
        <v>3780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4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90</v>
      </c>
      <c r="B36" s="181">
        <f>'Données projet'!D49</f>
        <v>56</v>
      </c>
      <c r="C36" s="193">
        <f>225*'Données projet'!E49+13.8*('Données projet'!F49+'Données projet'!G49)+10*'Données projet'!G49</f>
        <v>157.5</v>
      </c>
      <c r="D36" s="182">
        <f t="shared" si="3"/>
        <v>8820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100</v>
      </c>
      <c r="B37" s="181">
        <f>'Données projet'!D50</f>
        <v>56</v>
      </c>
      <c r="C37" s="193">
        <f>225*'Données projet'!E50+13.8*('Données projet'!F50+'Données projet'!G50)+10*'Données projet'!G50</f>
        <v>180</v>
      </c>
      <c r="D37" s="182">
        <f t="shared" si="3"/>
        <v>10080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110</v>
      </c>
      <c r="B38" s="181">
        <f>'Données projet'!D51</f>
        <v>51</v>
      </c>
      <c r="C38" s="193">
        <f>225*'Données projet'!E51+13.8*('Données projet'!F51+'Données projet'!G51)+10*'Données projet'!G51</f>
        <v>180</v>
      </c>
      <c r="D38" s="182">
        <f t="shared" si="3"/>
        <v>9180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120</v>
      </c>
      <c r="B39" s="181">
        <f>'Données projet'!D52</f>
        <v>352</v>
      </c>
      <c r="C39" s="193">
        <f>225*'Données projet'!E52+13.8*('Données projet'!F52+'Données projet'!G52)+10*'Données projet'!G52</f>
        <v>202.5</v>
      </c>
      <c r="D39" s="182">
        <f t="shared" si="3"/>
        <v>71280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>
        <f>225*'Données projet'!E53+13.8*('Données projet'!F53+'Données projet'!G53)+10*'Données projet'!G53</f>
        <v>0</v>
      </c>
      <c r="D40" s="182">
        <f t="shared" si="3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>
        <f>30*'Données projet'!E54+19.4*('Données projet'!F54+'Données projet'!G54)+10*'Données projet'!G54</f>
        <v>0</v>
      </c>
      <c r="D41" s="182">
        <f t="shared" si="3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>
        <f>30*'Données projet'!E55+19.4*('Données projet'!F55+'Données projet'!G55)+10*'Données projet'!G55</f>
        <v>0</v>
      </c>
      <c r="D42" s="182">
        <f t="shared" si="3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4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>
        <f>2866.42</f>
        <v>2866.42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20</v>
      </c>
      <c r="B54" s="181">
        <f>'Données projet'!D62</f>
        <v>0</v>
      </c>
      <c r="C54" s="191">
        <f>150*'Données projet'!E62+13.8*('Données projet'!F62+'Données projet'!G62)+10*'Données projet'!H62</f>
        <v>10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25</v>
      </c>
      <c r="B55" s="181">
        <f>'Données projet'!D63</f>
        <v>0</v>
      </c>
      <c r="C55" s="191">
        <f>150*'Données projet'!E63+13.8*('Données projet'!F63+'Données projet'!G63)+10*'Données projet'!H63</f>
        <v>10</v>
      </c>
      <c r="D55" s="179">
        <f t="shared" ref="D55:D73" si="5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30</v>
      </c>
      <c r="B56" s="181">
        <f>'Données projet'!D64</f>
        <v>0</v>
      </c>
      <c r="C56" s="191">
        <f>150*'Données projet'!E64+13.8*('Données projet'!F64+'Données projet'!G64)+10*'Données projet'!H64</f>
        <v>10</v>
      </c>
      <c r="D56" s="179">
        <f t="shared" si="5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35</v>
      </c>
      <c r="B57" s="181">
        <f>'Données projet'!D65</f>
        <v>28</v>
      </c>
      <c r="C57" s="191">
        <f>150*'Données projet'!E65+13.8*('Données projet'!F65+'Données projet'!G65)+10*'Données projet'!H65</f>
        <v>10</v>
      </c>
      <c r="D57" s="179">
        <f t="shared" si="5"/>
        <v>280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40</v>
      </c>
      <c r="B58" s="181">
        <f>'Données projet'!D66</f>
        <v>28</v>
      </c>
      <c r="C58" s="191">
        <f>150*'Données projet'!E66+13.8*('Données projet'!F66+'Données projet'!G66)+10*'Données projet'!H66</f>
        <v>38</v>
      </c>
      <c r="D58" s="179">
        <f t="shared" si="5"/>
        <v>1064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45</v>
      </c>
      <c r="B59" s="181">
        <f>'Données projet'!D67</f>
        <v>28</v>
      </c>
      <c r="C59" s="191">
        <f>150*'Données projet'!E67+13.8*('Données projet'!F67+'Données projet'!G67)+10*'Données projet'!H67</f>
        <v>38</v>
      </c>
      <c r="D59" s="179">
        <f t="shared" si="5"/>
        <v>1064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50</v>
      </c>
      <c r="B60" s="181">
        <f>'Données projet'!D68</f>
        <v>28</v>
      </c>
      <c r="C60" s="191">
        <f>150*'Données projet'!E68+13.8*('Données projet'!F68+'Données projet'!G68)+10*'Données projet'!H68</f>
        <v>52</v>
      </c>
      <c r="D60" s="179">
        <f t="shared" si="5"/>
        <v>1456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55</v>
      </c>
      <c r="B61" s="181">
        <f>'Données projet'!D69</f>
        <v>28</v>
      </c>
      <c r="C61" s="191">
        <f>150*'Données projet'!E69+13.8*('Données projet'!F69+'Données projet'!G69)+10*'Données projet'!H69</f>
        <v>52</v>
      </c>
      <c r="D61" s="179">
        <f t="shared" si="5"/>
        <v>1456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60</v>
      </c>
      <c r="B62" s="181">
        <f>'Données projet'!D70</f>
        <v>28</v>
      </c>
      <c r="C62" s="191">
        <f>150*'Données projet'!E70+13.8*('Données projet'!F70+'Données projet'!G70)+10*'Données projet'!H70</f>
        <v>66</v>
      </c>
      <c r="D62" s="179">
        <f t="shared" si="5"/>
        <v>1848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65</v>
      </c>
      <c r="B63" s="181">
        <f>'Données projet'!D71</f>
        <v>28</v>
      </c>
      <c r="C63" s="191">
        <f>150*'Données projet'!E71+13.8*('Données projet'!F71+'Données projet'!G71)+10*'Données projet'!H71</f>
        <v>66</v>
      </c>
      <c r="D63" s="179">
        <f t="shared" si="5"/>
        <v>1848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70</v>
      </c>
      <c r="B64" s="181">
        <f>'Données projet'!D72</f>
        <v>28</v>
      </c>
      <c r="C64" s="191">
        <f>150*'Données projet'!E72+13.8*('Données projet'!F72+'Données projet'!G72)+10*'Données projet'!H72</f>
        <v>80</v>
      </c>
      <c r="D64" s="179">
        <f t="shared" si="5"/>
        <v>2240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75</v>
      </c>
      <c r="B65" s="181">
        <f>'Données projet'!D73</f>
        <v>28</v>
      </c>
      <c r="C65" s="191">
        <f>150*'Données projet'!E73+13.8*('Données projet'!F73+'Données projet'!G73)+10*'Données projet'!H73</f>
        <v>80</v>
      </c>
      <c r="D65" s="179">
        <f t="shared" si="5"/>
        <v>2240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80</v>
      </c>
      <c r="B66" s="181">
        <f>'Données projet'!D74</f>
        <v>28</v>
      </c>
      <c r="C66" s="191">
        <f>150*'Données projet'!E74+13.8*('Données projet'!F74+'Données projet'!G74)+10*'Données projet'!H74</f>
        <v>94</v>
      </c>
      <c r="D66" s="179">
        <f t="shared" si="5"/>
        <v>2632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90</v>
      </c>
      <c r="B67" s="181">
        <f>'Données projet'!D75</f>
        <v>56</v>
      </c>
      <c r="C67" s="191">
        <f>150*'Données projet'!E75+13.8*('Données projet'!F75+'Données projet'!G75)+10*'Données projet'!H75</f>
        <v>108</v>
      </c>
      <c r="D67" s="179">
        <f t="shared" si="5"/>
        <v>6048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100</v>
      </c>
      <c r="B68" s="181">
        <f>'Données projet'!D76</f>
        <v>56</v>
      </c>
      <c r="C68" s="191">
        <f>150*'Données projet'!E76+13.8*('Données projet'!F76+'Données projet'!G76)+10*'Données projet'!H76</f>
        <v>122</v>
      </c>
      <c r="D68" s="179">
        <f t="shared" si="5"/>
        <v>6832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110</v>
      </c>
      <c r="B69" s="181">
        <f>'Données projet'!D77</f>
        <v>51</v>
      </c>
      <c r="C69" s="191">
        <f>150*'Données projet'!E77+13.8*('Données projet'!F77+'Données projet'!G77)+10*'Données projet'!H77</f>
        <v>122</v>
      </c>
      <c r="D69" s="179">
        <f t="shared" si="5"/>
        <v>6222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6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120</v>
      </c>
      <c r="B70" s="181">
        <f>'Données projet'!D78</f>
        <v>352</v>
      </c>
      <c r="C70" s="191">
        <f>150*'Données projet'!E78+13.8*('Données projet'!F78+'Données projet'!G78)+10*'Données projet'!H78</f>
        <v>136</v>
      </c>
      <c r="D70" s="179">
        <f t="shared" si="5"/>
        <v>47872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6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150*'Données projet'!E79+13.8*('Données projet'!F79+'Données projet'!G79)+10*'Données projet'!H79</f>
        <v>0</v>
      </c>
      <c r="D71" s="179">
        <f t="shared" si="5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6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150*'Données projet'!E80+13.8*('Données projet'!F80+'Données projet'!G80)+10*'Données projet'!H80</f>
        <v>0</v>
      </c>
      <c r="D72" s="179">
        <f t="shared" si="5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6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150*'Données projet'!E81+13.8*('Données projet'!F81+'Données projet'!G81)+10*'Données projet'!H81</f>
        <v>0</v>
      </c>
      <c r="D73" s="179">
        <f t="shared" si="5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6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6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6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Charme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6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6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6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>
        <f>1741.42</f>
        <v>1741.42</v>
      </c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6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6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6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6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6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6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20</v>
      </c>
      <c r="B85" s="181">
        <f>'Données projet'!D88</f>
        <v>0</v>
      </c>
      <c r="C85" s="191">
        <f>42*'Données projet'!E88+19.4*('Données projet'!F88+'Données projet'!G88)+10*'Données projet'!H88</f>
        <v>10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6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25</v>
      </c>
      <c r="B86" s="181">
        <f>'Données projet'!D89</f>
        <v>0</v>
      </c>
      <c r="C86" s="191">
        <f>50*'Données projet'!E89+19.4*('Données projet'!F89+'Données projet'!G89)+10*'Données projet'!H89</f>
        <v>10</v>
      </c>
      <c r="D86" s="179">
        <f t="shared" ref="D86:D104" si="7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6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30</v>
      </c>
      <c r="B87" s="181">
        <f>'Données projet'!D90</f>
        <v>0</v>
      </c>
      <c r="C87" s="191">
        <f>50*'Données projet'!E90+13.8*('Données projet'!F90+'Données projet'!G90)+10*'Données projet'!H90</f>
        <v>10</v>
      </c>
      <c r="D87" s="179">
        <f t="shared" si="7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6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35</v>
      </c>
      <c r="B88" s="181">
        <f>'Données projet'!D91</f>
        <v>21</v>
      </c>
      <c r="C88" s="191">
        <f>50*'Données projet'!E91+13.8*('Données projet'!F91+'Données projet'!G91)+10*'Données projet'!H91</f>
        <v>10</v>
      </c>
      <c r="D88" s="179">
        <f t="shared" si="7"/>
        <v>210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6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40</v>
      </c>
      <c r="B89" s="181">
        <f>'Données projet'!D92</f>
        <v>21</v>
      </c>
      <c r="C89" s="191">
        <f>50*'Données projet'!E92+13.8*('Données projet'!F92+'Données projet'!G92)+10*'Données projet'!H92</f>
        <v>18</v>
      </c>
      <c r="D89" s="179">
        <f t="shared" si="7"/>
        <v>378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6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45</v>
      </c>
      <c r="B90" s="181">
        <f>'Données projet'!D93</f>
        <v>21</v>
      </c>
      <c r="C90" s="191">
        <f>50*'Données projet'!E93+13.8*('Données projet'!F93+'Données projet'!G93)+10*'Données projet'!H93</f>
        <v>18</v>
      </c>
      <c r="D90" s="179">
        <f t="shared" si="7"/>
        <v>378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6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50</v>
      </c>
      <c r="B91" s="181">
        <f>'Données projet'!D94</f>
        <v>21</v>
      </c>
      <c r="C91" s="191">
        <f>50*'Données projet'!E94+13.8*('Données projet'!F94+'Données projet'!G94)+10*'Données projet'!H94</f>
        <v>22</v>
      </c>
      <c r="D91" s="179">
        <f t="shared" si="7"/>
        <v>462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6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55</v>
      </c>
      <c r="B92" s="181">
        <f>'Données projet'!D95</f>
        <v>21</v>
      </c>
      <c r="C92" s="191">
        <f>50*'Données projet'!E95+13.8*('Données projet'!F95+'Données projet'!G95)+10*'Données projet'!H95</f>
        <v>22</v>
      </c>
      <c r="D92" s="179">
        <f t="shared" si="7"/>
        <v>462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6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60</v>
      </c>
      <c r="B93" s="181">
        <f>'Données projet'!D96</f>
        <v>21</v>
      </c>
      <c r="C93" s="191">
        <f>42*'Données projet'!E96+19.4*('Données projet'!F96+'Données projet'!G96)+10*'Données projet'!H96</f>
        <v>22.8</v>
      </c>
      <c r="D93" s="179">
        <f t="shared" si="7"/>
        <v>478.8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6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65</v>
      </c>
      <c r="B94" s="181">
        <f>'Données projet'!D97</f>
        <v>21</v>
      </c>
      <c r="C94" s="191">
        <f>42*'Données projet'!E97+19.4*('Données projet'!F97+'Données projet'!G97)+10*'Données projet'!H97</f>
        <v>22.8</v>
      </c>
      <c r="D94" s="179">
        <f t="shared" si="7"/>
        <v>478.8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6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70</v>
      </c>
      <c r="B95" s="181">
        <f>'Données projet'!D98</f>
        <v>21</v>
      </c>
      <c r="C95" s="191">
        <f>42*'Données projet'!E98+19.4*('Données projet'!F98+'Données projet'!G98)+10*'Données projet'!H98</f>
        <v>26</v>
      </c>
      <c r="D95" s="179">
        <f t="shared" si="7"/>
        <v>546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6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75</v>
      </c>
      <c r="B96" s="181">
        <f>'Données projet'!D99</f>
        <v>21</v>
      </c>
      <c r="C96" s="191">
        <f>42*'Données projet'!E99+19.4*('Données projet'!F99+'Données projet'!G99)+10*'Données projet'!H99</f>
        <v>26</v>
      </c>
      <c r="D96" s="179">
        <f t="shared" si="7"/>
        <v>546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6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80</v>
      </c>
      <c r="B97" s="181">
        <f>'Données projet'!D100</f>
        <v>261</v>
      </c>
      <c r="C97" s="191">
        <f>42*'Données projet'!E100+19.4*('Données projet'!F100+'Données projet'!G100)+10*'Données projet'!H100</f>
        <v>29.2</v>
      </c>
      <c r="D97" s="179">
        <f t="shared" si="7"/>
        <v>7621.2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8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7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8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7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str">
        <f>IF(O98+1&lt;=MIN('Données projet'!$E$9:$E$18),O98+1,"STOP")</f>
        <v>STOP</v>
      </c>
      <c r="P99" s="185" t="e">
        <f t="shared" si="8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7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7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7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7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7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Chêne pédonculé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>
        <f>2566.42</f>
        <v>2566.42</v>
      </c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20</v>
      </c>
      <c r="B116" s="181">
        <f>'Données projet'!D114</f>
        <v>0</v>
      </c>
      <c r="C116" s="191">
        <f>225*'Données projet'!E114+19.5*('Données projet'!F114+'Données projet'!G114)+10*'Données projet'!H114</f>
        <v>10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25</v>
      </c>
      <c r="B117" s="181">
        <f>'Données projet'!D115</f>
        <v>0</v>
      </c>
      <c r="C117" s="191">
        <f>225*'Données projet'!E115+19.5*('Données projet'!F115+'Données projet'!G115)+10*'Données projet'!H115</f>
        <v>10</v>
      </c>
      <c r="D117" s="179">
        <f t="shared" ref="D117:D135" si="9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30</v>
      </c>
      <c r="B118" s="181">
        <f>'Données projet'!D116</f>
        <v>0</v>
      </c>
      <c r="C118" s="191">
        <f>225*'Données projet'!E116+19.5*('Données projet'!F116+'Données projet'!G116)+10*'Données projet'!H116</f>
        <v>10</v>
      </c>
      <c r="D118" s="179">
        <f t="shared" si="9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35</v>
      </c>
      <c r="B119" s="181">
        <f>'Données projet'!D117</f>
        <v>28</v>
      </c>
      <c r="C119" s="191">
        <f>225*'Données projet'!E117+19.5*('Données projet'!F117+'Données projet'!G117)+10*'Données projet'!H117</f>
        <v>10</v>
      </c>
      <c r="D119" s="179">
        <f t="shared" si="9"/>
        <v>280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40</v>
      </c>
      <c r="B120" s="181">
        <f>'Données projet'!D118</f>
        <v>28</v>
      </c>
      <c r="C120" s="191">
        <f>225*'Données projet'!E118+19.5*('Données projet'!F118+'Données projet'!G118)+10*'Données projet'!H118</f>
        <v>53</v>
      </c>
      <c r="D120" s="179">
        <f t="shared" si="9"/>
        <v>1484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45</v>
      </c>
      <c r="B121" s="181">
        <f>'Données projet'!D119</f>
        <v>28</v>
      </c>
      <c r="C121" s="191">
        <f>225*'Données projet'!E119+19.5*('Données projet'!F119+'Données projet'!G119)+10*'Données projet'!H119</f>
        <v>53</v>
      </c>
      <c r="D121" s="179">
        <f t="shared" si="9"/>
        <v>1484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50</v>
      </c>
      <c r="B122" s="181">
        <f>'Données projet'!D120</f>
        <v>28</v>
      </c>
      <c r="C122" s="191">
        <f>225*'Données projet'!E120+19.5*('Données projet'!F120+'Données projet'!G120)+10*'Données projet'!H120</f>
        <v>74.5</v>
      </c>
      <c r="D122" s="179">
        <f t="shared" si="9"/>
        <v>2086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55</v>
      </c>
      <c r="B123" s="181">
        <f>'Données projet'!D121</f>
        <v>28</v>
      </c>
      <c r="C123" s="191">
        <f>225*'Données projet'!E121+19.5*('Données projet'!F121+'Données projet'!G121)+10*'Données projet'!H121</f>
        <v>74.5</v>
      </c>
      <c r="D123" s="179">
        <f t="shared" si="9"/>
        <v>2086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60</v>
      </c>
      <c r="B124" s="181">
        <f>'Données projet'!D122</f>
        <v>28</v>
      </c>
      <c r="C124" s="191">
        <f>225*'Données projet'!E122+19.5*('Données projet'!F122+'Données projet'!G122)+10*'Données projet'!H122</f>
        <v>96</v>
      </c>
      <c r="D124" s="179">
        <f t="shared" si="9"/>
        <v>2688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65</v>
      </c>
      <c r="B125" s="181">
        <f>'Données projet'!D123</f>
        <v>28</v>
      </c>
      <c r="C125" s="191">
        <f>225*'Données projet'!E123+19.5*('Données projet'!F123+'Données projet'!G123)+10*'Données projet'!H123</f>
        <v>96</v>
      </c>
      <c r="D125" s="179">
        <f t="shared" si="9"/>
        <v>2688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70</v>
      </c>
      <c r="B126" s="181">
        <f>'Données projet'!D124</f>
        <v>28</v>
      </c>
      <c r="C126" s="191">
        <f>225*'Données projet'!E124+19.5*('Données projet'!F124+'Données projet'!G124)+10*'Données projet'!H124</f>
        <v>117.5</v>
      </c>
      <c r="D126" s="179">
        <f t="shared" si="9"/>
        <v>3290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75</v>
      </c>
      <c r="B127" s="181">
        <f>'Données projet'!D125</f>
        <v>28</v>
      </c>
      <c r="C127" s="191">
        <f>225*'Données projet'!E125+19.5*('Données projet'!F125+'Données projet'!G125)+10*'Données projet'!H125</f>
        <v>117.5</v>
      </c>
      <c r="D127" s="179">
        <f t="shared" si="9"/>
        <v>3290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80</v>
      </c>
      <c r="B128" s="181">
        <f>'Données projet'!D126</f>
        <v>28</v>
      </c>
      <c r="C128" s="191">
        <f>225*'Données projet'!E126+19.5*('Données projet'!F126+'Données projet'!G126)+10*'Données projet'!H126</f>
        <v>139</v>
      </c>
      <c r="D128" s="179">
        <f t="shared" si="9"/>
        <v>3892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90</v>
      </c>
      <c r="B129" s="181">
        <f>'Données projet'!D127</f>
        <v>56</v>
      </c>
      <c r="C129" s="191">
        <f>225*'Données projet'!E127+19.5*('Données projet'!F127+'Données projet'!G127)+10*'Données projet'!H127</f>
        <v>160.5</v>
      </c>
      <c r="D129" s="179">
        <f t="shared" si="9"/>
        <v>8988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100</v>
      </c>
      <c r="B130" s="181">
        <f>'Données projet'!D128</f>
        <v>56</v>
      </c>
      <c r="C130" s="191">
        <f>225*'Données projet'!E128+19.5*('Données projet'!F128+'Données projet'!G128)+10*'Données projet'!H128</f>
        <v>182</v>
      </c>
      <c r="D130" s="179">
        <f t="shared" si="9"/>
        <v>10192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110</v>
      </c>
      <c r="B131" s="181">
        <f>'Données projet'!D129</f>
        <v>51</v>
      </c>
      <c r="C131" s="191">
        <f>225*'Données projet'!E129+19.5*('Données projet'!F129+'Données projet'!G129)+10*'Données projet'!H129</f>
        <v>182</v>
      </c>
      <c r="D131" s="179">
        <f t="shared" si="9"/>
        <v>9282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120</v>
      </c>
      <c r="B132" s="181">
        <f>'Données projet'!D130</f>
        <v>352</v>
      </c>
      <c r="C132" s="191">
        <f>225*'Données projet'!E130+19.5*('Données projet'!F130+'Données projet'!G130)+10*'Données projet'!H130</f>
        <v>203.5</v>
      </c>
      <c r="D132" s="179">
        <f t="shared" si="9"/>
        <v>71632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9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9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9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Aulne glutineux</v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>
        <v>1891.41</v>
      </c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15</v>
      </c>
      <c r="B147" s="175">
        <f>'Données projet'!D140</f>
        <v>0</v>
      </c>
      <c r="C147" s="191">
        <f>40*'Données projet'!E140+13.8*('Données projet'!F140+'Données projet'!G140)+10*'Données projet'!H140</f>
        <v>10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20</v>
      </c>
      <c r="B148" s="175">
        <f>'Données projet'!D141</f>
        <v>0</v>
      </c>
      <c r="C148" s="191">
        <f>40*'Données projet'!E141+13.8*('Données projet'!F141+'Données projet'!G141)+10*'Données projet'!H141</f>
        <v>10</v>
      </c>
      <c r="D148" s="182">
        <f t="shared" ref="D148:D166" si="11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25</v>
      </c>
      <c r="B149" s="175">
        <f>'Données projet'!D142</f>
        <v>0</v>
      </c>
      <c r="C149" s="191">
        <f>40*'Données projet'!E142+13.8*('Données projet'!F142+'Données projet'!G142)+10*'Données projet'!H142</f>
        <v>10</v>
      </c>
      <c r="D149" s="182">
        <f t="shared" si="11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30</v>
      </c>
      <c r="B150" s="175">
        <f>'Données projet'!D143</f>
        <v>28</v>
      </c>
      <c r="C150" s="191">
        <f>40*'Données projet'!E143+13.8*('Données projet'!F143+'Données projet'!G143)+10*'Données projet'!H143</f>
        <v>10</v>
      </c>
      <c r="D150" s="182">
        <f t="shared" si="11"/>
        <v>280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35</v>
      </c>
      <c r="B151" s="175">
        <f>'Données projet'!D144</f>
        <v>28</v>
      </c>
      <c r="C151" s="191">
        <f>40*'Données projet'!E144+13.8*('Données projet'!F144+'Données projet'!G144)+10*'Données projet'!H144</f>
        <v>16</v>
      </c>
      <c r="D151" s="182">
        <f t="shared" si="11"/>
        <v>448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40</v>
      </c>
      <c r="B152" s="175">
        <f>'Données projet'!D145</f>
        <v>28</v>
      </c>
      <c r="C152" s="191">
        <f>40*'Données projet'!E145+13.8*('Données projet'!F145+'Données projet'!G145)+10*'Données projet'!H145</f>
        <v>16</v>
      </c>
      <c r="D152" s="182">
        <f t="shared" si="11"/>
        <v>448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45</v>
      </c>
      <c r="B153" s="175">
        <f>'Données projet'!D146</f>
        <v>22</v>
      </c>
      <c r="C153" s="191">
        <f>40*'Données projet'!E146+13.8*('Données projet'!F146+'Données projet'!G146)+10*'Données projet'!H146</f>
        <v>19</v>
      </c>
      <c r="D153" s="182">
        <f t="shared" si="11"/>
        <v>418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50</v>
      </c>
      <c r="B154" s="175">
        <f>'Données projet'!D147</f>
        <v>17</v>
      </c>
      <c r="C154" s="191">
        <f>40*'Données projet'!E147+13.8*('Données projet'!F147+'Données projet'!G147)+10*'Données projet'!H147</f>
        <v>19</v>
      </c>
      <c r="D154" s="182">
        <f t="shared" si="11"/>
        <v>323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55</v>
      </c>
      <c r="B155" s="175">
        <f>'Données projet'!D148</f>
        <v>13</v>
      </c>
      <c r="C155" s="191">
        <f>40*'Données projet'!E148+13.8*('Données projet'!F148+'Données projet'!G148)+10*'Données projet'!H148</f>
        <v>22</v>
      </c>
      <c r="D155" s="182">
        <f t="shared" si="11"/>
        <v>286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60</v>
      </c>
      <c r="B156" s="175">
        <f>'Données projet'!D149</f>
        <v>12</v>
      </c>
      <c r="C156" s="191">
        <f>40*'Données projet'!E149+13.8*('Données projet'!F149+'Données projet'!G149)+10*'Données projet'!H149</f>
        <v>22</v>
      </c>
      <c r="D156" s="182">
        <f t="shared" si="11"/>
        <v>264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65</v>
      </c>
      <c r="B157" s="175">
        <f>'Données projet'!D150</f>
        <v>11</v>
      </c>
      <c r="C157" s="191">
        <f>40*'Données projet'!E150+13.8*('Données projet'!F150+'Données projet'!G150)+10*'Données projet'!H150</f>
        <v>25</v>
      </c>
      <c r="D157" s="182">
        <f t="shared" si="11"/>
        <v>275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70</v>
      </c>
      <c r="B158" s="175">
        <f>'Données projet'!D151</f>
        <v>10</v>
      </c>
      <c r="C158" s="191">
        <f>40*'Données projet'!E151+13.8*('Données projet'!F151+'Données projet'!G151)+10*'Données projet'!H151</f>
        <v>25</v>
      </c>
      <c r="D158" s="182">
        <f t="shared" si="11"/>
        <v>250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75</v>
      </c>
      <c r="B159" s="175">
        <f>'Données projet'!D152</f>
        <v>9</v>
      </c>
      <c r="C159" s="191">
        <f>40*'Données projet'!E152+13.8*('Données projet'!F152+'Données projet'!G152)+10*'Données projet'!H152</f>
        <v>28</v>
      </c>
      <c r="D159" s="182">
        <f t="shared" si="11"/>
        <v>252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80</v>
      </c>
      <c r="B160" s="175">
        <f>'Données projet'!D153</f>
        <v>275</v>
      </c>
      <c r="C160" s="191">
        <f>40*'Données projet'!E153+13.8*('Données projet'!F153+'Données projet'!G153)+10*'Données projet'!H153</f>
        <v>28</v>
      </c>
      <c r="D160" s="182">
        <f t="shared" si="11"/>
        <v>7700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40*'Données projet'!E154+13.8*('Données projet'!F154+'Données projet'!G154)+10*'Données projet'!H154</f>
        <v>0</v>
      </c>
      <c r="D161" s="182">
        <f t="shared" si="11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40*'Données projet'!E155+13.8*('Données projet'!F155+'Données projet'!G155)+10*'Données projet'!H155</f>
        <v>0</v>
      </c>
      <c r="D162" s="182">
        <f t="shared" si="11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40*'Données projet'!E156+13.8*('Données projet'!F156+'Données projet'!G156)+10*'Données projet'!H156</f>
        <v>0</v>
      </c>
      <c r="D163" s="182">
        <f t="shared" si="11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40*'Données projet'!E157+13.8*('Données projet'!F157+'Données projet'!G157)+10*'Données projet'!H157</f>
        <v>0</v>
      </c>
      <c r="D164" s="182">
        <f t="shared" si="11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40*'Données projet'!E158+13.8*('Données projet'!F158+'Données projet'!G158)+10*'Données projet'!H158</f>
        <v>0</v>
      </c>
      <c r="D165" s="182">
        <f t="shared" si="11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40*'Données projet'!E159+13.8*('Données projet'!F159+'Données projet'!G159)+10*'Données projet'!H159</f>
        <v>0</v>
      </c>
      <c r="D166" s="182">
        <f t="shared" si="11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Chêne vert</v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>
        <f>2791.42</f>
        <v>2791.42</v>
      </c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20</v>
      </c>
      <c r="B178" s="181">
        <f>'Données projet'!D166</f>
        <v>0</v>
      </c>
      <c r="C178" s="193">
        <f>150*'Données projet'!E166+13.8*('Données projet'!F166+'Données projet'!G168)+10*'Données projet'!H166</f>
        <v>10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25</v>
      </c>
      <c r="B179" s="181">
        <f>'Données projet'!D167</f>
        <v>0</v>
      </c>
      <c r="C179" s="193">
        <f>150*'Données projet'!E167+13.8*('Données projet'!F167+'Données projet'!G169)+10*'Données projet'!H167</f>
        <v>10</v>
      </c>
      <c r="D179" s="179">
        <f t="shared" ref="D179:D197" si="12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30</v>
      </c>
      <c r="B180" s="181">
        <f>'Données projet'!D168</f>
        <v>0</v>
      </c>
      <c r="C180" s="193">
        <f>150*'Données projet'!E168+13.8*('Données projet'!F168+'Données projet'!G170)+10*'Données projet'!H168</f>
        <v>10</v>
      </c>
      <c r="D180" s="179">
        <f t="shared" si="12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35</v>
      </c>
      <c r="B181" s="181">
        <f>'Données projet'!D169</f>
        <v>21</v>
      </c>
      <c r="C181" s="193">
        <f>150*'Données projet'!E169+13.8*('Données projet'!F169+'Données projet'!G171)+10*'Données projet'!H169</f>
        <v>10</v>
      </c>
      <c r="D181" s="179">
        <f t="shared" si="12"/>
        <v>210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40</v>
      </c>
      <c r="B182" s="181">
        <f>'Données projet'!D170</f>
        <v>21</v>
      </c>
      <c r="C182" s="193">
        <f>150*'Données projet'!E170+13.8*('Données projet'!F170+'Données projet'!G172)+10*'Données projet'!H170</f>
        <v>38</v>
      </c>
      <c r="D182" s="179">
        <f t="shared" si="12"/>
        <v>798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45</v>
      </c>
      <c r="B183" s="181">
        <f>'Données projet'!D171</f>
        <v>21</v>
      </c>
      <c r="C183" s="193">
        <f>150*'Données projet'!E171+13.8*('Données projet'!F171+'Données projet'!G173)+10*'Données projet'!H171</f>
        <v>38</v>
      </c>
      <c r="D183" s="179">
        <f t="shared" si="12"/>
        <v>798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50</v>
      </c>
      <c r="B184" s="181">
        <f>'Données projet'!D172</f>
        <v>21</v>
      </c>
      <c r="C184" s="193">
        <f>150*'Données projet'!E172+13.8*('Données projet'!F172+'Données projet'!G174)+10*'Données projet'!H172</f>
        <v>52</v>
      </c>
      <c r="D184" s="179">
        <f t="shared" si="12"/>
        <v>1092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55</v>
      </c>
      <c r="B185" s="181">
        <f>'Données projet'!D173</f>
        <v>21</v>
      </c>
      <c r="C185" s="193">
        <f>150*'Données projet'!E173+13.8*('Données projet'!F173+'Données projet'!G175)+10*'Données projet'!H173</f>
        <v>52</v>
      </c>
      <c r="D185" s="179">
        <f t="shared" si="12"/>
        <v>1092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60</v>
      </c>
      <c r="B186" s="181">
        <f>'Données projet'!D174</f>
        <v>21</v>
      </c>
      <c r="C186" s="193">
        <f>150*'Données projet'!E174+13.8*('Données projet'!F174+'Données projet'!G176)+10*'Données projet'!H174</f>
        <v>66</v>
      </c>
      <c r="D186" s="179">
        <f t="shared" si="12"/>
        <v>1386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65</v>
      </c>
      <c r="B187" s="181">
        <f>'Données projet'!D175</f>
        <v>21</v>
      </c>
      <c r="C187" s="193">
        <f>150*'Données projet'!E175+13.8*('Données projet'!F175+'Données projet'!G177)+10*'Données projet'!H175</f>
        <v>66</v>
      </c>
      <c r="D187" s="179">
        <f t="shared" si="12"/>
        <v>1386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70</v>
      </c>
      <c r="B188" s="181">
        <f>'Données projet'!D176</f>
        <v>21</v>
      </c>
      <c r="C188" s="193">
        <f>150*'Données projet'!E176+13.8*('Données projet'!F176+'Données projet'!G178)+10*'Données projet'!H176</f>
        <v>80</v>
      </c>
      <c r="D188" s="179">
        <f t="shared" si="12"/>
        <v>1680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75</v>
      </c>
      <c r="B189" s="181">
        <f>'Données projet'!D177</f>
        <v>21</v>
      </c>
      <c r="C189" s="193">
        <f>150*'Données projet'!E177+13.8*('Données projet'!F177+'Données projet'!G179)+10*'Données projet'!H177</f>
        <v>80</v>
      </c>
      <c r="D189" s="179">
        <f t="shared" si="12"/>
        <v>1680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80</v>
      </c>
      <c r="B190" s="181">
        <f>'Données projet'!D178</f>
        <v>21</v>
      </c>
      <c r="C190" s="193">
        <f>150*'Données projet'!E178+13.8*('Données projet'!F178+'Données projet'!G180)+10*'Données projet'!H178</f>
        <v>94</v>
      </c>
      <c r="D190" s="179">
        <f t="shared" si="12"/>
        <v>1974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85</v>
      </c>
      <c r="B191" s="181">
        <f>'Données projet'!D179</f>
        <v>21</v>
      </c>
      <c r="C191" s="193">
        <f>150*'Données projet'!E179+13.8*('Données projet'!F179+'Données projet'!G181)+10*'Données projet'!H179</f>
        <v>94</v>
      </c>
      <c r="D191" s="179">
        <f t="shared" si="12"/>
        <v>1974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90</v>
      </c>
      <c r="B192" s="181">
        <f>'Données projet'!D180</f>
        <v>21</v>
      </c>
      <c r="C192" s="193">
        <f>150*'Données projet'!E180+13.8*('Données projet'!F180+'Données projet'!G182)+10*'Données projet'!H180</f>
        <v>108</v>
      </c>
      <c r="D192" s="179">
        <f t="shared" si="12"/>
        <v>2268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100</v>
      </c>
      <c r="B193" s="181">
        <f>'Données projet'!D181</f>
        <v>21</v>
      </c>
      <c r="C193" s="193">
        <f>150*'Données projet'!E181+13.8*('Données projet'!F181+'Données projet'!G183)+10*'Données projet'!H181</f>
        <v>108</v>
      </c>
      <c r="D193" s="179">
        <f t="shared" si="12"/>
        <v>2268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110</v>
      </c>
      <c r="B194" s="181">
        <f>'Données projet'!D182</f>
        <v>19</v>
      </c>
      <c r="C194" s="193">
        <f>150*'Données projet'!E182+13.8*('Données projet'!F182+'Données projet'!G184)+10*'Données projet'!H182</f>
        <v>122</v>
      </c>
      <c r="D194" s="179">
        <f t="shared" si="12"/>
        <v>2318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120</v>
      </c>
      <c r="B195" s="181">
        <f>'Données projet'!D183</f>
        <v>285</v>
      </c>
      <c r="C195" s="193">
        <f>150*'Données projet'!E183+13.8*('Données projet'!F183+'Données projet'!G185)+10*'Données projet'!H183</f>
        <v>122</v>
      </c>
      <c r="D195" s="179">
        <f t="shared" si="12"/>
        <v>34770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2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2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>Pin maritime</v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>
        <f>1441.42</f>
        <v>1441.42</v>
      </c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20</v>
      </c>
      <c r="B209" s="181">
        <f>'Données projet'!D192</f>
        <v>29.36</v>
      </c>
      <c r="C209" s="193">
        <f>46*'Données projet'!E192+13.8*('Données projet'!F192+'Données projet'!G192)+10*'Données projet'!H192</f>
        <v>13.8</v>
      </c>
      <c r="D209" s="179">
        <f>B209*C209</f>
        <v>405.16800000000001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25</v>
      </c>
      <c r="B210" s="181">
        <f>'Données projet'!D193</f>
        <v>25.64</v>
      </c>
      <c r="C210" s="193">
        <f>46*'Données projet'!E193+13.8*('Données projet'!F193+'Données projet'!G193)+10*'Données projet'!H193</f>
        <v>13.8</v>
      </c>
      <c r="D210" s="179">
        <f t="shared" ref="D210:D228" si="13">B210*C210</f>
        <v>353.83200000000005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30</v>
      </c>
      <c r="B211" s="181">
        <f>'Données projet'!D194</f>
        <v>31.46</v>
      </c>
      <c r="C211" s="193">
        <f>46*'Données projet'!E194+13.8*('Données projet'!F194+'Données projet'!G194)+10*'Données projet'!H194</f>
        <v>20.240000000000002</v>
      </c>
      <c r="D211" s="179">
        <f t="shared" si="13"/>
        <v>636.75040000000013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35</v>
      </c>
      <c r="B212" s="181">
        <f>'Données projet'!D195</f>
        <v>32.89</v>
      </c>
      <c r="C212" s="193">
        <f>46*'Données projet'!E195+13.8*('Données projet'!F195+'Données projet'!G195)+10*'Données projet'!H195</f>
        <v>26.680000000000003</v>
      </c>
      <c r="D212" s="179">
        <f t="shared" si="13"/>
        <v>877.50520000000017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40</v>
      </c>
      <c r="B213" s="181">
        <f>'Données projet'!D196</f>
        <v>41.47</v>
      </c>
      <c r="C213" s="193">
        <f>46*'Données projet'!E196+13.8*('Données projet'!F196+'Données projet'!G196)+10*'Données projet'!H196</f>
        <v>33.119999999999997</v>
      </c>
      <c r="D213" s="179">
        <f t="shared" si="13"/>
        <v>1373.4863999999998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50</v>
      </c>
      <c r="B214" s="181">
        <f>'Données projet'!D197</f>
        <v>53.31</v>
      </c>
      <c r="C214" s="193">
        <f>46*'Données projet'!E197+13.8*('Données projet'!F197+'Données projet'!G197)+10*'Données projet'!H197</f>
        <v>39.56</v>
      </c>
      <c r="D214" s="179">
        <f t="shared" si="13"/>
        <v>2108.9436000000001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65</v>
      </c>
      <c r="B215" s="181">
        <f>'Données projet'!D198</f>
        <v>393.21</v>
      </c>
      <c r="C215" s="193">
        <f>46*'Données projet'!E198+13.8*('Données projet'!F198+'Données projet'!G198)+10*'Données projet'!H198</f>
        <v>42.78</v>
      </c>
      <c r="D215" s="179">
        <f t="shared" si="13"/>
        <v>16821.523799999999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300*'Données projet'!E199+13.8*('Données projet'!F199+'Données projet'!G199)+10*'Données projet'!H199</f>
        <v>0</v>
      </c>
      <c r="D216" s="179">
        <f t="shared" si="13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300*'Données projet'!E200+13.8*('Données projet'!F200+'Données projet'!G200)+10*'Données projet'!H200</f>
        <v>0</v>
      </c>
      <c r="D217" s="179">
        <f t="shared" si="13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300*'Données projet'!E201+13.8*('Données projet'!F201+'Données projet'!G201)+10*'Données projet'!H201</f>
        <v>0</v>
      </c>
      <c r="D218" s="179">
        <f t="shared" si="13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300*'Données projet'!E202+13.8*('Données projet'!F202+'Données projet'!G202)+10*'Données projet'!H202</f>
        <v>0</v>
      </c>
      <c r="D219" s="179">
        <f t="shared" si="13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300*'Données projet'!E203+13.8*('Données projet'!F203+'Données projet'!G203)+10*'Données projet'!H203</f>
        <v>0</v>
      </c>
      <c r="D220" s="179">
        <f t="shared" si="13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300*'Données projet'!E204+13.8*('Données projet'!F204+'Données projet'!G204)+10*'Données projet'!H204</f>
        <v>0</v>
      </c>
      <c r="D221" s="179">
        <f t="shared" si="13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300*'Données projet'!E205+13.8*('Données projet'!F205+'Données projet'!G205)+10*'Données projet'!H205</f>
        <v>0</v>
      </c>
      <c r="D222" s="179">
        <f t="shared" si="13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300*'Données projet'!E206+13.8*('Données projet'!F206+'Données projet'!G206)+10*'Données projet'!H206</f>
        <v>0</v>
      </c>
      <c r="D223" s="179">
        <f t="shared" si="13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300*'Données projet'!E207+13.8*('Données projet'!F207+'Données projet'!G207)+10*'Données projet'!H207</f>
        <v>0</v>
      </c>
      <c r="D224" s="179">
        <f t="shared" si="13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300*'Données projet'!E208+13.8*('Données projet'!F208+'Données projet'!G208)+10*'Données projet'!H208</f>
        <v>0</v>
      </c>
      <c r="D225" s="179">
        <f t="shared" si="13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3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3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3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>Cèdre de l'Atlas</v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>
        <f>2566.42</f>
        <v>2566.42</v>
      </c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30</v>
      </c>
      <c r="B240" s="181">
        <f>'Données projet'!D218</f>
        <v>70</v>
      </c>
      <c r="C240" s="193">
        <f>67*'Données projet'!E218+13.8*('Données projet'!F218+'Données projet'!G218)+10*'Données projet'!H218</f>
        <v>24.44</v>
      </c>
      <c r="D240" s="179">
        <f>B240*C240</f>
        <v>1710.8000000000002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40</v>
      </c>
      <c r="B241" s="181">
        <f>'Données projet'!D219</f>
        <v>50</v>
      </c>
      <c r="C241" s="193">
        <f>67*'Données projet'!E219+13.8*('Données projet'!F219+'Données projet'!G219)+10*'Données projet'!H219</f>
        <v>29.759999999999998</v>
      </c>
      <c r="D241" s="179">
        <f t="shared" ref="D241:D259" si="14">B241*C241</f>
        <v>1488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50</v>
      </c>
      <c r="B242" s="181">
        <f>'Données projet'!D220</f>
        <v>50</v>
      </c>
      <c r="C242" s="193">
        <f>67*'Données projet'!E220+13.8*('Données projet'!F220+'Données projet'!G220)+10*'Données projet'!H220</f>
        <v>35.08</v>
      </c>
      <c r="D242" s="179">
        <f t="shared" si="14"/>
        <v>1754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60</v>
      </c>
      <c r="B243" s="181">
        <f>'Données projet'!D221</f>
        <v>50</v>
      </c>
      <c r="C243" s="193">
        <f>67*'Données projet'!E221+13.8*('Données projet'!F221+'Données projet'!G221)+10*'Données projet'!H221</f>
        <v>40.4</v>
      </c>
      <c r="D243" s="179">
        <f t="shared" si="14"/>
        <v>2020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65</v>
      </c>
      <c r="B244" s="181">
        <f>'Données projet'!D222</f>
        <v>340</v>
      </c>
      <c r="C244" s="193">
        <f>67*'Données projet'!E222+13.8*('Données projet'!F222+'Données projet'!G222)+10*'Données projet'!H222</f>
        <v>45.72</v>
      </c>
      <c r="D244" s="179">
        <f t="shared" si="14"/>
        <v>15544.8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67*'Données projet'!E223+13.8*('Données projet'!F223+'Données projet'!G223)+10*'Données projet'!H223</f>
        <v>0</v>
      </c>
      <c r="D245" s="179">
        <f t="shared" si="14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4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4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4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4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4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4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4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4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4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4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4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4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4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4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225*'Données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225*'Données projet'!E245+13.8*('Données projet'!F245+'Données projet'!G245)+10*'Données projet'!H245</f>
        <v>0</v>
      </c>
      <c r="D272" s="179">
        <f t="shared" ref="D272:D290" si="15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225*'Données projet'!E246+13.8*('Données projet'!F246+'Données projet'!G246)+10*'Données projet'!H246</f>
        <v>0</v>
      </c>
      <c r="D273" s="179">
        <f t="shared" si="15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225*'Données projet'!E247+13.8*('Données projet'!F247+'Données projet'!G247)+10*'Données projet'!H247</f>
        <v>0</v>
      </c>
      <c r="D274" s="179">
        <f t="shared" si="15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225*'Données projet'!E248+13.8*('Données projet'!F248+'Données projet'!G248)+10*'Données projet'!H248</f>
        <v>0</v>
      </c>
      <c r="D275" s="179">
        <f t="shared" si="15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225*'Données projet'!E249+13.8*('Données projet'!F249+'Données projet'!G249)+10*'Données projet'!H249</f>
        <v>0</v>
      </c>
      <c r="D276" s="179">
        <f t="shared" si="15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225*'Données projet'!E250+13.8*('Données projet'!F250+'Données projet'!G250)+10*'Données projet'!H250</f>
        <v>0</v>
      </c>
      <c r="D277" s="179">
        <f t="shared" si="15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225*'Données projet'!E251+13.8*('Données projet'!F251+'Données projet'!G251)+10*'Données projet'!H251</f>
        <v>0</v>
      </c>
      <c r="D278" s="179">
        <f t="shared" si="15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225*'Données projet'!E252+13.8*('Données projet'!F252+'Données projet'!G252)+10*'Données projet'!H252</f>
        <v>0</v>
      </c>
      <c r="D279" s="179">
        <f t="shared" si="15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225*'Données projet'!E253+13.8*('Données projet'!F253+'Données projet'!G253)+10*'Données projet'!H253</f>
        <v>0</v>
      </c>
      <c r="D280" s="179">
        <f t="shared" si="15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225*'Données projet'!E254+13.8*('Données projet'!F254+'Données projet'!G254)+10*'Données projet'!H254</f>
        <v>0</v>
      </c>
      <c r="D281" s="179">
        <f t="shared" si="15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225*'Données projet'!E255+13.8*('Données projet'!F255+'Données projet'!G255)+10*'Données projet'!H255</f>
        <v>0</v>
      </c>
      <c r="D282" s="179">
        <f t="shared" si="15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225*'Données projet'!E256+13.8*('Données projet'!F256+'Données projet'!G256)+10*'Données projet'!H256</f>
        <v>0</v>
      </c>
      <c r="D283" s="179">
        <f t="shared" si="15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225*'Données projet'!E257+13.8*('Données projet'!F257+'Données projet'!G257)+10*'Données projet'!H257</f>
        <v>0</v>
      </c>
      <c r="D284" s="179">
        <f t="shared" si="15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225*'Données projet'!E258+13.8*('Données projet'!F258+'Données projet'!G258)+10*'Données projet'!H258</f>
        <v>0</v>
      </c>
      <c r="D285" s="179">
        <f t="shared" si="15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225*'Données projet'!E259+13.8*('Données projet'!F259+'Données projet'!G259)+10*'Données projet'!H259</f>
        <v>0</v>
      </c>
      <c r="D286" s="179">
        <f t="shared" si="15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225*'Données projet'!E260+13.8*('Données projet'!F260+'Données projet'!G260)+10*'Données projet'!H260</f>
        <v>0</v>
      </c>
      <c r="D287" s="179">
        <f t="shared" si="15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225*'Données projet'!E261+13.8*('Données projet'!F261+'Données projet'!G261)+10*'Données projet'!H261</f>
        <v>0</v>
      </c>
      <c r="D288" s="179">
        <f t="shared" si="15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5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5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6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6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6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6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6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6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6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6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6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6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6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6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6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6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6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6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6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6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2023-06-30T15:58:02Z</dcterms:modified>
</cp:coreProperties>
</file>