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202-B-TESSIER-PDL(44)-GRAND PONT-Tessier-Legé/"/>
    </mc:Choice>
  </mc:AlternateContent>
  <xr:revisionPtr revIDLastSave="0" documentId="13_ncr:1_{DE3EEA11-13EB-2843-AEE9-8C25EEE9895F}" xr6:coauthVersionLast="47" xr6:coauthVersionMax="47" xr10:uidLastSave="{00000000-0000-0000-0000-000000000000}"/>
  <bookViews>
    <workbookView xWindow="-10680" yWindow="-28300" windowWidth="51200" windowHeight="28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6" l="1"/>
  <c r="C56" i="6"/>
  <c r="C57" i="6"/>
  <c r="C58" i="6"/>
  <c r="C59" i="6"/>
  <c r="C60" i="6"/>
  <c r="C61" i="6"/>
  <c r="C62" i="6"/>
  <c r="C63" i="6"/>
  <c r="C54" i="6"/>
  <c r="C23" i="6"/>
  <c r="E141" i="6"/>
  <c r="E110" i="6"/>
  <c r="E79" i="6"/>
  <c r="E48" i="6"/>
  <c r="E17" i="6"/>
  <c r="I20" i="6"/>
  <c r="C25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47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8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103" i="6"/>
  <c r="C104" i="6"/>
  <c r="C85" i="6"/>
  <c r="C64" i="6"/>
  <c r="C65" i="6"/>
  <c r="C66" i="6"/>
  <c r="C67" i="6"/>
  <c r="C68" i="6"/>
  <c r="C69" i="6"/>
  <c r="C70" i="6"/>
  <c r="C71" i="6"/>
  <c r="C72" i="6"/>
  <c r="C73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64" i="6"/>
  <c r="C165" i="6"/>
  <c r="C166" i="6"/>
  <c r="C24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DI200" i="2" l="1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BC58" i="2" a="1"/>
  <c r="BC58" i="2" s="1"/>
  <c r="BC18" i="2" a="1"/>
  <c r="BC18" i="2" s="1"/>
  <c r="BC7" i="2" a="1"/>
  <c r="BC7" i="2" s="1"/>
  <c r="BC84" i="2" a="1"/>
  <c r="BC84" i="2" s="1"/>
  <c r="BC117" i="2" a="1"/>
  <c r="BC117" i="2" s="1"/>
  <c r="BC38" i="2" a="1"/>
  <c r="BC38" i="2" s="1"/>
  <c r="BC130" i="2" a="1"/>
  <c r="BC130" i="2" s="1"/>
  <c r="BC181" i="2" a="1"/>
  <c r="BC181" i="2" s="1"/>
  <c r="BC82" i="2" a="1"/>
  <c r="BC82" i="2" s="1"/>
  <c r="BC34" i="2" a="1"/>
  <c r="BC34" i="2" s="1"/>
  <c r="BC185" i="2" a="1"/>
  <c r="BC185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32" i="2" a="1"/>
  <c r="BC32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60" i="2" l="1"/>
  <c r="CD179" i="2"/>
  <c r="CD62" i="2"/>
  <c r="CD173" i="2"/>
  <c r="CD177" i="2"/>
  <c r="CD170" i="2"/>
  <c r="CD175" i="2"/>
  <c r="CD48" i="2"/>
  <c r="CD118" i="2"/>
  <c r="CD114" i="2"/>
  <c r="CD23" i="2"/>
  <c r="CD19" i="2"/>
  <c r="CD119" i="2"/>
  <c r="CD85" i="2"/>
  <c r="CD53" i="2"/>
  <c r="CD98" i="2"/>
  <c r="CD46" i="2"/>
  <c r="CD140" i="2"/>
  <c r="CD122" i="2"/>
  <c r="CD160" i="2"/>
  <c r="CD155" i="2"/>
  <c r="CD89" i="2"/>
  <c r="CD110" i="2"/>
  <c r="CD104" i="2"/>
  <c r="CD202" i="2"/>
  <c r="CD165" i="2"/>
  <c r="CD176" i="2"/>
  <c r="CD174" i="2"/>
  <c r="CD150" i="2"/>
  <c r="CD52" i="2"/>
  <c r="CD128" i="2"/>
  <c r="CD158" i="2"/>
  <c r="CD18" i="2"/>
  <c r="CD81" i="2"/>
  <c r="CD148" i="2"/>
  <c r="CD78" i="2"/>
  <c r="CD126" i="2"/>
  <c r="CD92" i="2"/>
  <c r="CD138" i="2"/>
  <c r="CD65" i="2"/>
  <c r="CD54" i="2"/>
  <c r="CD186" i="2"/>
  <c r="CD84" i="2"/>
  <c r="CD15" i="2"/>
  <c r="CD189" i="2"/>
  <c r="CD40" i="2"/>
  <c r="CD162" i="2"/>
  <c r="CD105" i="2"/>
  <c r="CD99" i="2"/>
  <c r="CD7" i="2"/>
  <c r="CD100" i="2"/>
  <c r="CD198" i="2"/>
  <c r="CD103" i="2"/>
  <c r="CD191" i="2"/>
  <c r="CD55" i="2"/>
  <c r="CD153" i="2"/>
  <c r="CD201" i="2"/>
  <c r="CD3" i="2"/>
  <c r="C9" i="4" s="1"/>
  <c r="E9" i="4" s="1"/>
  <c r="F9" i="4" s="1"/>
  <c r="G9" i="4" s="1"/>
  <c r="L9" i="4" s="1"/>
  <c r="CD4" i="2"/>
  <c r="CD197" i="2"/>
  <c r="CD127" i="2"/>
  <c r="CD35" i="2"/>
  <c r="CD166" i="2"/>
  <c r="CD29" i="2"/>
  <c r="CD16" i="2"/>
  <c r="CD97" i="2"/>
  <c r="CD167" i="2"/>
  <c r="CD169" i="2"/>
  <c r="CD111" i="2"/>
  <c r="CD90" i="2"/>
  <c r="CD51" i="2"/>
  <c r="CD185" i="2"/>
  <c r="CD147" i="2"/>
  <c r="CD159" i="2"/>
  <c r="CD50" i="2"/>
  <c r="CD116" i="2"/>
  <c r="CD86" i="2"/>
  <c r="CD117" i="2"/>
  <c r="CD14" i="2"/>
  <c r="CD58" i="2"/>
  <c r="CD188" i="2"/>
  <c r="CD66" i="2"/>
  <c r="CD133" i="2"/>
  <c r="CD73" i="2"/>
  <c r="CD72" i="2"/>
  <c r="CD87" i="2"/>
  <c r="CD145" i="2"/>
  <c r="CD76" i="2"/>
  <c r="CD149" i="2"/>
  <c r="CD44" i="2"/>
  <c r="CD154" i="2"/>
  <c r="CD113" i="2"/>
  <c r="CD156" i="2"/>
  <c r="CD199" i="2"/>
  <c r="CD115" i="2"/>
  <c r="CD120" i="2"/>
  <c r="CD32" i="2"/>
  <c r="CD10" i="2"/>
  <c r="CD43" i="2"/>
  <c r="CD67" i="2"/>
  <c r="CD27" i="2"/>
  <c r="CD26" i="2"/>
  <c r="CD39" i="2"/>
  <c r="CD91" i="2"/>
  <c r="CD57" i="2"/>
  <c r="CD151" i="2"/>
  <c r="CD164" i="2"/>
  <c r="CD137" i="2"/>
  <c r="CD6" i="2"/>
  <c r="CD193" i="2"/>
  <c r="CD152" i="2"/>
  <c r="CD45" i="2"/>
  <c r="CD190" i="2"/>
  <c r="CD192" i="2"/>
  <c r="CD5" i="2"/>
  <c r="CD121" i="2"/>
  <c r="CD143" i="2"/>
  <c r="CD80" i="2"/>
  <c r="CD69" i="2"/>
  <c r="CD125" i="2"/>
  <c r="CD31" i="2"/>
  <c r="CD196" i="2"/>
  <c r="CD132" i="2"/>
  <c r="CD135" i="2"/>
  <c r="CD49" i="2"/>
  <c r="CD42" i="2"/>
  <c r="CD171" i="2"/>
  <c r="CD106" i="2"/>
  <c r="CD157" i="2"/>
  <c r="CD195" i="2"/>
  <c r="CD142" i="2"/>
  <c r="CD21" i="2"/>
  <c r="CD134" i="2"/>
  <c r="CD102" i="2"/>
  <c r="CD61" i="2"/>
  <c r="CD108" i="2"/>
  <c r="CD38" i="2"/>
  <c r="CD203" i="2"/>
  <c r="CD71" i="2"/>
  <c r="CD129" i="2"/>
  <c r="CD93" i="2"/>
  <c r="CD112" i="2"/>
  <c r="CD139" i="2"/>
  <c r="CD41" i="2"/>
  <c r="CD94" i="2"/>
  <c r="CD144" i="2"/>
  <c r="CD183" i="2"/>
  <c r="CD9" i="2"/>
  <c r="CD34" i="2"/>
  <c r="CD168" i="2"/>
  <c r="CD200" i="2"/>
  <c r="CD146" i="2"/>
  <c r="CD123" i="2"/>
  <c r="CD8" i="2"/>
  <c r="CD25" i="2"/>
  <c r="CD56" i="2"/>
  <c r="CD83" i="2"/>
  <c r="CD163" i="2"/>
  <c r="CD178" i="2"/>
  <c r="CD187" i="2"/>
  <c r="CD141" i="2"/>
  <c r="CD161" i="2"/>
  <c r="CD11" i="2"/>
  <c r="CD124" i="2"/>
  <c r="CD63" i="2"/>
  <c r="CD107" i="2"/>
  <c r="CD130" i="2"/>
  <c r="CD30" i="2"/>
  <c r="CD70" i="2"/>
  <c r="CD184" i="2"/>
  <c r="CD181" i="2"/>
  <c r="CD64" i="2"/>
  <c r="CD37" i="2"/>
  <c r="CD131" i="2"/>
  <c r="CD109" i="2"/>
  <c r="CD47" i="2"/>
  <c r="CD82" i="2"/>
  <c r="CD194" i="2"/>
  <c r="CD12" i="2"/>
  <c r="CD75" i="2"/>
  <c r="CD33" i="2"/>
  <c r="CD28" i="2"/>
  <c r="CD96" i="2"/>
  <c r="CD22" i="2"/>
  <c r="CD24" i="2"/>
  <c r="CD77" i="2"/>
  <c r="CD101" i="2"/>
  <c r="CD36" i="2"/>
  <c r="CD172" i="2"/>
  <c r="CD182" i="2"/>
  <c r="CD20" i="2"/>
  <c r="CD17" i="2"/>
  <c r="CD136" i="2"/>
  <c r="CD13" i="2"/>
  <c r="CD79" i="2"/>
  <c r="CD95" i="2"/>
  <c r="CD59" i="2"/>
  <c r="CD180" i="2"/>
  <c r="CD88" i="2"/>
  <c r="CD74" i="2"/>
  <c r="CD68" i="2"/>
  <c r="CY24" i="2"/>
  <c r="CY137" i="2"/>
  <c r="CY81" i="2"/>
  <c r="CY31" i="2"/>
  <c r="CY80" i="2"/>
  <c r="CY186" i="2"/>
  <c r="CY129" i="2"/>
  <c r="CY99" i="2"/>
  <c r="CY203" i="2"/>
  <c r="CY7" i="2"/>
  <c r="CY71" i="2"/>
  <c r="CY128" i="2"/>
  <c r="CY89" i="2"/>
  <c r="CY93" i="2"/>
  <c r="CY158" i="2"/>
  <c r="CY156" i="2"/>
  <c r="CY25" i="2"/>
  <c r="CY161" i="2"/>
  <c r="CY131" i="2"/>
  <c r="CY67" i="2"/>
  <c r="CY171" i="2"/>
  <c r="CY174" i="2"/>
  <c r="CY152" i="2"/>
  <c r="CY169" i="2"/>
  <c r="CY146" i="2"/>
  <c r="CY172" i="2"/>
  <c r="CY117" i="2"/>
  <c r="CY38" i="2"/>
  <c r="CY20" i="2"/>
  <c r="CY149" i="2"/>
  <c r="CY86" i="2"/>
  <c r="CY96" i="2"/>
  <c r="CY101" i="2"/>
  <c r="CY58" i="2"/>
  <c r="CY55" i="2"/>
  <c r="CY113" i="2"/>
  <c r="CY134" i="2"/>
  <c r="CY100" i="2"/>
  <c r="CY8" i="2"/>
  <c r="CY92" i="2"/>
  <c r="CY61" i="2"/>
  <c r="CY145" i="2"/>
  <c r="CY76" i="2"/>
  <c r="CY180" i="2"/>
  <c r="CY75" i="2"/>
  <c r="CY116" i="2"/>
  <c r="CY48" i="2"/>
  <c r="CY198" i="2"/>
  <c r="CY127" i="2"/>
  <c r="CY109" i="2"/>
  <c r="CY83" i="2"/>
  <c r="CY97" i="2"/>
  <c r="CY18" i="2"/>
  <c r="CY170" i="2"/>
  <c r="CY159" i="2"/>
  <c r="CY194" i="2"/>
  <c r="CY147" i="2"/>
  <c r="CY63" i="2"/>
  <c r="CY34" i="2"/>
  <c r="CY44" i="2"/>
  <c r="CY84" i="2"/>
  <c r="CY68" i="2"/>
  <c r="CY106" i="2"/>
  <c r="CY124" i="2"/>
  <c r="CY16" i="2"/>
  <c r="CY114" i="2"/>
  <c r="CY125" i="2"/>
  <c r="CY88" i="2"/>
  <c r="CY143" i="2"/>
  <c r="CY187" i="2"/>
  <c r="CY115" i="2"/>
  <c r="CY190" i="2"/>
  <c r="CY28" i="2"/>
  <c r="CY112" i="2"/>
  <c r="CY162" i="2"/>
  <c r="CY91" i="2"/>
  <c r="CY182" i="2"/>
  <c r="CY121" i="2"/>
  <c r="CY138" i="2"/>
  <c r="CY41" i="2"/>
  <c r="CY95" i="2"/>
  <c r="CY173" i="2"/>
  <c r="CY140" i="2"/>
  <c r="CY77" i="2"/>
  <c r="CY53" i="2"/>
  <c r="CY197" i="2"/>
  <c r="CY196" i="2"/>
  <c r="CY148" i="2"/>
  <c r="CY13" i="2"/>
  <c r="CY62" i="2"/>
  <c r="CY195" i="2"/>
  <c r="CY27" i="2"/>
  <c r="CY150" i="2"/>
  <c r="CY66" i="2"/>
  <c r="CY201" i="2"/>
  <c r="CY163" i="2"/>
  <c r="CY168" i="2"/>
  <c r="CY175" i="2"/>
  <c r="CY37" i="2"/>
  <c r="CY139" i="2"/>
  <c r="CY39" i="2"/>
  <c r="CY179" i="2"/>
  <c r="CY72" i="2"/>
  <c r="CY123" i="2"/>
  <c r="CY42" i="2"/>
  <c r="CY4" i="2"/>
  <c r="CY178" i="2"/>
  <c r="CY108" i="2"/>
  <c r="CY119" i="2"/>
  <c r="CY74" i="2"/>
  <c r="CY50" i="2"/>
  <c r="CY193" i="2"/>
  <c r="CY153" i="2"/>
  <c r="CY32" i="2"/>
  <c r="CY69" i="2"/>
  <c r="CY191" i="2"/>
  <c r="CY107" i="2"/>
  <c r="CY14" i="2"/>
  <c r="CY183" i="2"/>
  <c r="CY35" i="2"/>
  <c r="CY49" i="2"/>
  <c r="CY118" i="2"/>
  <c r="CY144" i="2"/>
  <c r="CY103" i="2"/>
  <c r="CY47" i="2"/>
  <c r="CY82" i="2"/>
  <c r="CY133" i="2"/>
  <c r="CY104" i="2"/>
  <c r="CY167" i="2"/>
  <c r="CY130" i="2"/>
  <c r="CY166" i="2"/>
  <c r="CY17" i="2"/>
  <c r="CY120" i="2"/>
  <c r="CY19" i="2"/>
  <c r="CY45" i="2"/>
  <c r="CY155" i="2"/>
  <c r="CY87" i="2"/>
  <c r="CY59" i="2"/>
  <c r="CY51" i="2"/>
  <c r="CY10" i="2"/>
  <c r="CY185" i="2"/>
  <c r="CY200" i="2"/>
  <c r="CY132" i="2"/>
  <c r="CY102" i="2"/>
  <c r="CY12" i="2"/>
  <c r="CY26" i="2"/>
  <c r="CY157" i="2"/>
  <c r="CY73" i="2"/>
  <c r="CY15" i="2"/>
  <c r="CY30" i="2"/>
  <c r="CY22" i="2"/>
  <c r="CY105" i="2"/>
  <c r="CY43" i="2"/>
  <c r="CY21" i="2"/>
  <c r="CY90" i="2"/>
  <c r="CY78" i="2"/>
  <c r="CY56" i="2"/>
  <c r="CY154" i="2"/>
  <c r="CY65" i="2"/>
  <c r="CY141" i="2"/>
  <c r="CY23" i="2"/>
  <c r="CY6" i="2"/>
  <c r="CY160" i="2"/>
  <c r="CY136" i="2"/>
  <c r="CY57" i="2"/>
  <c r="CY189" i="2"/>
  <c r="CY5" i="2"/>
  <c r="CY52" i="2"/>
  <c r="CY151" i="2"/>
  <c r="CY126" i="2"/>
  <c r="CY142" i="2"/>
  <c r="CY29" i="2"/>
  <c r="CY181" i="2"/>
  <c r="CY184" i="2"/>
  <c r="CY94" i="2"/>
  <c r="CY11" i="2"/>
  <c r="CY85" i="2"/>
  <c r="CY98" i="2"/>
  <c r="CY192" i="2"/>
  <c r="CY9" i="2"/>
  <c r="CY40" i="2"/>
  <c r="CY110" i="2"/>
  <c r="CY3" i="2"/>
  <c r="C10" i="4" s="1"/>
  <c r="E10" i="4" s="1"/>
  <c r="F10" i="4" s="1"/>
  <c r="G10" i="4" s="1"/>
  <c r="L10" i="4" s="1"/>
  <c r="CY111" i="2"/>
  <c r="CY202" i="2"/>
  <c r="CY36" i="2"/>
  <c r="CY33" i="2"/>
  <c r="CY177" i="2"/>
  <c r="CY70" i="2"/>
  <c r="CY79" i="2"/>
  <c r="CY46" i="2"/>
  <c r="CY199" i="2"/>
  <c r="CY176" i="2"/>
  <c r="CY122" i="2"/>
  <c r="CY165" i="2"/>
  <c r="CY188" i="2"/>
  <c r="CY60" i="2"/>
  <c r="CY64" i="2"/>
  <c r="CY135" i="2"/>
  <c r="CY54" i="2"/>
  <c r="CY16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7" i="2" l="1"/>
  <c r="BI65" i="2"/>
  <c r="BI112" i="2"/>
  <c r="BI39" i="2"/>
  <c r="BI13" i="2"/>
  <c r="BI23" i="2"/>
  <c r="BI33" i="2"/>
  <c r="BI106" i="2"/>
  <c r="BI200" i="2"/>
  <c r="BI155" i="2"/>
  <c r="BI160" i="2"/>
  <c r="BI142" i="2"/>
  <c r="BI122" i="2"/>
  <c r="BI180" i="2"/>
  <c r="BI53" i="2"/>
  <c r="BI129" i="2"/>
  <c r="BI114" i="2"/>
  <c r="BI88" i="2"/>
  <c r="BI119" i="2"/>
  <c r="BI47" i="2"/>
  <c r="BI28" i="2"/>
  <c r="BI116" i="2"/>
  <c r="BI201" i="2"/>
  <c r="BI118" i="2"/>
  <c r="BI41" i="2"/>
  <c r="BI101" i="2"/>
  <c r="BI25" i="2"/>
  <c r="BI6" i="2"/>
  <c r="BI18" i="2"/>
  <c r="BI189" i="2"/>
  <c r="BI149" i="2"/>
  <c r="BI187" i="2"/>
  <c r="BI5" i="2"/>
  <c r="BI36" i="2"/>
  <c r="BI10" i="2"/>
  <c r="BI176" i="2"/>
  <c r="BI190" i="2"/>
  <c r="BI40" i="2"/>
  <c r="BI100" i="2"/>
  <c r="BI95" i="2"/>
  <c r="BI50" i="2"/>
  <c r="BI177" i="2"/>
  <c r="BI128" i="2"/>
  <c r="BI9" i="2"/>
  <c r="BI48" i="2"/>
  <c r="BI60" i="2"/>
  <c r="BI113" i="2"/>
  <c r="BI26" i="2"/>
  <c r="BI163" i="2"/>
  <c r="BI86" i="2"/>
  <c r="BI138" i="2"/>
  <c r="BI104" i="2"/>
  <c r="BI29" i="2"/>
  <c r="BI167" i="2"/>
  <c r="BI123" i="2"/>
  <c r="BI194" i="2"/>
  <c r="BI108" i="2"/>
  <c r="BI27" i="2"/>
  <c r="BI45" i="2"/>
  <c r="BI79" i="2"/>
  <c r="BI132" i="2"/>
  <c r="BI117" i="2"/>
  <c r="BI7" i="2"/>
  <c r="BI165" i="2"/>
  <c r="BI175" i="2"/>
  <c r="BI197" i="2"/>
  <c r="BI31" i="2"/>
  <c r="BI82" i="2"/>
  <c r="BI32" i="2"/>
  <c r="BI188" i="2"/>
  <c r="BI83" i="2"/>
  <c r="BI157" i="2"/>
  <c r="BI20" i="2"/>
  <c r="BI42" i="2"/>
  <c r="BI76" i="2"/>
  <c r="BI51" i="2"/>
  <c r="BI98" i="2"/>
  <c r="BI43" i="2"/>
  <c r="BI140" i="2"/>
  <c r="BI125" i="2"/>
  <c r="BI66" i="2"/>
  <c r="BI133" i="2"/>
  <c r="BI181" i="2"/>
  <c r="BI8" i="2"/>
  <c r="BI69" i="2"/>
  <c r="BI179" i="2"/>
  <c r="BI37" i="2"/>
  <c r="BI141" i="2"/>
  <c r="BI91" i="2"/>
  <c r="BI64" i="2"/>
  <c r="BI38" i="2"/>
  <c r="BI17" i="2"/>
  <c r="BI158" i="2"/>
  <c r="BI193" i="2"/>
  <c r="BI102" i="2"/>
  <c r="BI202" i="2"/>
  <c r="BI124" i="2"/>
  <c r="BI139" i="2"/>
  <c r="BI131" i="2"/>
  <c r="BI22" i="2"/>
  <c r="BI169" i="2"/>
  <c r="BI71" i="2"/>
  <c r="BI183" i="2"/>
  <c r="BI203" i="2"/>
  <c r="BI135" i="2"/>
  <c r="BI11" i="2"/>
  <c r="BI52" i="2"/>
  <c r="BI61" i="2"/>
  <c r="BI16" i="2"/>
  <c r="BI58" i="2"/>
  <c r="BI96" i="2"/>
  <c r="BI90" i="2"/>
  <c r="BI78" i="2"/>
  <c r="BI21" i="2"/>
  <c r="BI120" i="2"/>
  <c r="BI153" i="2"/>
  <c r="BI178" i="2"/>
  <c r="BI150" i="2"/>
  <c r="BI127" i="2"/>
  <c r="BI126" i="2"/>
  <c r="BI14" i="2"/>
  <c r="BI75" i="2"/>
  <c r="BI121" i="2"/>
  <c r="BI161" i="2"/>
  <c r="BI196" i="2"/>
  <c r="BI198" i="2"/>
  <c r="BI59" i="2"/>
  <c r="BI152" i="2"/>
  <c r="BI63" i="2"/>
  <c r="BI111" i="2"/>
  <c r="BI199" i="2"/>
  <c r="BI137" i="2"/>
  <c r="BI80" i="2"/>
  <c r="BI162" i="2"/>
  <c r="BI15" i="2"/>
  <c r="BI72" i="2"/>
  <c r="BI115" i="2"/>
  <c r="BI144" i="2"/>
  <c r="BI62" i="2"/>
  <c r="BI154" i="2"/>
  <c r="BI166" i="2"/>
  <c r="BI151" i="2"/>
  <c r="BI73" i="2"/>
  <c r="BI185" i="2"/>
  <c r="BI136" i="2"/>
  <c r="BI77" i="2"/>
  <c r="BI30" i="2"/>
  <c r="BI147" i="2"/>
  <c r="BI170" i="2"/>
  <c r="BI192" i="2"/>
  <c r="BI156" i="2"/>
  <c r="BI109" i="2"/>
  <c r="BI105" i="2"/>
  <c r="BI24" i="2"/>
  <c r="BI186" i="2"/>
  <c r="BI195" i="2"/>
  <c r="BI173" i="2"/>
  <c r="BI35" i="2"/>
  <c r="BI46" i="2"/>
  <c r="BI85" i="2"/>
  <c r="BI67" i="2"/>
  <c r="BI55" i="2"/>
  <c r="BI93" i="2"/>
  <c r="BI56" i="2"/>
  <c r="BI103" i="2"/>
  <c r="BI94" i="2"/>
  <c r="BI4" i="2"/>
  <c r="BI143" i="2"/>
  <c r="BI164" i="2"/>
  <c r="BI92" i="2"/>
  <c r="BI44" i="2"/>
  <c r="BI174" i="2"/>
  <c r="BI110" i="2"/>
  <c r="BI89" i="2"/>
  <c r="BI12" i="2"/>
  <c r="BI84" i="2"/>
  <c r="BI148" i="2"/>
  <c r="BI182" i="2"/>
  <c r="BI171" i="2"/>
  <c r="BI54" i="2"/>
  <c r="BI145" i="2"/>
  <c r="BI87" i="2"/>
  <c r="BI3" i="2"/>
  <c r="C8" i="4" s="1"/>
  <c r="E8" i="4" s="1"/>
  <c r="F8" i="4" s="1"/>
  <c r="G8" i="4" s="1"/>
  <c r="L8" i="4" s="1"/>
  <c r="BI168" i="2"/>
  <c r="BI81" i="2"/>
  <c r="BI146" i="2"/>
  <c r="BI19" i="2"/>
  <c r="BI74" i="2"/>
  <c r="BI70" i="2"/>
  <c r="BI49" i="2"/>
  <c r="BI107" i="2"/>
  <c r="BI172" i="2"/>
  <c r="BI99" i="2"/>
  <c r="BI57" i="2"/>
  <c r="BI191" i="2"/>
  <c r="BI68" i="2"/>
  <c r="BI184" i="2"/>
  <c r="BI130" i="2"/>
  <c r="BI34" i="2"/>
  <c r="BI159" i="2"/>
  <c r="BI134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<sst xmlns="http://schemas.openxmlformats.org/spreadsheetml/2006/main" count="1174" uniqueCount="324">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</sst>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1.5540203492146427</c:v>
                </c:pt>
                <c:pt idx="2">
                  <c:v>1.9710595943294553</c:v>
                </c:pt>
                <c:pt idx="3">
                  <c:v>2.5004677305616276</c:v>
                </c:pt>
                <c:pt idx="4">
                  <c:v>3.1726370094050123</c:v>
                </c:pt>
                <c:pt idx="5">
                  <c:v>4.0262090389534713</c:v>
                </c:pt>
                <c:pt idx="6">
                  <c:v>5.1103212885242639</c:v>
                </c:pt>
                <c:pt idx="7">
                  <c:v>6.4874672329145193</c:v>
                </c:pt>
                <c:pt idx="8">
                  <c:v>8.2371382210826081</c:v>
                </c:pt>
                <c:pt idx="9">
                  <c:v>10.460461311885025</c:v>
                </c:pt>
                <c:pt idx="10">
                  <c:v>13.286106181967314</c:v>
                </c:pt>
                <c:pt idx="11">
                  <c:v>16.877809282139697</c:v>
                </c:pt>
                <c:pt idx="12">
                  <c:v>21.443959171001595</c:v>
                </c:pt>
                <c:pt idx="13">
                  <c:v>27.249809096973291</c:v>
                </c:pt>
                <c:pt idx="14">
                  <c:v>34.633038719647061</c:v>
                </c:pt>
                <c:pt idx="15">
                  <c:v>44.023585661760478</c:v>
                </c:pt>
                <c:pt idx="16">
                  <c:v>55.968921241788202</c:v>
                </c:pt>
                <c:pt idx="17">
                  <c:v>71.166268419669663</c:v>
                </c:pt>
                <c:pt idx="18">
                  <c:v>90.503673059387893</c:v>
                </c:pt>
                <c:pt idx="19">
                  <c:v>115.11236680064013</c:v>
                </c:pt>
                <c:pt idx="20">
                  <c:v>146.43353271796309</c:v>
                </c:pt>
                <c:pt idx="21">
                  <c:v>116.8026363404107</c:v>
                </c:pt>
                <c:pt idx="22">
                  <c:v>128.06116259946739</c:v>
                </c:pt>
                <c:pt idx="23">
                  <c:v>139.29572121624975</c:v>
                </c:pt>
                <c:pt idx="24">
                  <c:v>150.5085198437738</c:v>
                </c:pt>
                <c:pt idx="25">
                  <c:v>161.70140970029556</c:v>
                </c:pt>
                <c:pt idx="26">
                  <c:v>172.87596436429328</c:v>
                </c:pt>
                <c:pt idx="27">
                  <c:v>184.03353707055848</c:v>
                </c:pt>
                <c:pt idx="28">
                  <c:v>195.17530334919044</c:v>
                </c:pt>
                <c:pt idx="29">
                  <c:v>206.30229339751153</c:v>
                </c:pt>
                <c:pt idx="30">
                  <c:v>217.41541708927389</c:v>
                </c:pt>
                <c:pt idx="31">
                  <c:v>180.99217685858619</c:v>
                </c:pt>
                <c:pt idx="32">
                  <c:v>195.17530334919044</c:v>
                </c:pt>
                <c:pt idx="33">
                  <c:v>209.33448475693987</c:v>
                </c:pt>
                <c:pt idx="34">
                  <c:v>223.47156942353161</c:v>
                </c:pt>
                <c:pt idx="35">
                  <c:v>237.58815254200749</c:v>
                </c:pt>
                <c:pt idx="36">
                  <c:v>251.68562413487288</c:v>
                </c:pt>
                <c:pt idx="37">
                  <c:v>265.76520570407024</c:v>
                </c:pt>
                <c:pt idx="38">
                  <c:v>279.82797869837384</c:v>
                </c:pt>
                <c:pt idx="39">
                  <c:v>293.8749069529452</c:v>
                </c:pt>
                <c:pt idx="40">
                  <c:v>307.90685461043864</c:v>
                </c:pt>
                <c:pt idx="41">
                  <c:v>271.79410793232609</c:v>
                </c:pt>
                <c:pt idx="42">
                  <c:v>285.8499784841336</c:v>
                </c:pt>
                <c:pt idx="43">
                  <c:v>299.89038593700792</c:v>
                </c:pt>
                <c:pt idx="44">
                  <c:v>313.91615631143901</c:v>
                </c:pt>
                <c:pt idx="45">
                  <c:v>327.92803577212442</c:v>
                </c:pt>
                <c:pt idx="46">
                  <c:v>341.92670150246295</c:v>
                </c:pt>
                <c:pt idx="47">
                  <c:v>355.91277070439509</c:v>
                </c:pt>
                <c:pt idx="48">
                  <c:v>369.88680810922136</c:v>
                </c:pt>
                <c:pt idx="49">
                  <c:v>383.84933229384137</c:v>
                </c:pt>
                <c:pt idx="50">
                  <c:v>397.80082102983079</c:v>
                </c:pt>
                <c:pt idx="51">
                  <c:v>360.90485169292782</c:v>
                </c:pt>
                <c:pt idx="52">
                  <c:v>373.87725393504803</c:v>
                </c:pt>
                <c:pt idx="53">
                  <c:v>386.83985045971798</c:v>
                </c:pt>
                <c:pt idx="54">
                  <c:v>399.79301616201769</c:v>
                </c:pt>
                <c:pt idx="55">
                  <c:v>412.73709966044299</c:v>
                </c:pt>
                <c:pt idx="56">
                  <c:v>425.67242592235567</c:v>
                </c:pt>
                <c:pt idx="57">
                  <c:v>438.59929855364618</c:v>
                </c:pt>
                <c:pt idx="58">
                  <c:v>451.51800180438869</c:v>
                </c:pt>
                <c:pt idx="59">
                  <c:v>464.4288023329982</c:v>
                </c:pt>
                <c:pt idx="60">
                  <c:v>477.33195076400972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2.0730494889998439</c:v>
                </c:pt>
                <c:pt idx="2">
                  <c:v>2.7713902099624388</c:v>
                </c:pt>
                <c:pt idx="3">
                  <c:v>3.7059598746197273</c:v>
                </c:pt>
                <c:pt idx="4">
                  <c:v>4.9569808986894621</c:v>
                </c:pt>
                <c:pt idx="5">
                  <c:v>6.6320182179794296</c:v>
                </c:pt>
                <c:pt idx="6">
                  <c:v>8.8753299463916484</c:v>
                </c:pt>
                <c:pt idx="7">
                  <c:v>11.880425685941423</c:v>
                </c:pt>
                <c:pt idx="8">
                  <c:v>15.906935948657278</c:v>
                </c:pt>
                <c:pt idx="9">
                  <c:v>21.303276722194457</c:v>
                </c:pt>
                <c:pt idx="10">
                  <c:v>28.537105341810928</c:v>
                </c:pt>
                <c:pt idx="11">
                  <c:v>38.236253093719412</c:v>
                </c:pt>
                <c:pt idx="12">
                  <c:v>51.243747757418383</c:v>
                </c:pt>
                <c:pt idx="13">
                  <c:v>68.691788300102857</c:v>
                </c:pt>
                <c:pt idx="14">
                  <c:v>92.101215593440472</c:v>
                </c:pt>
                <c:pt idx="15">
                  <c:v>123.51528748012358</c:v>
                </c:pt>
                <c:pt idx="16">
                  <c:v>142.310508240378</c:v>
                </c:pt>
                <c:pt idx="17">
                  <c:v>166.24108621267092</c:v>
                </c:pt>
                <c:pt idx="18">
                  <c:v>190.09024760279837</c:v>
                </c:pt>
                <c:pt idx="19">
                  <c:v>213.86965334974414</c:v>
                </c:pt>
                <c:pt idx="20">
                  <c:v>237.58815254200752</c:v>
                </c:pt>
                <c:pt idx="21">
                  <c:v>191.38430889136703</c:v>
                </c:pt>
                <c:pt idx="22">
                  <c:v>217.48272877564315</c:v>
                </c:pt>
                <c:pt idx="23">
                  <c:v>243.50910656067663</c:v>
                </c:pt>
                <c:pt idx="24">
                  <c:v>269.47222443165776</c:v>
                </c:pt>
                <c:pt idx="25">
                  <c:v>295.37903204669743</c:v>
                </c:pt>
                <c:pt idx="26">
                  <c:v>251.22718469835789</c:v>
                </c:pt>
                <c:pt idx="27">
                  <c:v>278.96905083089666</c:v>
                </c:pt>
                <c:pt idx="28">
                  <c:v>306.64902461461685</c:v>
                </c:pt>
                <c:pt idx="29">
                  <c:v>334.27347444605743</c:v>
                </c:pt>
                <c:pt idx="30">
                  <c:v>361.84763005162063</c:v>
                </c:pt>
                <c:pt idx="31">
                  <c:v>318.1656372745901</c:v>
                </c:pt>
                <c:pt idx="32">
                  <c:v>346.02389994775172</c:v>
                </c:pt>
                <c:pt idx="33">
                  <c:v>373.83292076812228</c:v>
                </c:pt>
                <c:pt idx="34">
                  <c:v>401.59687406880653</c:v>
                </c:pt>
                <c:pt idx="35">
                  <c:v>429.3193102010203</c:v>
                </c:pt>
                <c:pt idx="36">
                  <c:v>384.79084614161474</c:v>
                </c:pt>
                <c:pt idx="37">
                  <c:v>411.52051238897451</c:v>
                </c:pt>
                <c:pt idx="38">
                  <c:v>438.21271714302679</c:v>
                </c:pt>
                <c:pt idx="39">
                  <c:v>464.87006056330733</c:v>
                </c:pt>
                <c:pt idx="40">
                  <c:v>491.49482053067408</c:v>
                </c:pt>
                <c:pt idx="41">
                  <c:v>445.32465141602398</c:v>
                </c:pt>
                <c:pt idx="42">
                  <c:v>470.19755134133334</c:v>
                </c:pt>
                <c:pt idx="43">
                  <c:v>495.04243748759899</c:v>
                </c:pt>
                <c:pt idx="44">
                  <c:v>519.86091201489683</c:v>
                </c:pt>
                <c:pt idx="45">
                  <c:v>544.65441177955734</c:v>
                </c:pt>
                <c:pt idx="46">
                  <c:v>499.34953422631764</c:v>
                </c:pt>
                <c:pt idx="47">
                  <c:v>522.39198231059845</c:v>
                </c:pt>
                <c:pt idx="48">
                  <c:v>545.41301666320339</c:v>
                </c:pt>
                <c:pt idx="49">
                  <c:v>568.41366735640975</c:v>
                </c:pt>
                <c:pt idx="50">
                  <c:v>591.39487438498247</c:v>
                </c:pt>
                <c:pt idx="51">
                  <c:v>550.46981830733137</c:v>
                </c:pt>
                <c:pt idx="52">
                  <c:v>571.44524979248831</c:v>
                </c:pt>
                <c:pt idx="53">
                  <c:v>592.40460494682077</c:v>
                </c:pt>
                <c:pt idx="54">
                  <c:v>613.3485320613687</c:v>
                </c:pt>
                <c:pt idx="55">
                  <c:v>634.2776315858373</c:v>
                </c:pt>
                <c:pt idx="56">
                  <c:v>600.98587535009858</c:v>
                </c:pt>
                <c:pt idx="57">
                  <c:v>620.66276493365513</c:v>
                </c:pt>
                <c:pt idx="58">
                  <c:v>640.32673608720359</c:v>
                </c:pt>
                <c:pt idx="59">
                  <c:v>659.97824100389573</c:v>
                </c:pt>
                <c:pt idx="60">
                  <c:v>679.61770277833352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170.20243745871741</c:v>
                </c:pt>
                <c:pt idx="27">
                  <c:v>182.07368538348692</c:v>
                </c:pt>
                <c:pt idx="28">
                  <c:v>193.9268283761636</c:v>
                </c:pt>
                <c:pt idx="29">
                  <c:v>205.7631297377508</c:v>
                </c:pt>
                <c:pt idx="30">
                  <c:v>217.58369540679939</c:v>
                </c:pt>
                <c:pt idx="31">
                  <c:v>225.89297020726841</c:v>
                </c:pt>
                <c:pt idx="32">
                  <c:v>234.19524519588359</c:v>
                </c:pt>
                <c:pt idx="33">
                  <c:v>242.49080379529093</c:v>
                </c:pt>
                <c:pt idx="34">
                  <c:v>250.77990843042721</c:v>
                </c:pt>
                <c:pt idx="35">
                  <c:v>259.06280274212457</c:v>
                </c:pt>
                <c:pt idx="36">
                  <c:v>231.57421272848478</c:v>
                </c:pt>
                <c:pt idx="37">
                  <c:v>249.9076676355476</c:v>
                </c:pt>
                <c:pt idx="38">
                  <c:v>268.21062796009528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562.90982113451889</c:v>
                </c:pt>
                <c:pt idx="92">
                  <c:v>568.90797010861957</c:v>
                </c:pt>
                <c:pt idx="93">
                  <c:v>574.90479761309086</c:v>
                </c:pt>
                <c:pt idx="94">
                  <c:v>580.90031938116965</c:v>
                </c:pt>
                <c:pt idx="95">
                  <c:v>586.89455079472907</c:v>
                </c:pt>
                <c:pt idx="96">
                  <c:v>592.88750689571236</c:v>
                </c:pt>
                <c:pt idx="97">
                  <c:v>598.87920239707955</c:v>
                </c:pt>
                <c:pt idx="98">
                  <c:v>604.86965169329608</c:v>
                </c:pt>
                <c:pt idx="99">
                  <c:v>610.85886887038032</c:v>
                </c:pt>
                <c:pt idx="100">
                  <c:v>616.84686771553982</c:v>
                </c:pt>
                <c:pt idx="101">
                  <c:v>577.04620447443256</c:v>
                </c:pt>
                <c:pt idx="102">
                  <c:v>582.18490565036154</c:v>
                </c:pt>
                <c:pt idx="103">
                  <c:v>587.32266120507177</c:v>
                </c:pt>
                <c:pt idx="104">
                  <c:v>592.45948058080182</c:v>
                </c:pt>
                <c:pt idx="105">
                  <c:v>597.59537304263756</c:v>
                </c:pt>
                <c:pt idx="106">
                  <c:v>602.73034768336242</c:v>
                </c:pt>
                <c:pt idx="107">
                  <c:v>607.86441342813578</c:v>
                </c:pt>
                <c:pt idx="108">
                  <c:v>612.99757903900263</c:v>
                </c:pt>
                <c:pt idx="109">
                  <c:v>618.12985311924672</c:v>
                </c:pt>
                <c:pt idx="110">
                  <c:v>623.26124411759019</c:v>
                </c:pt>
                <c:pt idx="111">
                  <c:v>586.68049314993721</c:v>
                </c:pt>
                <c:pt idx="112">
                  <c:v>590.74731089993463</c:v>
                </c:pt>
                <c:pt idx="113">
                  <c:v>594.81354579947129</c:v>
                </c:pt>
                <c:pt idx="114">
                  <c:v>598.87920239707921</c:v>
                </c:pt>
                <c:pt idx="115">
                  <c:v>602.94428517446511</c:v>
                </c:pt>
                <c:pt idx="116">
                  <c:v>607.00879854794687</c:v>
                </c:pt>
                <c:pt idx="117">
                  <c:v>611.07274686984704</c:v>
                </c:pt>
                <c:pt idx="118">
                  <c:v>615.1361344298507</c:v>
                </c:pt>
                <c:pt idx="119">
                  <c:v>619.19896545632253</c:v>
                </c:pt>
                <c:pt idx="120">
                  <c:v>623.26124411758963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2.7652466528357245</c:v>
                </c:pt>
                <c:pt idx="2">
                  <c:v>3.1526498732896608</c:v>
                </c:pt>
                <c:pt idx="3">
                  <c:v>3.5945199610585767</c:v>
                </c:pt>
                <c:pt idx="4">
                  <c:v>4.0985402882858457</c:v>
                </c:pt>
                <c:pt idx="5">
                  <c:v>4.6734814741684882</c:v>
                </c:pt>
                <c:pt idx="6">
                  <c:v>5.3293556850609054</c:v>
                </c:pt>
                <c:pt idx="7">
                  <c:v>6.0775928914475736</c:v>
                </c:pt>
                <c:pt idx="8">
                  <c:v>6.9312422139657466</c:v>
                </c:pt>
                <c:pt idx="9">
                  <c:v>7.9052019384800483</c:v>
                </c:pt>
                <c:pt idx="10">
                  <c:v>9.0164822921904193</c:v>
                </c:pt>
                <c:pt idx="11">
                  <c:v>10.284505658102008</c:v>
                </c:pt>
                <c:pt idx="12">
                  <c:v>11.73144957443391</c:v>
                </c:pt>
                <c:pt idx="13">
                  <c:v>13.382638630740383</c:v>
                </c:pt>
                <c:pt idx="14">
                  <c:v>15.266992247444895</c:v>
                </c:pt>
                <c:pt idx="15">
                  <c:v>17.417536325906397</c:v>
                </c:pt>
                <c:pt idx="16">
                  <c:v>19.871987900080956</c:v>
                </c:pt>
                <c:pt idx="17">
                  <c:v>22.6734232289357</c:v>
                </c:pt>
                <c:pt idx="18">
                  <c:v>25.871041264612035</c:v>
                </c:pt>
                <c:pt idx="19">
                  <c:v>29.521036141912429</c:v>
                </c:pt>
                <c:pt idx="20">
                  <c:v>33.687594290879673</c:v>
                </c:pt>
                <c:pt idx="21">
                  <c:v>38.444034011373397</c:v>
                </c:pt>
                <c:pt idx="22">
                  <c:v>43.874107907041058</c:v>
                </c:pt>
                <c:pt idx="23">
                  <c:v>50.073491502164835</c:v>
                </c:pt>
                <c:pt idx="24">
                  <c:v>57.151484711439622</c:v>
                </c:pt>
                <c:pt idx="25">
                  <c:v>65.232956660322571</c:v>
                </c:pt>
                <c:pt idx="26">
                  <c:v>75.36203788251963</c:v>
                </c:pt>
                <c:pt idx="27">
                  <c:v>85.456382396271991</c:v>
                </c:pt>
                <c:pt idx="28">
                  <c:v>95.520682327282813</c:v>
                </c:pt>
                <c:pt idx="29">
                  <c:v>105.55855600949467</c:v>
                </c:pt>
                <c:pt idx="30">
                  <c:v>115.57287501055875</c:v>
                </c:pt>
                <c:pt idx="31">
                  <c:v>125.98191930067928</c:v>
                </c:pt>
                <c:pt idx="32">
                  <c:v>136.37010598118897</c:v>
                </c:pt>
                <c:pt idx="33">
                  <c:v>146.73924981884883</c:v>
                </c:pt>
                <c:pt idx="34">
                  <c:v>157.09088766117375</c:v>
                </c:pt>
                <c:pt idx="35">
                  <c:v>167.42633692098417</c:v>
                </c:pt>
                <c:pt idx="36">
                  <c:v>151.71013504978851</c:v>
                </c:pt>
                <c:pt idx="37">
                  <c:v>162.88065693289695</c:v>
                </c:pt>
                <c:pt idx="38">
                  <c:v>174.03306200202442</c:v>
                </c:pt>
                <c:pt idx="39">
                  <c:v>185.16867584889792</c:v>
                </c:pt>
                <c:pt idx="40">
                  <c:v>196.28865140045741</c:v>
                </c:pt>
                <c:pt idx="41">
                  <c:v>178.98422457057109</c:v>
                </c:pt>
                <c:pt idx="42">
                  <c:v>190.52462490535595</c:v>
                </c:pt>
                <c:pt idx="43">
                  <c:v>202.04874721849876</c:v>
                </c:pt>
                <c:pt idx="44">
                  <c:v>213.55765143811337</c:v>
                </c:pt>
                <c:pt idx="45">
                  <c:v>225.05227380728206</c:v>
                </c:pt>
                <c:pt idx="46">
                  <c:v>207.80504043511849</c:v>
                </c:pt>
                <c:pt idx="47">
                  <c:v>219.30669358828911</c:v>
                </c:pt>
                <c:pt idx="48">
                  <c:v>230.7944931021203</c:v>
                </c:pt>
                <c:pt idx="49">
                  <c:v>242.26922614367652</c:v>
                </c:pt>
                <c:pt idx="50">
                  <c:v>253.7315991661691</c:v>
                </c:pt>
                <c:pt idx="51">
                  <c:v>236.53344703477231</c:v>
                </c:pt>
                <c:pt idx="52">
                  <c:v>248.00191632320647</c:v>
                </c:pt>
                <c:pt idx="53">
                  <c:v>259.45835227370497</c:v>
                </c:pt>
                <c:pt idx="54">
                  <c:v>270.9033613896147</c:v>
                </c:pt>
                <c:pt idx="55">
                  <c:v>282.33749471067301</c:v>
                </c:pt>
                <c:pt idx="56">
                  <c:v>264.77349292047239</c:v>
                </c:pt>
                <c:pt idx="57">
                  <c:v>275.80500562250131</c:v>
                </c:pt>
                <c:pt idx="58">
                  <c:v>286.82661124370242</c:v>
                </c:pt>
                <c:pt idx="59">
                  <c:v>297.83874433354407</c:v>
                </c:pt>
                <c:pt idx="60">
                  <c:v>308.84180466613213</c:v>
                </c:pt>
                <c:pt idx="61">
                  <c:v>291.31415591858644</c:v>
                </c:pt>
                <c:pt idx="62">
                  <c:v>302.3225462698868</c:v>
                </c:pt>
                <c:pt idx="63">
                  <c:v>313.32201769425825</c:v>
                </c:pt>
                <c:pt idx="64">
                  <c:v>324.31292757822456</c:v>
                </c:pt>
                <c:pt idx="65">
                  <c:v>335.2956070957909</c:v>
                </c:pt>
                <c:pt idx="66">
                  <c:v>316.9865887388741</c:v>
                </c:pt>
                <c:pt idx="67">
                  <c:v>327.16106643674794</c:v>
                </c:pt>
                <c:pt idx="68">
                  <c:v>337.32855839291477</c:v>
                </c:pt>
                <c:pt idx="69">
                  <c:v>347.48930495916358</c:v>
                </c:pt>
                <c:pt idx="70">
                  <c:v>357.64353127694955</c:v>
                </c:pt>
                <c:pt idx="71">
                  <c:v>339.36123992303641</c:v>
                </c:pt>
                <c:pt idx="72">
                  <c:v>349.52066488969604</c:v>
                </c:pt>
                <c:pt idx="73">
                  <c:v>359.67361293503609</c:v>
                </c:pt>
                <c:pt idx="74">
                  <c:v>369.82029275047876</c:v>
                </c:pt>
                <c:pt idx="75">
                  <c:v>379.96090063619022</c:v>
                </c:pt>
                <c:pt idx="76">
                  <c:v>360.8915414955336</c:v>
                </c:pt>
                <c:pt idx="77">
                  <c:v>370.22603238018934</c:v>
                </c:pt>
                <c:pt idx="78">
                  <c:v>379.55539054654463</c:v>
                </c:pt>
                <c:pt idx="79">
                  <c:v>388.8797600089427</c:v>
                </c:pt>
                <c:pt idx="80">
                  <c:v>398.19927730859058</c:v>
                </c:pt>
                <c:pt idx="81">
                  <c:v>378.74434206791716</c:v>
                </c:pt>
                <c:pt idx="82">
                  <c:v>387.66381592151902</c:v>
                </c:pt>
                <c:pt idx="83">
                  <c:v>396.57883448700221</c:v>
                </c:pt>
                <c:pt idx="84">
                  <c:v>405.48951209335405</c:v>
                </c:pt>
                <c:pt idx="85">
                  <c:v>414.39595763230818</c:v>
                </c:pt>
                <c:pt idx="86">
                  <c:v>394.55307910081621</c:v>
                </c:pt>
                <c:pt idx="87">
                  <c:v>403.05975148729186</c:v>
                </c:pt>
                <c:pt idx="88">
                  <c:v>411.56254124269799</c:v>
                </c:pt>
                <c:pt idx="89">
                  <c:v>420.06153993571371</c:v>
                </c:pt>
                <c:pt idx="90">
                  <c:v>428.55683512546551</c:v>
                </c:pt>
                <c:pt idx="91">
                  <c:v>404.88210153419567</c:v>
                </c:pt>
                <c:pt idx="92">
                  <c:v>409.5384147115638</c:v>
                </c:pt>
                <c:pt idx="93">
                  <c:v>414.19358464515159</c:v>
                </c:pt>
                <c:pt idx="94">
                  <c:v>418.84762601077279</c:v>
                </c:pt>
                <c:pt idx="95">
                  <c:v>423.50055313114984</c:v>
                </c:pt>
                <c:pt idx="96">
                  <c:v>428.15237998828303</c:v>
                </c:pt>
                <c:pt idx="97">
                  <c:v>432.80312023525244</c:v>
                </c:pt>
                <c:pt idx="98">
                  <c:v>437.45278720748746</c:v>
                </c:pt>
                <c:pt idx="99">
                  <c:v>442.1013939335308</c:v>
                </c:pt>
                <c:pt idx="100">
                  <c:v>446.74895314532586</c:v>
                </c:pt>
                <c:pt idx="101">
                  <c:v>421.88226919698872</c:v>
                </c:pt>
                <c:pt idx="102">
                  <c:v>425.32096347765878</c:v>
                </c:pt>
                <c:pt idx="103">
                  <c:v>428.75905961577627</c:v>
                </c:pt>
                <c:pt idx="104">
                  <c:v>432.19656309027005</c:v>
                </c:pt>
                <c:pt idx="105">
                  <c:v>435.63347928570209</c:v>
                </c:pt>
                <c:pt idx="106">
                  <c:v>439.06981349464155</c:v>
                </c:pt>
                <c:pt idx="107">
                  <c:v>442.50557091996029</c:v>
                </c:pt>
                <c:pt idx="108">
                  <c:v>445.94075667705329</c:v>
                </c:pt>
                <c:pt idx="109">
                  <c:v>449.37537579598796</c:v>
                </c:pt>
                <c:pt idx="110">
                  <c:v>452.80943322358286</c:v>
                </c:pt>
                <c:pt idx="111">
                  <c:v>429.56793708094102</c:v>
                </c:pt>
                <c:pt idx="112">
                  <c:v>432.60093655052998</c:v>
                </c:pt>
                <c:pt idx="113">
                  <c:v>435.63347928570209</c:v>
                </c:pt>
                <c:pt idx="114">
                  <c:v>438.665568918492</c:v>
                </c:pt>
                <c:pt idx="115">
                  <c:v>441.69720902656758</c:v>
                </c:pt>
                <c:pt idx="116">
                  <c:v>444.72840313441975</c:v>
                </c:pt>
                <c:pt idx="117">
                  <c:v>447.75915471451799</c:v>
                </c:pt>
                <c:pt idx="118">
                  <c:v>450.78946718843304</c:v>
                </c:pt>
                <c:pt idx="119">
                  <c:v>453.81934392792874</c:v>
                </c:pt>
                <c:pt idx="120">
                  <c:v>456.84878825602163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240.31511393681535</c:v>
                </c:pt>
                <c:pt idx="52">
                  <c:v>251.96738727080017</c:v>
                </c:pt>
                <c:pt idx="53">
                  <c:v>263.60745312628939</c:v>
                </c:pt>
                <c:pt idx="54">
                  <c:v>275.23592678364861</c:v>
                </c:pt>
                <c:pt idx="55">
                  <c:v>286.85336725699193</c:v>
                </c:pt>
                <c:pt idx="56">
                  <c:v>269.0077938022381</c:v>
                </c:pt>
                <c:pt idx="57">
                  <c:v>280.21615005760447</c:v>
                </c:pt>
                <c:pt idx="58">
                  <c:v>291.41445586173216</c:v>
                </c:pt>
                <c:pt idx="59">
                  <c:v>302.60315205267631</c:v>
                </c:pt>
                <c:pt idx="60">
                  <c:v>313.78264418987732</c:v>
                </c:pt>
                <c:pt idx="61">
                  <c:v>295.97394986116763</c:v>
                </c:pt>
                <c:pt idx="62">
                  <c:v>307.15884915049543</c:v>
                </c:pt>
                <c:pt idx="63">
                  <c:v>318.33470044256177</c:v>
                </c:pt>
                <c:pt idx="64">
                  <c:v>329.50186629581282</c:v>
                </c:pt>
                <c:pt idx="65">
                  <c:v>340.66068267684119</c:v>
                </c:pt>
                <c:pt idx="66">
                  <c:v>322.05803699935797</c:v>
                </c:pt>
                <c:pt idx="67">
                  <c:v>332.39568151871464</c:v>
                </c:pt>
                <c:pt idx="68">
                  <c:v>342.7262392021392</c:v>
                </c:pt>
                <c:pt idx="69">
                  <c:v>353.04995387967392</c:v>
                </c:pt>
                <c:pt idx="70">
                  <c:v>363.3670539509107</c:v>
                </c:pt>
                <c:pt idx="71">
                  <c:v>344.79152205649939</c:v>
                </c:pt>
                <c:pt idx="72">
                  <c:v>355.11389600890431</c:v>
                </c:pt>
                <c:pt idx="73">
                  <c:v>365.42969930916388</c:v>
                </c:pt>
                <c:pt idx="74">
                  <c:v>375.7391436687796</c:v>
                </c:pt>
                <c:pt idx="75">
                  <c:v>386.04242822867764</c:v>
                </c:pt>
                <c:pt idx="76">
                  <c:v>366.66716434689437</c:v>
                </c:pt>
                <c:pt idx="77">
                  <c:v>376.15139203422933</c:v>
                </c:pt>
                <c:pt idx="78">
                  <c:v>385.630412725084</c:v>
                </c:pt>
                <c:pt idx="79">
                  <c:v>395.10437251790654</c:v>
                </c:pt>
                <c:pt idx="80">
                  <c:v>404.57340992986127</c:v>
                </c:pt>
                <c:pt idx="81">
                  <c:v>384.8063530090264</c:v>
                </c:pt>
                <c:pt idx="82">
                  <c:v>393.86892067156992</c:v>
                </c:pt>
                <c:pt idx="83">
                  <c:v>402.92696857125202</c:v>
                </c:pt>
                <c:pt idx="84">
                  <c:v>411.98061269157319</c:v>
                </c:pt>
                <c:pt idx="85">
                  <c:v>421.02996350009448</c:v>
                </c:pt>
                <c:pt idx="86">
                  <c:v>400.86871209258283</c:v>
                </c:pt>
                <c:pt idx="87">
                  <c:v>409.51186735681631</c:v>
                </c:pt>
                <c:pt idx="88">
                  <c:v>418.15108380244925</c:v>
                </c:pt>
                <c:pt idx="89">
                  <c:v>426.78645432329768</c:v>
                </c:pt>
                <c:pt idx="90">
                  <c:v>435.41806774560092</c:v>
                </c:pt>
                <c:pt idx="91">
                  <c:v>411.36345637848711</c:v>
                </c:pt>
                <c:pt idx="92">
                  <c:v>416.09447975082259</c:v>
                </c:pt>
                <c:pt idx="93">
                  <c:v>420.82434333491483</c:v>
                </c:pt>
                <c:pt idx="94">
                  <c:v>425.55306201895888</c:v>
                </c:pt>
                <c:pt idx="95">
                  <c:v>430.28065033294848</c:v>
                </c:pt>
                <c:pt idx="96">
                  <c:v>435.0071224612247</c:v>
                </c:pt>
                <c:pt idx="97">
                  <c:v>439.73249225444823</c:v>
                </c:pt>
                <c:pt idx="98">
                  <c:v>444.45677324103218</c:v>
                </c:pt>
                <c:pt idx="99">
                  <c:v>449.17997863806204</c:v>
                </c:pt>
                <c:pt idx="100">
                  <c:v>453.90212136173164</c:v>
                </c:pt>
                <c:pt idx="101">
                  <c:v>428.63639910412559</c:v>
                </c:pt>
                <c:pt idx="102">
                  <c:v>432.13027158383244</c:v>
                </c:pt>
                <c:pt idx="103">
                  <c:v>435.62353726496121</c:v>
                </c:pt>
                <c:pt idx="104">
                  <c:v>439.11620170572928</c:v>
                </c:pt>
                <c:pt idx="105">
                  <c:v>442.60827036862128</c:v>
                </c:pt>
                <c:pt idx="106">
                  <c:v>446.0997486227979</c:v>
                </c:pt>
                <c:pt idx="107">
                  <c:v>449.59064174642413</c:v>
                </c:pt>
                <c:pt idx="108">
                  <c:v>453.08095492892272</c:v>
                </c:pt>
                <c:pt idx="109">
                  <c:v>456.57069327315384</c:v>
                </c:pt>
                <c:pt idx="110">
                  <c:v>460.05986179752387</c:v>
                </c:pt>
                <c:pt idx="111">
                  <c:v>436.44539454971499</c:v>
                </c:pt>
                <c:pt idx="112">
                  <c:v>439.52706413119466</c:v>
                </c:pt>
                <c:pt idx="113">
                  <c:v>442.60827036862116</c:v>
                </c:pt>
                <c:pt idx="114">
                  <c:v>445.68901694659024</c:v>
                </c:pt>
                <c:pt idx="115">
                  <c:v>448.76930749454414</c:v>
                </c:pt>
                <c:pt idx="116">
                  <c:v>451.849145587978</c:v>
                </c:pt>
                <c:pt idx="117">
                  <c:v>454.92853474961379</c:v>
                </c:pt>
                <c:pt idx="118">
                  <c:v>458.00747845053723</c:v>
                </c:pt>
                <c:pt idx="119">
                  <c:v>461.0859801113067</c:v>
                </c:pt>
                <c:pt idx="120">
                  <c:v>464.1640431030275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80" zoomScaleNormal="80" workbookViewId="0">
      <selection activeCell="N47" sqref="N47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3.7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164</v>
      </c>
      <c r="C9" s="32">
        <v>0.43421900000000002</v>
      </c>
      <c r="D9" s="33">
        <f t="shared" ref="D9:D18" si="0">C9*$C$5</f>
        <v>1.6066103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35</v>
      </c>
      <c r="C10" s="32">
        <v>0.43421900000000002</v>
      </c>
      <c r="D10" s="33">
        <f t="shared" si="0"/>
        <v>1.6066103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12</v>
      </c>
      <c r="C11" s="32">
        <v>0.105249</v>
      </c>
      <c r="D11" s="33">
        <f t="shared" si="0"/>
        <v>0.38942130000000003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6</v>
      </c>
      <c r="C12" s="32">
        <v>1.3155999999999999E-2</v>
      </c>
      <c r="D12" s="33">
        <f t="shared" si="0"/>
        <v>4.8677199999999997E-2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1</v>
      </c>
      <c r="C13" s="32">
        <v>1.3155999999999999E-2</v>
      </c>
      <c r="D13" s="33">
        <f t="shared" si="0"/>
        <v>4.8677199999999997E-2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0.99999899999999997</v>
      </c>
      <c r="D19" s="38">
        <f>SUM(D9:D18)</f>
        <v>3.6999963000000005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Cèdre de l'Atlas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140</v>
      </c>
      <c r="C36" s="60">
        <v>1</v>
      </c>
      <c r="D36" s="60">
        <v>40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30</v>
      </c>
      <c r="B37" s="60">
        <v>210</v>
      </c>
      <c r="C37" s="60">
        <v>2</v>
      </c>
      <c r="D37" s="60">
        <v>50</v>
      </c>
      <c r="E37" s="51">
        <v>0.2</v>
      </c>
      <c r="F37" s="51">
        <v>0.56000000000000005</v>
      </c>
      <c r="G37" s="51">
        <v>0.35</v>
      </c>
      <c r="H37" s="51"/>
      <c r="I37" s="53">
        <f t="shared" ref="I37:I55" si="1">IF(A37&lt;&gt;0,(B37-(B36-D36))/(A37-A36),"")</f>
        <v>11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40</v>
      </c>
      <c r="B38" s="60">
        <v>300</v>
      </c>
      <c r="C38" s="60">
        <v>3</v>
      </c>
      <c r="D38" s="60">
        <v>50</v>
      </c>
      <c r="E38" s="51">
        <v>0.3</v>
      </c>
      <c r="F38" s="51">
        <v>0.39</v>
      </c>
      <c r="G38" s="51">
        <v>0.31</v>
      </c>
      <c r="H38" s="51"/>
      <c r="I38" s="53">
        <f t="shared" si="1"/>
        <v>14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50</v>
      </c>
      <c r="B39" s="60">
        <v>390</v>
      </c>
      <c r="C39" s="60">
        <v>4</v>
      </c>
      <c r="D39" s="60">
        <v>50</v>
      </c>
      <c r="E39" s="51">
        <v>0.4</v>
      </c>
      <c r="F39" s="51">
        <v>0.34</v>
      </c>
      <c r="G39" s="51">
        <v>0.26</v>
      </c>
      <c r="H39" s="51"/>
      <c r="I39" s="49">
        <f t="shared" si="1"/>
        <v>14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60</v>
      </c>
      <c r="B40" s="60">
        <v>470</v>
      </c>
      <c r="C40" s="60">
        <v>5</v>
      </c>
      <c r="D40" s="60">
        <v>470</v>
      </c>
      <c r="E40" s="51">
        <v>0.5</v>
      </c>
      <c r="F40" s="51">
        <v>0.28000000000000003</v>
      </c>
      <c r="G40" s="51">
        <v>0.22</v>
      </c>
      <c r="H40" s="51"/>
      <c r="I40" s="49">
        <f t="shared" si="1"/>
        <v>13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Pin laricio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15</v>
      </c>
      <c r="B62" s="60">
        <v>92</v>
      </c>
      <c r="C62" s="60">
        <v>1</v>
      </c>
      <c r="D62" s="60">
        <v>4</v>
      </c>
      <c r="E62" s="51">
        <v>0.2</v>
      </c>
      <c r="F62" s="51">
        <v>0.45</v>
      </c>
      <c r="G62" s="51">
        <v>0.35</v>
      </c>
      <c r="H62" s="51"/>
      <c r="I62" s="53">
        <f>IFERROR(B62/A62,"")</f>
        <v>6.1333333333333337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20</v>
      </c>
      <c r="B63" s="60">
        <v>180</v>
      </c>
      <c r="C63" s="60">
        <v>2</v>
      </c>
      <c r="D63" s="60">
        <v>56</v>
      </c>
      <c r="E63" s="51">
        <v>0.2</v>
      </c>
      <c r="F63" s="51">
        <v>0.45</v>
      </c>
      <c r="G63" s="51">
        <v>0.35</v>
      </c>
      <c r="H63" s="51"/>
      <c r="I63" s="49">
        <f>IF(A63&lt;&gt;0,(B63-(B62-D62))/(A63-A62),"")</f>
        <v>18.399999999999999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25</v>
      </c>
      <c r="B64" s="60">
        <v>225</v>
      </c>
      <c r="C64" s="60">
        <v>3</v>
      </c>
      <c r="D64" s="60">
        <v>56</v>
      </c>
      <c r="E64" s="51">
        <v>0.3</v>
      </c>
      <c r="F64" s="51">
        <v>0.39</v>
      </c>
      <c r="G64" s="51">
        <v>0.31</v>
      </c>
      <c r="H64" s="51"/>
      <c r="I64" s="49">
        <f>IF(A64&lt;&gt;0,(B64-(B63-D63))/(A64-A63),"")</f>
        <v>20.2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30</v>
      </c>
      <c r="B65" s="60">
        <v>277</v>
      </c>
      <c r="C65" s="60">
        <v>4</v>
      </c>
      <c r="D65" s="60">
        <v>56</v>
      </c>
      <c r="E65" s="51">
        <v>0.4</v>
      </c>
      <c r="F65" s="51">
        <v>0.34</v>
      </c>
      <c r="G65" s="51">
        <v>0.26</v>
      </c>
      <c r="H65" s="51"/>
      <c r="I65" s="49">
        <f>IF(A65&lt;&gt;0,(B65-(B64-D64))/(A65-A64),"")</f>
        <v>21.6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35</v>
      </c>
      <c r="B66" s="60">
        <v>330</v>
      </c>
      <c r="C66" s="60">
        <v>5</v>
      </c>
      <c r="D66" s="60">
        <v>56</v>
      </c>
      <c r="E66" s="51">
        <v>0.4</v>
      </c>
      <c r="F66" s="51">
        <v>0.34</v>
      </c>
      <c r="G66" s="51">
        <v>0.26</v>
      </c>
      <c r="H66" s="51"/>
      <c r="I66" s="49">
        <f t="shared" ref="I66:I81" si="2">IF(A66&lt;&gt;0,(B66-(B65-D65))/(A66-A65),"")</f>
        <v>21.8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40</v>
      </c>
      <c r="B67" s="60">
        <v>379</v>
      </c>
      <c r="C67" s="60">
        <v>6</v>
      </c>
      <c r="D67" s="60">
        <v>56</v>
      </c>
      <c r="E67" s="51">
        <v>0.5</v>
      </c>
      <c r="F67" s="51">
        <v>0.28000000000000003</v>
      </c>
      <c r="G67" s="51">
        <v>0.22</v>
      </c>
      <c r="H67" s="51"/>
      <c r="I67" s="49">
        <f t="shared" si="2"/>
        <v>21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45</v>
      </c>
      <c r="B68" s="60">
        <v>421</v>
      </c>
      <c r="C68" s="60">
        <v>7</v>
      </c>
      <c r="D68" s="60">
        <v>54</v>
      </c>
      <c r="E68" s="51">
        <v>0.5</v>
      </c>
      <c r="F68" s="51">
        <v>0.28000000000000003</v>
      </c>
      <c r="G68" s="51">
        <v>0.22</v>
      </c>
      <c r="H68" s="51"/>
      <c r="I68" s="49">
        <f t="shared" si="2"/>
        <v>19.600000000000001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50</v>
      </c>
      <c r="B69" s="50">
        <v>458</v>
      </c>
      <c r="C69" s="50">
        <v>8</v>
      </c>
      <c r="D69" s="50">
        <v>49</v>
      </c>
      <c r="E69" s="51">
        <v>0.6</v>
      </c>
      <c r="F69" s="51">
        <v>0.22</v>
      </c>
      <c r="G69" s="51">
        <v>0.18</v>
      </c>
      <c r="H69" s="51"/>
      <c r="I69" s="49">
        <f t="shared" si="2"/>
        <v>18.2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55</v>
      </c>
      <c r="B70" s="50">
        <v>492</v>
      </c>
      <c r="C70" s="50">
        <v>9</v>
      </c>
      <c r="D70" s="50">
        <v>42</v>
      </c>
      <c r="E70" s="51">
        <v>0.6</v>
      </c>
      <c r="F70" s="51">
        <v>0.22</v>
      </c>
      <c r="G70" s="51">
        <v>0.18</v>
      </c>
      <c r="H70" s="51"/>
      <c r="I70" s="49">
        <f t="shared" si="2"/>
        <v>16.600000000000001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60</v>
      </c>
      <c r="B71" s="50">
        <v>528</v>
      </c>
      <c r="C71" s="50">
        <v>10</v>
      </c>
      <c r="D71" s="50">
        <v>528</v>
      </c>
      <c r="E71" s="51">
        <v>0.7</v>
      </c>
      <c r="F71" s="51">
        <v>0.17</v>
      </c>
      <c r="G71" s="51">
        <v>0.13</v>
      </c>
      <c r="H71" s="51"/>
      <c r="I71" s="49">
        <f t="shared" si="2"/>
        <v>15.6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Chêne pubescent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20</v>
      </c>
      <c r="B88" s="60">
        <v>42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25</v>
      </c>
      <c r="B89" s="60">
        <v>70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5.6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30</v>
      </c>
      <c r="B90" s="60">
        <v>97</v>
      </c>
      <c r="C90" s="60">
        <v>3</v>
      </c>
      <c r="D90" s="60">
        <v>0</v>
      </c>
      <c r="E90" s="87">
        <v>0</v>
      </c>
      <c r="F90" s="87"/>
      <c r="G90" s="87"/>
      <c r="H90" s="87">
        <v>1</v>
      </c>
      <c r="I90" s="53">
        <f t="shared" si="3"/>
        <v>5.4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35</v>
      </c>
      <c r="B91" s="60">
        <v>116</v>
      </c>
      <c r="C91" s="60">
        <v>4</v>
      </c>
      <c r="D91" s="60">
        <v>21</v>
      </c>
      <c r="E91" s="87">
        <v>0</v>
      </c>
      <c r="F91" s="87"/>
      <c r="G91" s="87"/>
      <c r="H91" s="87">
        <v>1</v>
      </c>
      <c r="I91" s="53">
        <f t="shared" si="3"/>
        <v>3.8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40</v>
      </c>
      <c r="B92" s="60">
        <v>137</v>
      </c>
      <c r="C92" s="60">
        <v>5</v>
      </c>
      <c r="D92" s="60">
        <v>21</v>
      </c>
      <c r="E92" s="87">
        <v>0.2</v>
      </c>
      <c r="F92" s="87"/>
      <c r="G92" s="87"/>
      <c r="H92" s="87">
        <v>0.8</v>
      </c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45</v>
      </c>
      <c r="B93" s="60">
        <v>158</v>
      </c>
      <c r="C93" s="60">
        <v>6</v>
      </c>
      <c r="D93" s="60">
        <v>21</v>
      </c>
      <c r="E93" s="87">
        <v>0.2</v>
      </c>
      <c r="F93" s="87"/>
      <c r="G93" s="87"/>
      <c r="H93" s="87">
        <v>0.8</v>
      </c>
      <c r="I93" s="53">
        <f t="shared" si="3"/>
        <v>8.4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50</v>
      </c>
      <c r="B94" s="60">
        <v>178</v>
      </c>
      <c r="C94" s="60">
        <v>7</v>
      </c>
      <c r="D94" s="60">
        <v>21</v>
      </c>
      <c r="E94" s="87">
        <v>0.3</v>
      </c>
      <c r="F94" s="87"/>
      <c r="G94" s="87"/>
      <c r="H94" s="87">
        <v>0.7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55</v>
      </c>
      <c r="B95" s="60">
        <v>197</v>
      </c>
      <c r="C95" s="60">
        <v>8</v>
      </c>
      <c r="D95" s="60">
        <v>21</v>
      </c>
      <c r="E95" s="87">
        <v>0.3</v>
      </c>
      <c r="F95" s="87"/>
      <c r="G95" s="87"/>
      <c r="H95" s="87">
        <v>0.7</v>
      </c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60</v>
      </c>
      <c r="B96" s="60">
        <v>214</v>
      </c>
      <c r="C96" s="60">
        <v>9</v>
      </c>
      <c r="D96" s="60">
        <v>21</v>
      </c>
      <c r="E96" s="87">
        <v>0.4</v>
      </c>
      <c r="F96" s="87"/>
      <c r="G96" s="87"/>
      <c r="H96" s="87">
        <v>0.6</v>
      </c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65</v>
      </c>
      <c r="B97" s="60">
        <v>229</v>
      </c>
      <c r="C97" s="60">
        <v>10</v>
      </c>
      <c r="D97" s="60">
        <v>21</v>
      </c>
      <c r="E97" s="87">
        <v>0.4</v>
      </c>
      <c r="F97" s="87"/>
      <c r="G97" s="87"/>
      <c r="H97" s="87">
        <v>0.6</v>
      </c>
      <c r="I97" s="53">
        <f t="shared" si="3"/>
        <v>7.2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70</v>
      </c>
      <c r="B98" s="60">
        <v>242</v>
      </c>
      <c r="C98" s="60">
        <v>11</v>
      </c>
      <c r="D98" s="60">
        <v>21</v>
      </c>
      <c r="E98" s="87">
        <v>0.5</v>
      </c>
      <c r="F98" s="87"/>
      <c r="G98" s="87"/>
      <c r="H98" s="87">
        <v>0.5</v>
      </c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75</v>
      </c>
      <c r="B99" s="60">
        <v>252</v>
      </c>
      <c r="C99" s="60">
        <v>12</v>
      </c>
      <c r="D99" s="60">
        <v>21</v>
      </c>
      <c r="E99" s="87">
        <v>0.5</v>
      </c>
      <c r="F99" s="87"/>
      <c r="G99" s="87"/>
      <c r="H99" s="87">
        <v>0.5</v>
      </c>
      <c r="I99" s="53">
        <f t="shared" si="3"/>
        <v>6.2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>
        <v>80</v>
      </c>
      <c r="B100" s="60">
        <v>261</v>
      </c>
      <c r="C100" s="60">
        <v>13</v>
      </c>
      <c r="D100" s="60">
        <v>21</v>
      </c>
      <c r="E100" s="65">
        <v>0.6</v>
      </c>
      <c r="F100" s="65"/>
      <c r="G100" s="65"/>
      <c r="H100" s="65">
        <v>0.4</v>
      </c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>
        <v>85</v>
      </c>
      <c r="B101" s="60">
        <v>269</v>
      </c>
      <c r="C101" s="60">
        <v>14</v>
      </c>
      <c r="D101" s="60">
        <v>21</v>
      </c>
      <c r="E101" s="65">
        <v>0.6</v>
      </c>
      <c r="F101" s="65"/>
      <c r="G101" s="65"/>
      <c r="H101" s="65">
        <v>0.4</v>
      </c>
      <c r="I101" s="53">
        <f t="shared" si="3"/>
        <v>5.8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>
        <v>90</v>
      </c>
      <c r="B102" s="50">
        <v>275</v>
      </c>
      <c r="C102" s="60">
        <v>15</v>
      </c>
      <c r="D102" s="50">
        <v>21</v>
      </c>
      <c r="E102" s="54">
        <v>0.7</v>
      </c>
      <c r="F102" s="54"/>
      <c r="G102" s="54"/>
      <c r="H102" s="54">
        <v>0.3</v>
      </c>
      <c r="I102" s="53">
        <f t="shared" si="3"/>
        <v>5.4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>
        <v>100</v>
      </c>
      <c r="B103" s="50">
        <v>282</v>
      </c>
      <c r="C103" s="60">
        <v>16</v>
      </c>
      <c r="D103" s="50">
        <v>21</v>
      </c>
      <c r="E103" s="54">
        <v>0.7</v>
      </c>
      <c r="F103" s="54"/>
      <c r="G103" s="54"/>
      <c r="H103" s="54">
        <v>0.3</v>
      </c>
      <c r="I103" s="53">
        <f t="shared" si="3"/>
        <v>2.8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>
        <v>110</v>
      </c>
      <c r="B104" s="50">
        <v>285</v>
      </c>
      <c r="C104" s="60">
        <v>17</v>
      </c>
      <c r="D104" s="50">
        <v>19</v>
      </c>
      <c r="E104" s="54">
        <v>0.8</v>
      </c>
      <c r="F104" s="54"/>
      <c r="G104" s="54"/>
      <c r="H104" s="54">
        <v>0.2</v>
      </c>
      <c r="I104" s="53">
        <f t="shared" si="3"/>
        <v>2.4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>
        <v>120</v>
      </c>
      <c r="B105" s="50">
        <v>285</v>
      </c>
      <c r="C105" s="50">
        <v>18</v>
      </c>
      <c r="D105" s="50">
        <v>285</v>
      </c>
      <c r="E105" s="54">
        <v>0.8</v>
      </c>
      <c r="F105" s="54"/>
      <c r="G105" s="54"/>
      <c r="H105" s="54">
        <v>0.2</v>
      </c>
      <c r="I105" s="53">
        <f t="shared" si="3"/>
        <v>1.9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Charme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25</v>
      </c>
      <c r="B114" s="60">
        <v>30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30</v>
      </c>
      <c r="B115" s="60">
        <v>54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35</v>
      </c>
      <c r="B116" s="60">
        <v>79</v>
      </c>
      <c r="C116" s="50">
        <v>3</v>
      </c>
      <c r="D116" s="60">
        <v>13</v>
      </c>
      <c r="E116" s="51">
        <v>0</v>
      </c>
      <c r="F116" s="51"/>
      <c r="G116" s="51"/>
      <c r="H116" s="51">
        <v>1</v>
      </c>
      <c r="I116" s="53">
        <f t="shared" si="4"/>
        <v>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40</v>
      </c>
      <c r="B117" s="60">
        <v>93</v>
      </c>
      <c r="C117" s="50">
        <v>4</v>
      </c>
      <c r="D117" s="60">
        <v>14</v>
      </c>
      <c r="E117" s="51">
        <v>0</v>
      </c>
      <c r="F117" s="51"/>
      <c r="G117" s="51"/>
      <c r="H117" s="51">
        <v>1</v>
      </c>
      <c r="I117" s="53">
        <f t="shared" si="4"/>
        <v>5.4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45</v>
      </c>
      <c r="B118" s="60">
        <v>107</v>
      </c>
      <c r="C118" s="50">
        <v>5</v>
      </c>
      <c r="D118" s="60">
        <v>14</v>
      </c>
      <c r="E118" s="51">
        <v>0</v>
      </c>
      <c r="F118" s="51"/>
      <c r="G118" s="51"/>
      <c r="H118" s="51">
        <v>1</v>
      </c>
      <c r="I118" s="53">
        <f t="shared" si="4"/>
        <v>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50</v>
      </c>
      <c r="B119" s="60">
        <v>121</v>
      </c>
      <c r="C119" s="50">
        <v>6</v>
      </c>
      <c r="D119" s="60">
        <v>14</v>
      </c>
      <c r="E119" s="51">
        <v>0</v>
      </c>
      <c r="F119" s="51"/>
      <c r="G119" s="51"/>
      <c r="H119" s="51">
        <v>1</v>
      </c>
      <c r="I119" s="53">
        <f t="shared" si="4"/>
        <v>5.6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55</v>
      </c>
      <c r="B120" s="60">
        <v>135</v>
      </c>
      <c r="C120" s="60">
        <v>7</v>
      </c>
      <c r="D120" s="60">
        <v>14</v>
      </c>
      <c r="E120" s="87">
        <v>0</v>
      </c>
      <c r="F120" s="87"/>
      <c r="G120" s="87"/>
      <c r="H120" s="87">
        <v>1</v>
      </c>
      <c r="I120" s="53">
        <f t="shared" si="4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60</v>
      </c>
      <c r="B121" s="60">
        <v>148</v>
      </c>
      <c r="C121" s="60">
        <v>8</v>
      </c>
      <c r="D121" s="60">
        <v>14</v>
      </c>
      <c r="E121" s="87">
        <v>0.1</v>
      </c>
      <c r="F121" s="87"/>
      <c r="G121" s="87"/>
      <c r="H121" s="87">
        <v>0.9</v>
      </c>
      <c r="I121" s="53">
        <f t="shared" si="4"/>
        <v>5.4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65</v>
      </c>
      <c r="B122" s="60">
        <v>161</v>
      </c>
      <c r="C122" s="60">
        <v>9</v>
      </c>
      <c r="D122" s="60">
        <v>14</v>
      </c>
      <c r="E122" s="87">
        <v>0.1</v>
      </c>
      <c r="F122" s="87"/>
      <c r="G122" s="87"/>
      <c r="H122" s="87">
        <v>0.9</v>
      </c>
      <c r="I122" s="53">
        <f t="shared" si="4"/>
        <v>5.4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70</v>
      </c>
      <c r="B123" s="60">
        <v>172</v>
      </c>
      <c r="C123" s="60">
        <v>10</v>
      </c>
      <c r="D123" s="60">
        <v>14</v>
      </c>
      <c r="E123" s="87">
        <v>0.2</v>
      </c>
      <c r="F123" s="87"/>
      <c r="G123" s="87"/>
      <c r="H123" s="87">
        <v>0.8</v>
      </c>
      <c r="I123" s="53">
        <f t="shared" si="4"/>
        <v>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75</v>
      </c>
      <c r="B124" s="60">
        <v>183</v>
      </c>
      <c r="C124" s="60">
        <v>11</v>
      </c>
      <c r="D124" s="60">
        <v>14</v>
      </c>
      <c r="E124" s="87">
        <v>0.2</v>
      </c>
      <c r="F124" s="87"/>
      <c r="G124" s="87"/>
      <c r="H124" s="87">
        <v>0.8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80</v>
      </c>
      <c r="B125" s="60">
        <v>192</v>
      </c>
      <c r="C125" s="60">
        <v>12</v>
      </c>
      <c r="D125" s="60">
        <v>14</v>
      </c>
      <c r="E125" s="87">
        <v>0.2</v>
      </c>
      <c r="F125" s="87"/>
      <c r="G125" s="87"/>
      <c r="H125" s="87">
        <v>0.8</v>
      </c>
      <c r="I125" s="53">
        <f t="shared" si="4"/>
        <v>4.5999999999999996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85</v>
      </c>
      <c r="B126" s="60">
        <v>200</v>
      </c>
      <c r="C126" s="60">
        <v>13</v>
      </c>
      <c r="D126" s="60">
        <v>14</v>
      </c>
      <c r="E126" s="65">
        <v>0.3</v>
      </c>
      <c r="F126" s="65"/>
      <c r="G126" s="65"/>
      <c r="H126" s="65">
        <v>0.7</v>
      </c>
      <c r="I126" s="53">
        <f t="shared" si="4"/>
        <v>4.4000000000000004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90</v>
      </c>
      <c r="B127" s="60">
        <v>207</v>
      </c>
      <c r="C127" s="60">
        <v>14</v>
      </c>
      <c r="D127" s="60">
        <v>14</v>
      </c>
      <c r="E127" s="65">
        <v>0.3</v>
      </c>
      <c r="F127" s="65"/>
      <c r="G127" s="65"/>
      <c r="H127" s="65">
        <v>0.7</v>
      </c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100</v>
      </c>
      <c r="B128" s="50">
        <v>216</v>
      </c>
      <c r="C128" s="50">
        <v>16</v>
      </c>
      <c r="D128" s="50">
        <v>14</v>
      </c>
      <c r="E128" s="54">
        <v>0.4</v>
      </c>
      <c r="F128" s="54"/>
      <c r="G128" s="54"/>
      <c r="H128" s="54">
        <v>0.6</v>
      </c>
      <c r="I128" s="53">
        <f t="shared" si="4"/>
        <v>2.2999999999999998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>
        <v>110</v>
      </c>
      <c r="B129" s="50">
        <v>219</v>
      </c>
      <c r="C129" s="50">
        <v>18</v>
      </c>
      <c r="D129" s="50">
        <v>13</v>
      </c>
      <c r="E129" s="54">
        <v>0.4</v>
      </c>
      <c r="F129" s="54"/>
      <c r="G129" s="54"/>
      <c r="H129" s="54">
        <v>0.6</v>
      </c>
      <c r="I129" s="53">
        <f t="shared" si="4"/>
        <v>1.7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>
        <v>120</v>
      </c>
      <c r="B130" s="50">
        <v>221</v>
      </c>
      <c r="C130" s="50">
        <v>20</v>
      </c>
      <c r="D130" s="50">
        <v>221</v>
      </c>
      <c r="E130" s="54">
        <v>0.5</v>
      </c>
      <c r="F130" s="54"/>
      <c r="G130" s="54"/>
      <c r="H130" s="54">
        <v>0.5</v>
      </c>
      <c r="I130" s="53">
        <f t="shared" si="4"/>
        <v>1.5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Alisier torminal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25</v>
      </c>
      <c r="B140" s="60">
        <v>30</v>
      </c>
      <c r="C140" s="50">
        <v>1</v>
      </c>
      <c r="D140" s="60">
        <v>0</v>
      </c>
      <c r="E140" s="51">
        <v>0</v>
      </c>
      <c r="F140" s="51"/>
      <c r="G140" s="51"/>
      <c r="H140" s="51">
        <v>1</v>
      </c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30</v>
      </c>
      <c r="B141" s="60">
        <v>54</v>
      </c>
      <c r="C141" s="50">
        <v>2</v>
      </c>
      <c r="D141" s="60">
        <v>0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35</v>
      </c>
      <c r="B142" s="60">
        <v>79</v>
      </c>
      <c r="C142" s="50">
        <v>3</v>
      </c>
      <c r="D142" s="60">
        <v>13</v>
      </c>
      <c r="E142" s="51">
        <v>0</v>
      </c>
      <c r="F142" s="51"/>
      <c r="G142" s="51"/>
      <c r="H142" s="51">
        <v>1</v>
      </c>
      <c r="I142" s="57">
        <f t="shared" si="5"/>
        <v>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40</v>
      </c>
      <c r="B143" s="60">
        <v>93</v>
      </c>
      <c r="C143" s="50">
        <v>4</v>
      </c>
      <c r="D143" s="60">
        <v>14</v>
      </c>
      <c r="E143" s="51">
        <v>0</v>
      </c>
      <c r="F143" s="51"/>
      <c r="G143" s="51"/>
      <c r="H143" s="51">
        <v>1</v>
      </c>
      <c r="I143" s="57">
        <f t="shared" si="5"/>
        <v>5.4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45</v>
      </c>
      <c r="B144" s="60">
        <v>107</v>
      </c>
      <c r="C144" s="50">
        <v>5</v>
      </c>
      <c r="D144" s="60">
        <v>14</v>
      </c>
      <c r="E144" s="51">
        <v>0</v>
      </c>
      <c r="F144" s="51"/>
      <c r="G144" s="51"/>
      <c r="H144" s="51">
        <v>1</v>
      </c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50</v>
      </c>
      <c r="B145" s="60">
        <v>121</v>
      </c>
      <c r="C145" s="50">
        <v>6</v>
      </c>
      <c r="D145" s="60">
        <v>14</v>
      </c>
      <c r="E145" s="51">
        <v>0</v>
      </c>
      <c r="F145" s="51"/>
      <c r="G145" s="51"/>
      <c r="H145" s="51">
        <v>1</v>
      </c>
      <c r="I145" s="57">
        <f t="shared" si="5"/>
        <v>5.6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55</v>
      </c>
      <c r="B146" s="60">
        <v>135</v>
      </c>
      <c r="C146" s="50">
        <v>7</v>
      </c>
      <c r="D146" s="60">
        <v>14</v>
      </c>
      <c r="E146" s="51">
        <v>0</v>
      </c>
      <c r="F146" s="51"/>
      <c r="G146" s="51"/>
      <c r="H146" s="51">
        <v>1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60</v>
      </c>
      <c r="B147" s="60">
        <v>148</v>
      </c>
      <c r="C147" s="50">
        <v>8</v>
      </c>
      <c r="D147" s="60">
        <v>14</v>
      </c>
      <c r="E147" s="51">
        <v>0</v>
      </c>
      <c r="F147" s="51"/>
      <c r="G147" s="51"/>
      <c r="H147" s="51">
        <v>1</v>
      </c>
      <c r="I147" s="57">
        <f>IF(A147&lt;&gt;0,(B147-(B146-D146))/(A147-A146),"")</f>
        <v>5.4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65</v>
      </c>
      <c r="B148" s="60">
        <v>161</v>
      </c>
      <c r="C148" s="50">
        <v>9</v>
      </c>
      <c r="D148" s="60">
        <v>14</v>
      </c>
      <c r="E148" s="51">
        <v>0</v>
      </c>
      <c r="F148" s="51"/>
      <c r="G148" s="51"/>
      <c r="H148" s="51">
        <v>1</v>
      </c>
      <c r="I148" s="57">
        <f t="shared" si="5"/>
        <v>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70</v>
      </c>
      <c r="B149" s="60">
        <v>172</v>
      </c>
      <c r="C149" s="50">
        <v>10</v>
      </c>
      <c r="D149" s="60">
        <v>14</v>
      </c>
      <c r="E149" s="51">
        <v>0</v>
      </c>
      <c r="F149" s="51"/>
      <c r="G149" s="51"/>
      <c r="H149" s="51">
        <v>1</v>
      </c>
      <c r="I149" s="57">
        <f t="shared" si="5"/>
        <v>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75</v>
      </c>
      <c r="B150" s="60">
        <v>183</v>
      </c>
      <c r="C150" s="50">
        <v>11</v>
      </c>
      <c r="D150" s="60">
        <v>14</v>
      </c>
      <c r="E150" s="51">
        <v>0</v>
      </c>
      <c r="F150" s="51"/>
      <c r="G150" s="51"/>
      <c r="H150" s="51">
        <v>1</v>
      </c>
      <c r="I150" s="57">
        <f t="shared" si="5"/>
        <v>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80</v>
      </c>
      <c r="B151" s="60">
        <v>192</v>
      </c>
      <c r="C151" s="50">
        <v>12</v>
      </c>
      <c r="D151" s="60">
        <v>14</v>
      </c>
      <c r="E151" s="51">
        <v>0.3</v>
      </c>
      <c r="F151" s="51"/>
      <c r="G151" s="51"/>
      <c r="H151" s="51">
        <v>0.7</v>
      </c>
      <c r="I151" s="57">
        <f t="shared" si="5"/>
        <v>4.5999999999999996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85</v>
      </c>
      <c r="B152" s="60">
        <v>200</v>
      </c>
      <c r="C152" s="50">
        <v>13</v>
      </c>
      <c r="D152" s="60">
        <v>14</v>
      </c>
      <c r="E152" s="54">
        <v>0.4</v>
      </c>
      <c r="F152" s="54"/>
      <c r="G152" s="54"/>
      <c r="H152" s="54">
        <v>0.6</v>
      </c>
      <c r="I152" s="57">
        <f t="shared" si="5"/>
        <v>4.4000000000000004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90</v>
      </c>
      <c r="B153" s="60">
        <v>207</v>
      </c>
      <c r="C153" s="50">
        <v>14</v>
      </c>
      <c r="D153" s="60">
        <v>14</v>
      </c>
      <c r="E153" s="54">
        <v>0.5</v>
      </c>
      <c r="F153" s="54"/>
      <c r="G153" s="54"/>
      <c r="H153" s="54">
        <v>0.5</v>
      </c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>
        <v>100</v>
      </c>
      <c r="B154" s="56">
        <v>216</v>
      </c>
      <c r="C154" s="50">
        <v>16</v>
      </c>
      <c r="D154" s="50">
        <v>14</v>
      </c>
      <c r="E154" s="54">
        <v>0.6</v>
      </c>
      <c r="F154" s="54"/>
      <c r="G154" s="54"/>
      <c r="H154" s="54">
        <v>0.4</v>
      </c>
      <c r="I154" s="57">
        <f t="shared" si="5"/>
        <v>2.2999999999999998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>
        <v>110</v>
      </c>
      <c r="B155" s="56">
        <v>219</v>
      </c>
      <c r="C155" s="50">
        <v>18</v>
      </c>
      <c r="D155" s="50">
        <v>13</v>
      </c>
      <c r="E155" s="54">
        <v>0.7</v>
      </c>
      <c r="F155" s="54"/>
      <c r="G155" s="54"/>
      <c r="H155" s="54">
        <v>0.3</v>
      </c>
      <c r="I155" s="57">
        <f t="shared" si="5"/>
        <v>1.7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>
        <v>120</v>
      </c>
      <c r="B156" s="56">
        <v>221</v>
      </c>
      <c r="C156" s="50">
        <v>20</v>
      </c>
      <c r="D156" s="50">
        <v>221</v>
      </c>
      <c r="E156" s="54">
        <v>0.8</v>
      </c>
      <c r="F156" s="54"/>
      <c r="G156" s="54"/>
      <c r="H156" s="54">
        <v>0.2</v>
      </c>
      <c r="I156" s="57">
        <f t="shared" si="5"/>
        <v>1.5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Cèdre de l'Atlas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Pin laricio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pubescent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Charme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Alisier torminal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229.61973863654862</v>
      </c>
      <c r="T3" s="59">
        <f>IF('Données projet'!E9&gt;30,$R$33-$H$33,LOOKUP('Données projet'!$E$9,$A$3:$A$203,R3:R203)-LOOKUP('Données projet'!$E$9,$A$3:$A$203,$H$3:$H$203))</f>
        <v>254.08208375594052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348.76139845974495</v>
      </c>
      <c r="AO3" s="59">
        <f>IF('Données projet'!E10&gt;30,$AM$33-$H$33,LOOKUP('Données projet'!$E$10,$A$3:$A$203,AM3:AM203)-LOOKUP('Données projet'!$E$10,$A$3:$A$203,$H$3:$H$203))</f>
        <v>398.5142967182872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413.81510455446738</v>
      </c>
      <c r="BJ3" s="59">
        <f>IF('Données projet'!E11&gt;30,$BH$33-$H$33,LOOKUP('Données projet'!$E$11,$A$3:$A$203,BH3:BH203)-LOOKUP('Données projet'!$E$11,$A$3:$A$203,$H$3:$H$203))</f>
        <v>254.25036207346602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292.61712942007972</v>
      </c>
      <c r="CE3" s="59">
        <f>IF('Données projet'!E12&gt;30,$CC$33-$H$33,LOOKUP('Données projet'!$E$12,$A$3:$A$203,CC3:CC203)-LOOKUP('Données projet'!$E$12,$A$3:$A$203,$H$3:$H$203))</f>
        <v>152.23954167722536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296.78766823247003</v>
      </c>
      <c r="CZ3" s="59">
        <f>IF('Données projet'!E13&gt;30,$CX$33-$H$33,LOOKUP('Données projet'!$E$13,$A$3:$A$203,CX3:CX203)-LOOKUP('Données projet'!$E$13,$A$3:$A$203,$H$3:$H$203))</f>
        <v>154.08406475869634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</v>
      </c>
      <c r="N4" s="13">
        <f>IF('Données projet'!$A$36&gt;35,N3+M4-V3,IF(A4&lt;'Données projet'!$A$36,$K$205^A4,IF(A4='Données projet'!$A$36,'Données projet'!$B$36,N3+M4-V3)))</f>
        <v>1.2802842468510145</v>
      </c>
      <c r="O4" s="13">
        <f>N4*VLOOKUP('Données projet'!$B$9,Paramètres!$A$1:$I$89,3,0)*VLOOKUP('Données projet'!$B$9,Paramètres!$A$1:$I$89,5,0)</f>
        <v>0.59917302752627477</v>
      </c>
      <c r="P4" s="13">
        <f>EXP(-1.0587+0.8836*LN(O4)+0.284)</f>
        <v>0.29308746006107994</v>
      </c>
      <c r="Q4" s="20">
        <f t="shared" ref="Q4:Q34" si="2">(O4+P4)*0.475*44/12</f>
        <v>1.5540203492146427</v>
      </c>
      <c r="R4" s="59">
        <f t="shared" si="0"/>
        <v>259.44290923810348</v>
      </c>
      <c r="S4" s="59">
        <f ca="1">AVERAGE(OFFSET($R$3,0,0,'Données projet'!$E$9+1,1))-AVERAGE(OFFSET($H$3,0,0,'Données projet'!$E$9+1,1))</f>
        <v>229.61973863654862</v>
      </c>
      <c r="T4" s="59">
        <f>$T$3</f>
        <v>254.08208375594052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6.1333333333333337</v>
      </c>
      <c r="AI4" s="13">
        <f>IF('Données projet'!$A$62&gt;35,AI3+AH4-AQ3,IF(A4&lt;'Données projet'!$A$62,$AF$205^A4,IF(A4='Données projet'!$A$62,'Données projet'!$B$62,AI3+AH4-AQ3)))</f>
        <v>1.351820999185372</v>
      </c>
      <c r="AJ4" s="13">
        <f>AI4*VLOOKUP('Données projet'!$B$10,Paramètres!$A$1:$I$89,3,0)*VLOOKUP('Données projet'!$B$10,Paramètres!$A$1:$I$89,5,0)</f>
        <v>0.80838895751285256</v>
      </c>
      <c r="AK4" s="13">
        <f>EXP(-1.0587+0.8836*LN(AJ4)+0.284)</f>
        <v>0.38187869167366073</v>
      </c>
      <c r="AL4" s="20">
        <f t="shared" ref="AL4:AL67" si="4">(AJ4+AK4)*0.475*44/12</f>
        <v>2.0730494889998439</v>
      </c>
      <c r="AM4" s="59">
        <f t="shared" ref="AM4:AM67" si="5">AL4+(AD4+AE4)*44/12</f>
        <v>259.96193837788871</v>
      </c>
      <c r="AN4" s="59">
        <f ca="1">AVERAGE(OFFSET($AM$3,0,0,'Données projet'!$E$10+1,1))-AVERAGE(OFFSET($H$3,0,0,'Données projet'!$E$10+1,1))</f>
        <v>348.76139845974495</v>
      </c>
      <c r="AO4" s="59">
        <f>$AO$3</f>
        <v>398.5142967182872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1.2223636300497438</v>
      </c>
      <c r="BF4" s="13">
        <f>EXP(-1.0587+0.8836*LN(BE4)+0.284)</f>
        <v>0.55030360208821416</v>
      </c>
      <c r="BG4" s="20">
        <f t="shared" ref="BG4:BG67" si="7">(BE4+BF4)*0.475*44/12</f>
        <v>3.0873954293069432</v>
      </c>
      <c r="BH4" s="59">
        <f t="shared" ref="BH4:BH67" si="8">BG4+(AY4+AZ4)*44/12</f>
        <v>260.97628431819578</v>
      </c>
      <c r="BI4" s="59">
        <f ca="1">AVERAGE(OFFSET($BH$3,0,0,'Données projet'!$E$11+1,1))-AVERAGE(OFFSET($H$3,0,0,'Données projet'!$E$11+1,1))</f>
        <v>413.81510455446738</v>
      </c>
      <c r="BJ4" s="59">
        <f>$BJ$3</f>
        <v>254.25036207346602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1.0902831080943671</v>
      </c>
      <c r="CA4" s="13">
        <f>EXP(-1.0587+0.8836*LN(BZ4)+0.284)</f>
        <v>0.49741831937112058</v>
      </c>
      <c r="CB4" s="20">
        <f t="shared" ref="CB4:CB67" si="10">(BZ4+CA4)*0.475*44/12</f>
        <v>2.7652466528357245</v>
      </c>
      <c r="CC4" s="59">
        <f t="shared" ref="CC4:CC67" si="11">CB4+(BT4+BU4)*44/12</f>
        <v>260.6541355417246</v>
      </c>
      <c r="CD4" s="59">
        <f ca="1">AVERAGE(OFFSET($CC$3,0,0,'Données projet'!$E$12+1,1))-AVERAGE(OFFSET($H$3,0,0,'Données projet'!$E$12+1,1))</f>
        <v>292.61712942007972</v>
      </c>
      <c r="CE4" s="59">
        <f>$CE$3</f>
        <v>152.23954167722536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1.1081566016696847</v>
      </c>
      <c r="CV4" s="13">
        <f>EXP(-1.0587+0.8836*LN(CU4)+0.284)</f>
        <v>0.50461671312632472</v>
      </c>
      <c r="CW4" s="20">
        <f t="shared" ref="CW4:CW67" si="13">(CU4+CV4)*0.475*44/12</f>
        <v>2.808913523269716</v>
      </c>
      <c r="CX4" s="59">
        <f t="shared" ref="CX4:CX67" si="14">CW4+(CO4+CP4)*44/12</f>
        <v>260.69780241215858</v>
      </c>
      <c r="CY4" s="59">
        <f ca="1">AVERAGE(OFFSET($CX$3,0,0,'Données projet'!$E$13+1,1))-AVERAGE(OFFSET($H$3,0,0,'Données projet'!$E$13+1,1))</f>
        <v>296.78766823247003</v>
      </c>
      <c r="CZ4" s="59">
        <f>$CZ$3</f>
        <v>154.08406475869634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</v>
      </c>
      <c r="N5" s="13">
        <f>IF('Données projet'!$A$36&gt;35,N4+M5-V4,IF(A5&lt;'Données projet'!$A$36,$K$205^A5,IF(A5='Données projet'!$A$36,'Données projet'!$B$36,N4+M5-V4)))</f>
        <v>1.6391277527348693</v>
      </c>
      <c r="O5" s="13">
        <f>N5*VLOOKUP('Données projet'!$B$9,Paramètres!$A$1:$I$89,3,0)*VLOOKUP('Données projet'!$B$9,Paramètres!$A$1:$I$89,5,0)</f>
        <v>0.76711178827991888</v>
      </c>
      <c r="P5" s="13">
        <f t="shared" ref="P5:P68" si="33">EXP(-1.0587+0.8836*LN(O5)+0.284)</f>
        <v>0.36459706970828532</v>
      </c>
      <c r="Q5" s="20">
        <f t="shared" si="2"/>
        <v>1.9710595943294553</v>
      </c>
      <c r="R5" s="59">
        <f t="shared" si="0"/>
        <v>261.0821707054406</v>
      </c>
      <c r="S5" s="59">
        <f ca="1">AVERAGE(OFFSET($R$3,0,0,'Données projet'!$E$9+1,1))-AVERAGE(OFFSET($H$3,0,0,'Données projet'!$E$9+1,1))</f>
        <v>229.61973863654862</v>
      </c>
      <c r="T5" s="59">
        <f t="shared" ref="T5:T68" si="34">$T$3</f>
        <v>254.08208375594052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6.1333333333333337</v>
      </c>
      <c r="AI5" s="13">
        <f>IF('Données projet'!$A$62&gt;35,AI4+AH5-AQ4,IF(A5&lt;'Données projet'!$A$62,$AF$205^A5,IF(A5='Données projet'!$A$62,'Données projet'!$B$62,AI4+AH5-AQ4)))</f>
        <v>1.8274200138385375</v>
      </c>
      <c r="AJ5" s="13">
        <f>AI5*VLOOKUP('Données projet'!$B$10,Paramètres!$A$1:$I$89,3,0)*VLOOKUP('Données projet'!$B$10,Paramètres!$A$1:$I$89,5,0)</f>
        <v>1.0927971682754454</v>
      </c>
      <c r="AK5" s="13">
        <f t="shared" ref="AK5:AK68" si="35">EXP(-1.0587+0.8836*LN(AJ5)+0.284)</f>
        <v>0.49843166041112263</v>
      </c>
      <c r="AL5" s="20">
        <f t="shared" si="4"/>
        <v>2.7713902099624388</v>
      </c>
      <c r="AM5" s="59">
        <f t="shared" si="5"/>
        <v>261.88250132107356</v>
      </c>
      <c r="AN5" s="59">
        <f ca="1">AVERAGE(OFFSET($AM$3,0,0,'Données projet'!$E$10+1,1))-AVERAGE(OFFSET($H$3,0,0,'Données projet'!$E$10+1,1))</f>
        <v>348.76139845974495</v>
      </c>
      <c r="AO5" s="59">
        <f t="shared" ref="AO5:AO68" si="36">$AO$3</f>
        <v>398.5142967182872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1.47354323872622</v>
      </c>
      <c r="BF5" s="13">
        <f t="shared" ref="BF5:BF68" si="37">EXP(-1.0587+0.8836*LN(BE5)+0.284)</f>
        <v>0.64910881835703094</v>
      </c>
      <c r="BG5" s="20">
        <f t="shared" si="7"/>
        <v>3.6969523327533285</v>
      </c>
      <c r="BH5" s="59">
        <f t="shared" si="8"/>
        <v>262.80806344386446</v>
      </c>
      <c r="BI5" s="59">
        <f ca="1">AVERAGE(OFFSET($BH$3,0,0,'Données projet'!$E$11+1,1))-AVERAGE(OFFSET($H$3,0,0,'Données projet'!$E$11+1,1))</f>
        <v>413.81510455446738</v>
      </c>
      <c r="BJ5" s="59">
        <f t="shared" ref="BJ5:BJ68" si="38">$BJ$3</f>
        <v>254.25036207346602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1.2491774440898626</v>
      </c>
      <c r="CA5" s="13">
        <f t="shared" ref="CA5:CA68" si="39">EXP(-1.0587+0.8836*LN(BZ5)+0.284)</f>
        <v>0.56095645444965547</v>
      </c>
      <c r="CB5" s="20">
        <f t="shared" si="10"/>
        <v>3.1526498732896608</v>
      </c>
      <c r="CC5" s="59">
        <f t="shared" si="11"/>
        <v>262.26376098440079</v>
      </c>
      <c r="CD5" s="59">
        <f ca="1">AVERAGE(OFFSET($CC$3,0,0,'Données projet'!$E$12+1,1))-AVERAGE(OFFSET($H$3,0,0,'Données projet'!$E$12+1,1))</f>
        <v>292.61712942007972</v>
      </c>
      <c r="CE5" s="59">
        <f t="shared" ref="CE5:CE68" si="40">$CE$3</f>
        <v>152.23954167722536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1.2696557628454344</v>
      </c>
      <c r="CV5" s="13">
        <f t="shared" ref="CV5:CV68" si="41">EXP(-1.0587+0.8836*LN(CU5)+0.284)</f>
        <v>0.56907434090738995</v>
      </c>
      <c r="CW5" s="20">
        <f t="shared" si="13"/>
        <v>3.2024549307028356</v>
      </c>
      <c r="CX5" s="59">
        <f t="shared" si="14"/>
        <v>262.313566041814</v>
      </c>
      <c r="CY5" s="59">
        <f ca="1">AVERAGE(OFFSET($CX$3,0,0,'Données projet'!$E$13+1,1))-AVERAGE(OFFSET($H$3,0,0,'Données projet'!$E$13+1,1))</f>
        <v>296.78766823247003</v>
      </c>
      <c r="CZ5" s="59">
        <f t="shared" ref="CZ5:CZ68" si="42">$CZ$3</f>
        <v>154.08406475869634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</v>
      </c>
      <c r="N6" s="13">
        <f>IF('Données projet'!$A$36&gt;35,N5+M6-V5,IF(A6&lt;'Données projet'!$A$36,$K$205^A6,IF(A6='Données projet'!$A$36,'Données projet'!$B$36,N5+M6-V5)))</f>
        <v>2.098549440402758</v>
      </c>
      <c r="O6" s="13">
        <f>N6*VLOOKUP('Données projet'!$B$9,Paramètres!$A$1:$I$89,3,0)*VLOOKUP('Données projet'!$B$9,Paramètres!$A$1:$I$89,5,0)</f>
        <v>0.98212113810849078</v>
      </c>
      <c r="P6" s="13">
        <f t="shared" si="33"/>
        <v>0.453554113888616</v>
      </c>
      <c r="Q6" s="20">
        <f t="shared" si="2"/>
        <v>2.5004677305616276</v>
      </c>
      <c r="R6" s="59">
        <f t="shared" si="0"/>
        <v>262.83380106389495</v>
      </c>
      <c r="S6" s="59">
        <f ca="1">AVERAGE(OFFSET($R$3,0,0,'Données projet'!$E$9+1,1))-AVERAGE(OFFSET($H$3,0,0,'Données projet'!$E$9+1,1))</f>
        <v>229.61973863654862</v>
      </c>
      <c r="T6" s="59">
        <f t="shared" si="34"/>
        <v>254.08208375594052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6.1333333333333337</v>
      </c>
      <c r="AI6" s="13">
        <f>IF('Données projet'!$A$62&gt;35,AI5+AH6-AQ5,IF(A6&lt;'Données projet'!$A$62,$AF$205^A6,IF(A6='Données projet'!$A$62,'Données projet'!$B$62,AI5+AH6-AQ5)))</f>
        <v>2.4703447490385582</v>
      </c>
      <c r="AJ6" s="13">
        <f>AI6*VLOOKUP('Données projet'!$B$10,Paramètres!$A$1:$I$89,3,0)*VLOOKUP('Données projet'!$B$10,Paramètres!$A$1:$I$89,5,0)</f>
        <v>1.4772661599250581</v>
      </c>
      <c r="AK6" s="13">
        <f t="shared" si="35"/>
        <v>0.65055769153124499</v>
      </c>
      <c r="AL6" s="20">
        <f t="shared" si="4"/>
        <v>3.7059598746197273</v>
      </c>
      <c r="AM6" s="59">
        <f t="shared" si="5"/>
        <v>264.03929320795305</v>
      </c>
      <c r="AN6" s="59">
        <f ca="1">AVERAGE(OFFSET($AM$3,0,0,'Données projet'!$E$10+1,1))-AVERAGE(OFFSET($H$3,0,0,'Données projet'!$E$10+1,1))</f>
        <v>348.76139845974495</v>
      </c>
      <c r="AO6" s="59">
        <f t="shared" si="36"/>
        <v>398.5142967182872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1.7763369450933317</v>
      </c>
      <c r="BF6" s="13">
        <f t="shared" si="37"/>
        <v>0.76565418883323866</v>
      </c>
      <c r="BG6" s="20">
        <f t="shared" si="7"/>
        <v>4.4273012249221102</v>
      </c>
      <c r="BH6" s="59">
        <f t="shared" si="8"/>
        <v>264.76063455825545</v>
      </c>
      <c r="BI6" s="59">
        <f ca="1">AVERAGE(OFFSET($BH$3,0,0,'Données projet'!$E$11+1,1))-AVERAGE(OFFSET($H$3,0,0,'Données projet'!$E$11+1,1))</f>
        <v>413.81510455446738</v>
      </c>
      <c r="BJ6" s="59">
        <f t="shared" si="38"/>
        <v>254.25036207346602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1.4312285270110057</v>
      </c>
      <c r="CA6" s="13">
        <f t="shared" si="39"/>
        <v>0.63261068508004337</v>
      </c>
      <c r="CB6" s="20">
        <f t="shared" si="10"/>
        <v>3.5945199610585767</v>
      </c>
      <c r="CC6" s="59">
        <f t="shared" si="11"/>
        <v>263.92785329439187</v>
      </c>
      <c r="CD6" s="59">
        <f ca="1">AVERAGE(OFFSET($CC$3,0,0,'Données projet'!$E$12+1,1))-AVERAGE(OFFSET($H$3,0,0,'Données projet'!$E$12+1,1))</f>
        <v>292.61712942007972</v>
      </c>
      <c r="CE6" s="59">
        <f t="shared" si="40"/>
        <v>152.23954167722536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1.4546912897488911</v>
      </c>
      <c r="CV6" s="13">
        <f t="shared" si="41"/>
        <v>0.64176551639126822</v>
      </c>
      <c r="CW6" s="20">
        <f t="shared" si="13"/>
        <v>3.6513289373607773</v>
      </c>
      <c r="CX6" s="59">
        <f t="shared" si="14"/>
        <v>263.98466227069412</v>
      </c>
      <c r="CY6" s="59">
        <f ca="1">AVERAGE(OFFSET($CX$3,0,0,'Données projet'!$E$13+1,1))-AVERAGE(OFFSET($H$3,0,0,'Données projet'!$E$13+1,1))</f>
        <v>296.78766823247003</v>
      </c>
      <c r="CZ6" s="59">
        <f t="shared" si="42"/>
        <v>154.08406475869634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</v>
      </c>
      <c r="N7" s="13">
        <f>IF('Données projet'!$A$36&gt;35,N6+M7-V6,IF(A7&lt;'Données projet'!$A$36,$K$205^A7,IF(A7='Données projet'!$A$36,'Données projet'!$B$36,N6+M7-V6)))</f>
        <v>2.6867397897856629</v>
      </c>
      <c r="O7" s="13">
        <f>N7*VLOOKUP('Données projet'!$B$9,Paramètres!$A$1:$I$89,3,0)*VLOOKUP('Données projet'!$B$9,Paramètres!$A$1:$I$89,5,0)</f>
        <v>1.2573942216196903</v>
      </c>
      <c r="P7" s="13">
        <f t="shared" si="33"/>
        <v>0.56421554454586698</v>
      </c>
      <c r="Q7" s="20">
        <f t="shared" si="2"/>
        <v>3.1726370094050123</v>
      </c>
      <c r="R7" s="59">
        <f t="shared" si="0"/>
        <v>264.72819256496058</v>
      </c>
      <c r="S7" s="59">
        <f ca="1">AVERAGE(OFFSET($R$3,0,0,'Données projet'!$E$9+1,1))-AVERAGE(OFFSET($H$3,0,0,'Données projet'!$E$9+1,1))</f>
        <v>229.61973863654862</v>
      </c>
      <c r="T7" s="59">
        <f t="shared" si="34"/>
        <v>254.08208375594052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6.1333333333333337</v>
      </c>
      <c r="AI7" s="13">
        <f>IF('Données projet'!$A$62&gt;35,AI6+AH7-AQ6,IF(A7&lt;'Données projet'!$A$62,$AF$205^A7,IF(A7='Données projet'!$A$62,'Données projet'!$B$62,AI6+AH7-AQ6)))</f>
        <v>3.3394639069776404</v>
      </c>
      <c r="AJ7" s="13">
        <f>AI7*VLOOKUP('Données projet'!$B$10,Paramètres!$A$1:$I$89,3,0)*VLOOKUP('Données projet'!$B$10,Paramètres!$A$1:$I$89,5,0)</f>
        <v>1.996999416372629</v>
      </c>
      <c r="AK7" s="13">
        <f t="shared" si="35"/>
        <v>0.84911401828160815</v>
      </c>
      <c r="AL7" s="20">
        <f t="shared" si="4"/>
        <v>4.9569808986894621</v>
      </c>
      <c r="AM7" s="59">
        <f t="shared" si="5"/>
        <v>266.51253645424498</v>
      </c>
      <c r="AN7" s="59">
        <f ca="1">AVERAGE(OFFSET($AM$3,0,0,'Données projet'!$E$10+1,1))-AVERAGE(OFFSET($H$3,0,0,'Données projet'!$E$10+1,1))</f>
        <v>348.76139845974495</v>
      </c>
      <c r="AO7" s="59">
        <f t="shared" si="36"/>
        <v>398.5142967182872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2.1413507656762891</v>
      </c>
      <c r="BF7" s="13">
        <f t="shared" si="37"/>
        <v>0.9031249003236328</v>
      </c>
      <c r="BG7" s="20">
        <f t="shared" si="7"/>
        <v>5.3024617849498643</v>
      </c>
      <c r="BH7" s="59">
        <f t="shared" si="8"/>
        <v>266.8580173405054</v>
      </c>
      <c r="BI7" s="59">
        <f ca="1">AVERAGE(OFFSET($BH$3,0,0,'Données projet'!$E$11+1,1))-AVERAGE(OFFSET($H$3,0,0,'Données projet'!$E$11+1,1))</f>
        <v>413.81510455446738</v>
      </c>
      <c r="BJ7" s="59">
        <f t="shared" si="38"/>
        <v>254.25036207346602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1.6398111463039953</v>
      </c>
      <c r="CA7" s="13">
        <f t="shared" si="39"/>
        <v>0.71341772735294995</v>
      </c>
      <c r="CB7" s="20">
        <f t="shared" si="10"/>
        <v>4.0985402882858457</v>
      </c>
      <c r="CC7" s="59">
        <f t="shared" si="11"/>
        <v>265.65409584384139</v>
      </c>
      <c r="CD7" s="59">
        <f ca="1">AVERAGE(OFFSET($CC$3,0,0,'Données projet'!$E$12+1,1))-AVERAGE(OFFSET($H$3,0,0,'Données projet'!$E$12+1,1))</f>
        <v>292.61712942007972</v>
      </c>
      <c r="CE7" s="59">
        <f t="shared" si="40"/>
        <v>152.23954167722536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1.6666932962434051</v>
      </c>
      <c r="CV7" s="13">
        <f t="shared" si="41"/>
        <v>0.72374195851500689</v>
      </c>
      <c r="CW7" s="20">
        <f t="shared" si="13"/>
        <v>4.1633414020375676</v>
      </c>
      <c r="CX7" s="59">
        <f t="shared" si="14"/>
        <v>265.71889695759313</v>
      </c>
      <c r="CY7" s="59">
        <f ca="1">AVERAGE(OFFSET($CX$3,0,0,'Données projet'!$E$13+1,1))-AVERAGE(OFFSET($H$3,0,0,'Données projet'!$E$13+1,1))</f>
        <v>296.78766823247003</v>
      </c>
      <c r="CZ7" s="59">
        <f t="shared" si="42"/>
        <v>154.08406475869634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</v>
      </c>
      <c r="N8" s="13">
        <f>IF('Données projet'!$A$36&gt;35,N7+M8-V7,IF(A8&lt;'Données projet'!$A$36,$K$205^A8,IF(A8='Données projet'!$A$36,'Données projet'!$B$36,N7+M8-V7)))</f>
        <v>3.4397906282503903</v>
      </c>
      <c r="O8" s="13">
        <f>N8*VLOOKUP('Données projet'!$B$9,Paramètres!$A$1:$I$89,3,0)*VLOOKUP('Données projet'!$B$9,Paramètres!$A$1:$I$89,5,0)</f>
        <v>1.6098220140211825</v>
      </c>
      <c r="P8" s="13">
        <f t="shared" si="33"/>
        <v>0.70187695571286812</v>
      </c>
      <c r="Q8" s="20">
        <f t="shared" si="2"/>
        <v>4.0262090389534713</v>
      </c>
      <c r="R8" s="59">
        <f t="shared" si="0"/>
        <v>266.80398681673125</v>
      </c>
      <c r="S8" s="59">
        <f ca="1">AVERAGE(OFFSET($R$3,0,0,'Données projet'!$E$9+1,1))-AVERAGE(OFFSET($H$3,0,0,'Données projet'!$E$9+1,1))</f>
        <v>229.61973863654862</v>
      </c>
      <c r="T8" s="59">
        <f t="shared" si="34"/>
        <v>254.08208375594052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6.1333333333333337</v>
      </c>
      <c r="AI8" s="13">
        <f>IF('Données projet'!$A$62&gt;35,AI7+AH8-AQ7,IF(A8&lt;'Données projet'!$A$62,$AF$205^A8,IF(A8='Données projet'!$A$62,'Données projet'!$B$62,AI7+AH8-AQ7)))</f>
        <v>4.5143574354740004</v>
      </c>
      <c r="AJ8" s="13">
        <f>AI8*VLOOKUP('Données projet'!$B$10,Paramètres!$A$1:$I$89,3,0)*VLOOKUP('Données projet'!$B$10,Paramètres!$A$1:$I$89,5,0)</f>
        <v>2.6995857464134523</v>
      </c>
      <c r="AK8" s="13">
        <f t="shared" si="35"/>
        <v>1.1082716036225841</v>
      </c>
      <c r="AL8" s="20">
        <f t="shared" si="4"/>
        <v>6.6320182179794296</v>
      </c>
      <c r="AM8" s="59">
        <f t="shared" si="5"/>
        <v>269.40979599575718</v>
      </c>
      <c r="AN8" s="59">
        <f ca="1">AVERAGE(OFFSET($AM$3,0,0,'Données projet'!$E$10+1,1))-AVERAGE(OFFSET($H$3,0,0,'Données projet'!$E$10+1,1))</f>
        <v>348.76139845974495</v>
      </c>
      <c r="AO8" s="59">
        <f t="shared" si="36"/>
        <v>398.5142967182872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2.5813701135521372</v>
      </c>
      <c r="BF8" s="13">
        <f t="shared" si="37"/>
        <v>1.0652780295337991</v>
      </c>
      <c r="BG8" s="20">
        <f t="shared" si="7"/>
        <v>6.3512455158746723</v>
      </c>
      <c r="BH8" s="59">
        <f t="shared" si="8"/>
        <v>269.12902329365244</v>
      </c>
      <c r="BI8" s="59">
        <f ca="1">AVERAGE(OFFSET($BH$3,0,0,'Données projet'!$E$11+1,1))-AVERAGE(OFFSET($H$3,0,0,'Données projet'!$E$11+1,1))</f>
        <v>413.81510455446738</v>
      </c>
      <c r="BJ8" s="59">
        <f t="shared" si="38"/>
        <v>254.25036207346602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1.878791922320415</v>
      </c>
      <c r="CA8" s="13">
        <f t="shared" si="39"/>
        <v>0.8045467231351765</v>
      </c>
      <c r="CB8" s="20">
        <f t="shared" si="10"/>
        <v>4.6734814741684882</v>
      </c>
      <c r="CC8" s="59">
        <f t="shared" si="11"/>
        <v>267.45125925194628</v>
      </c>
      <c r="CD8" s="59">
        <f ca="1">AVERAGE(OFFSET($CC$3,0,0,'Données projet'!$E$12+1,1))-AVERAGE(OFFSET($H$3,0,0,'Données projet'!$E$12+1,1))</f>
        <v>292.61712942007972</v>
      </c>
      <c r="CE8" s="59">
        <f t="shared" si="40"/>
        <v>152.23954167722536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1.9095917898994379</v>
      </c>
      <c r="CV8" s="13">
        <f t="shared" si="41"/>
        <v>0.81618972839261894</v>
      </c>
      <c r="CW8" s="20">
        <f t="shared" si="13"/>
        <v>4.7474028110253315</v>
      </c>
      <c r="CX8" s="59">
        <f t="shared" si="14"/>
        <v>267.5251805888031</v>
      </c>
      <c r="CY8" s="59">
        <f ca="1">AVERAGE(OFFSET($CX$3,0,0,'Données projet'!$E$13+1,1))-AVERAGE(OFFSET($H$3,0,0,'Données projet'!$E$13+1,1))</f>
        <v>296.78766823247003</v>
      </c>
      <c r="CZ8" s="59">
        <f t="shared" si="42"/>
        <v>154.08406475869634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</v>
      </c>
      <c r="N9" s="13">
        <f>IF('Données projet'!$A$36&gt;35,N8+M9-V8,IF(A9&lt;'Données projet'!$A$36,$K$205^A9,IF(A9='Données projet'!$A$36,'Données projet'!$B$36,N8+M9-V8)))</f>
        <v>4.4039097538147285</v>
      </c>
      <c r="O9" s="13">
        <f>N9*VLOOKUP('Données projet'!$B$9,Paramètres!$A$1:$I$89,3,0)*VLOOKUP('Données projet'!$B$9,Paramètres!$A$1:$I$89,5,0)</f>
        <v>2.0610297647852929</v>
      </c>
      <c r="P9" s="13">
        <f t="shared" si="33"/>
        <v>0.87312599896069631</v>
      </c>
      <c r="Q9" s="20">
        <f t="shared" si="2"/>
        <v>5.1103212885242639</v>
      </c>
      <c r="R9" s="59">
        <f t="shared" si="0"/>
        <v>269.11032128852429</v>
      </c>
      <c r="S9" s="59">
        <f ca="1">AVERAGE(OFFSET($R$3,0,0,'Données projet'!$E$9+1,1))-AVERAGE(OFFSET($H$3,0,0,'Données projet'!$E$9+1,1))</f>
        <v>229.61973863654862</v>
      </c>
      <c r="T9" s="59">
        <f t="shared" si="34"/>
        <v>254.08208375594052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6.1333333333333337</v>
      </c>
      <c r="AI9" s="13">
        <f>IF('Données projet'!$A$62&gt;35,AI8+AH9-AQ8,IF(A9&lt;'Données projet'!$A$62,$AF$205^A9,IF(A9='Données projet'!$A$62,'Données projet'!$B$62,AI8+AH9-AQ8)))</f>
        <v>6.1026031791023758</v>
      </c>
      <c r="AJ9" s="13">
        <f>AI9*VLOOKUP('Données projet'!$B$10,Paramètres!$A$1:$I$89,3,0)*VLOOKUP('Données projet'!$B$10,Paramètres!$A$1:$I$89,5,0)</f>
        <v>3.6493567011032209</v>
      </c>
      <c r="AK9" s="13">
        <f t="shared" si="35"/>
        <v>1.4465265217053813</v>
      </c>
      <c r="AL9" s="20">
        <f t="shared" si="4"/>
        <v>8.8753299463916484</v>
      </c>
      <c r="AM9" s="59">
        <f t="shared" si="5"/>
        <v>272.87532994639167</v>
      </c>
      <c r="AN9" s="59">
        <f ca="1">AVERAGE(OFFSET($AM$3,0,0,'Données projet'!$E$10+1,1))-AVERAGE(OFFSET($H$3,0,0,'Données projet'!$E$10+1,1))</f>
        <v>348.76139845974495</v>
      </c>
      <c r="AO9" s="59">
        <f t="shared" si="36"/>
        <v>398.5142967182872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3.111807635605039</v>
      </c>
      <c r="BF9" s="13">
        <f t="shared" si="37"/>
        <v>1.2565452240335246</v>
      </c>
      <c r="BG9" s="20">
        <f t="shared" si="7"/>
        <v>7.6082145638704972</v>
      </c>
      <c r="BH9" s="59">
        <f t="shared" si="8"/>
        <v>271.60821456387049</v>
      </c>
      <c r="BI9" s="59">
        <f ca="1">AVERAGE(OFFSET($BH$3,0,0,'Données projet'!$E$11+1,1))-AVERAGE(OFFSET($H$3,0,0,'Données projet'!$E$11+1,1))</f>
        <v>413.81510455446738</v>
      </c>
      <c r="BJ9" s="59">
        <f t="shared" si="38"/>
        <v>254.25036207346602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2.1526009841636116</v>
      </c>
      <c r="CA9" s="13">
        <f t="shared" si="39"/>
        <v>0.90731615558427703</v>
      </c>
      <c r="CB9" s="20">
        <f t="shared" si="10"/>
        <v>5.3293556850609054</v>
      </c>
      <c r="CC9" s="59">
        <f t="shared" si="11"/>
        <v>269.32935568506093</v>
      </c>
      <c r="CD9" s="59">
        <f ca="1">AVERAGE(OFFSET($CC$3,0,0,'Données projet'!$E$12+1,1))-AVERAGE(OFFSET($H$3,0,0,'Données projet'!$E$12+1,1))</f>
        <v>292.61712942007972</v>
      </c>
      <c r="CE9" s="59">
        <f t="shared" si="40"/>
        <v>152.23954167722536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2.1878895248876051</v>
      </c>
      <c r="CV9" s="13">
        <f t="shared" si="41"/>
        <v>0.92044638962272363</v>
      </c>
      <c r="CW9" s="20">
        <f t="shared" si="13"/>
        <v>5.4136850511054888</v>
      </c>
      <c r="CX9" s="59">
        <f t="shared" si="14"/>
        <v>269.41368505110552</v>
      </c>
      <c r="CY9" s="59">
        <f ca="1">AVERAGE(OFFSET($CX$3,0,0,'Données projet'!$E$13+1,1))-AVERAGE(OFFSET($H$3,0,0,'Données projet'!$E$13+1,1))</f>
        <v>296.78766823247003</v>
      </c>
      <c r="CZ9" s="59">
        <f t="shared" si="42"/>
        <v>154.08406475869634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</v>
      </c>
      <c r="N10" s="13">
        <f>IF('Données projet'!$A$36&gt;35,N9+M10-V9,IF(A10&lt;'Données projet'!$A$36,$K$205^A10,IF(A10='Données projet'!$A$36,'Données projet'!$B$36,N9+M10-V9)))</f>
        <v>5.6382562823625264</v>
      </c>
      <c r="O10" s="13">
        <f>N10*VLOOKUP('Données projet'!$B$9,Paramètres!$A$1:$I$89,3,0)*VLOOKUP('Données projet'!$B$9,Paramètres!$A$1:$I$89,5,0)</f>
        <v>2.6387039401456627</v>
      </c>
      <c r="P10" s="13">
        <f t="shared" si="33"/>
        <v>1.0861576289918606</v>
      </c>
      <c r="Q10" s="20">
        <f t="shared" si="2"/>
        <v>6.4874672329145193</v>
      </c>
      <c r="R10" s="59">
        <f t="shared" si="0"/>
        <v>271.70968945513675</v>
      </c>
      <c r="S10" s="59">
        <f ca="1">AVERAGE(OFFSET($R$3,0,0,'Données projet'!$E$9+1,1))-AVERAGE(OFFSET($H$3,0,0,'Données projet'!$E$9+1,1))</f>
        <v>229.61973863654862</v>
      </c>
      <c r="T10" s="59">
        <f t="shared" si="34"/>
        <v>254.08208375594052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6.1333333333333337</v>
      </c>
      <c r="AI10" s="13">
        <f>IF('Données projet'!$A$62&gt;35,AI9+AH10-AQ9,IF(A10&lt;'Données projet'!$A$62,$AF$205^A10,IF(A10='Données projet'!$A$62,'Données projet'!$B$62,AI9+AH10-AQ9)))</f>
        <v>8.2496271272060024</v>
      </c>
      <c r="AJ10" s="13">
        <f>AI10*VLOOKUP('Données projet'!$B$10,Paramètres!$A$1:$I$89,3,0)*VLOOKUP('Données projet'!$B$10,Paramètres!$A$1:$I$89,5,0)</f>
        <v>4.9332770220691904</v>
      </c>
      <c r="AK10" s="13">
        <f t="shared" si="35"/>
        <v>1.8880200224904784</v>
      </c>
      <c r="AL10" s="20">
        <f t="shared" si="4"/>
        <v>11.880425685941423</v>
      </c>
      <c r="AM10" s="59">
        <f t="shared" si="5"/>
        <v>277.10264790816365</v>
      </c>
      <c r="AN10" s="59">
        <f ca="1">AVERAGE(OFFSET($AM$3,0,0,'Données projet'!$E$10+1,1))-AVERAGE(OFFSET($H$3,0,0,'Données projet'!$E$10+1,1))</f>
        <v>348.76139845974495</v>
      </c>
      <c r="AO10" s="59">
        <f t="shared" si="36"/>
        <v>398.5142967182872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3.7512430744326299</v>
      </c>
      <c r="BF10" s="13">
        <f t="shared" si="37"/>
        <v>1.4821538192545303</v>
      </c>
      <c r="BG10" s="20">
        <f t="shared" si="7"/>
        <v>9.1148329231718037</v>
      </c>
      <c r="BH10" s="59">
        <f t="shared" si="8"/>
        <v>274.33705514539406</v>
      </c>
      <c r="BI10" s="59">
        <f ca="1">AVERAGE(OFFSET($BH$3,0,0,'Données projet'!$E$11+1,1))-AVERAGE(OFFSET($H$3,0,0,'Données projet'!$E$11+1,1))</f>
        <v>413.81510455446738</v>
      </c>
      <c r="BJ10" s="59">
        <f t="shared" si="38"/>
        <v>254.25036207346602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2.4663140936327195</v>
      </c>
      <c r="CA10" s="13">
        <f t="shared" si="39"/>
        <v>1.0232129253802424</v>
      </c>
      <c r="CB10" s="20">
        <f t="shared" si="10"/>
        <v>6.0775928914475736</v>
      </c>
      <c r="CC10" s="59">
        <f t="shared" si="11"/>
        <v>271.29981511366981</v>
      </c>
      <c r="CD10" s="59">
        <f ca="1">AVERAGE(OFFSET($CC$3,0,0,'Données projet'!$E$12+1,1))-AVERAGE(OFFSET($H$3,0,0,'Données projet'!$E$12+1,1))</f>
        <v>292.61712942007972</v>
      </c>
      <c r="CE10" s="59">
        <f t="shared" si="40"/>
        <v>152.23954167722536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2.5067454722168625</v>
      </c>
      <c r="CV10" s="13">
        <f t="shared" si="41"/>
        <v>1.038020360582093</v>
      </c>
      <c r="CW10" s="20">
        <f t="shared" si="13"/>
        <v>6.1738004921248475</v>
      </c>
      <c r="CX10" s="59">
        <f t="shared" si="14"/>
        <v>271.39602271434705</v>
      </c>
      <c r="CY10" s="59">
        <f ca="1">AVERAGE(OFFSET($CX$3,0,0,'Données projet'!$E$13+1,1))-AVERAGE(OFFSET($H$3,0,0,'Données projet'!$E$13+1,1))</f>
        <v>296.78766823247003</v>
      </c>
      <c r="CZ10" s="59">
        <f t="shared" si="42"/>
        <v>154.08406475869634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</v>
      </c>
      <c r="N11" s="13">
        <f>IF('Données projet'!$A$36&gt;35,N10+M11-V10,IF(A11&lt;'Données projet'!$A$36,$K$205^A11,IF(A11='Données projet'!$A$36,'Données projet'!$B$36,N10+M11-V10)))</f>
        <v>7.2185706980175075</v>
      </c>
      <c r="O11" s="13">
        <f>N11*VLOOKUP('Données projet'!$B$9,Paramètres!$A$1:$I$89,3,0)*VLOOKUP('Données projet'!$B$9,Paramètres!$A$1:$I$89,5,0)</f>
        <v>3.3782910866721938</v>
      </c>
      <c r="P11" s="13">
        <f t="shared" si="33"/>
        <v>1.3511662651455716</v>
      </c>
      <c r="Q11" s="20">
        <f t="shared" si="2"/>
        <v>8.2371382210826081</v>
      </c>
      <c r="R11" s="59">
        <f t="shared" si="0"/>
        <v>274.68158266552706</v>
      </c>
      <c r="S11" s="59">
        <f ca="1">AVERAGE(OFFSET($R$3,0,0,'Données projet'!$E$9+1,1))-AVERAGE(OFFSET($H$3,0,0,'Données projet'!$E$9+1,1))</f>
        <v>229.61973863654862</v>
      </c>
      <c r="T11" s="59">
        <f t="shared" si="34"/>
        <v>254.08208375594052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6.1333333333333337</v>
      </c>
      <c r="AI11" s="13">
        <f>IF('Données projet'!$A$62&gt;35,AI10+AH11-AQ10,IF(A11&lt;'Données projet'!$A$62,$AF$205^A11,IF(A11='Données projet'!$A$62,'Données projet'!$B$62,AI10+AH11-AQ10)))</f>
        <v>11.152019186006367</v>
      </c>
      <c r="AJ11" s="13">
        <f>AI11*VLOOKUP('Données projet'!$B$10,Paramètres!$A$1:$I$89,3,0)*VLOOKUP('Données projet'!$B$10,Paramètres!$A$1:$I$89,5,0)</f>
        <v>6.6689074732318074</v>
      </c>
      <c r="AK11" s="13">
        <f t="shared" si="35"/>
        <v>2.4642614925044302</v>
      </c>
      <c r="AL11" s="20">
        <f t="shared" si="4"/>
        <v>15.906935948657278</v>
      </c>
      <c r="AM11" s="59">
        <f t="shared" si="5"/>
        <v>282.35138039310175</v>
      </c>
      <c r="AN11" s="59">
        <f ca="1">AVERAGE(OFFSET($AM$3,0,0,'Données projet'!$E$10+1,1))-AVERAGE(OFFSET($H$3,0,0,'Données projet'!$E$10+1,1))</f>
        <v>348.76139845974495</v>
      </c>
      <c r="AO11" s="59">
        <f t="shared" si="36"/>
        <v>398.5142967182872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4.5220740647558486</v>
      </c>
      <c r="BF11" s="13">
        <f t="shared" si="37"/>
        <v>1.7482697016499746</v>
      </c>
      <c r="BG11" s="20">
        <f t="shared" si="7"/>
        <v>10.92084872649014</v>
      </c>
      <c r="BH11" s="59">
        <f t="shared" si="8"/>
        <v>277.36529317093459</v>
      </c>
      <c r="BI11" s="59">
        <f ca="1">AVERAGE(OFFSET($BH$3,0,0,'Données projet'!$E$11+1,1))-AVERAGE(OFFSET($H$3,0,0,'Données projet'!$E$11+1,1))</f>
        <v>413.81510455446738</v>
      </c>
      <c r="BJ11" s="59">
        <f t="shared" si="38"/>
        <v>254.25036207346602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2.8257467376448333</v>
      </c>
      <c r="CA11" s="13">
        <f t="shared" si="39"/>
        <v>1.1539138636752129</v>
      </c>
      <c r="CB11" s="20">
        <f t="shared" si="10"/>
        <v>6.9312422139657466</v>
      </c>
      <c r="CC11" s="59">
        <f t="shared" si="11"/>
        <v>273.37568665841019</v>
      </c>
      <c r="CD11" s="59">
        <f ca="1">AVERAGE(OFFSET($CC$3,0,0,'Données projet'!$E$12+1,1))-AVERAGE(OFFSET($H$3,0,0,'Données projet'!$E$12+1,1))</f>
        <v>292.61712942007972</v>
      </c>
      <c r="CE11" s="59">
        <f t="shared" si="40"/>
        <v>152.23954167722536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2.8720704546554043</v>
      </c>
      <c r="CV11" s="13">
        <f t="shared" si="41"/>
        <v>1.1706127387002112</v>
      </c>
      <c r="CW11" s="20">
        <f t="shared" si="13"/>
        <v>7.04100656176103</v>
      </c>
      <c r="CX11" s="59">
        <f t="shared" si="14"/>
        <v>273.48545100620549</v>
      </c>
      <c r="CY11" s="59">
        <f ca="1">AVERAGE(OFFSET($CX$3,0,0,'Données projet'!$E$13+1,1))-AVERAGE(OFFSET($H$3,0,0,'Données projet'!$E$13+1,1))</f>
        <v>296.78766823247003</v>
      </c>
      <c r="CZ11" s="59">
        <f t="shared" si="42"/>
        <v>154.08406475869634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</v>
      </c>
      <c r="N12" s="13">
        <f>IF('Données projet'!$A$36&gt;35,N11+M12-V11,IF(A12&lt;'Données projet'!$A$36,$K$205^A12,IF(A12='Données projet'!$A$36,'Données projet'!$B$36,N11+M12-V11)))</f>
        <v>9.2418223494521463</v>
      </c>
      <c r="O12" s="13">
        <f>N12*VLOOKUP('Données projet'!$B$9,Paramètres!$A$1:$I$89,3,0)*VLOOKUP('Données projet'!$B$9,Paramètres!$A$1:$I$89,5,0)</f>
        <v>4.3251728595436045</v>
      </c>
      <c r="P12" s="13">
        <f t="shared" si="33"/>
        <v>1.6808336353186117</v>
      </c>
      <c r="Q12" s="20">
        <f t="shared" si="2"/>
        <v>10.460461311885025</v>
      </c>
      <c r="R12" s="59">
        <f t="shared" si="0"/>
        <v>278.1271279785517</v>
      </c>
      <c r="S12" s="59">
        <f ca="1">AVERAGE(OFFSET($R$3,0,0,'Données projet'!$E$9+1,1))-AVERAGE(OFFSET($H$3,0,0,'Données projet'!$E$9+1,1))</f>
        <v>229.61973863654862</v>
      </c>
      <c r="T12" s="59">
        <f t="shared" si="34"/>
        <v>254.08208375594052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6.1333333333333337</v>
      </c>
      <c r="AI12" s="13">
        <f>IF('Données projet'!$A$62&gt;35,AI11+AH12-AQ11,IF(A12&lt;'Données projet'!$A$62,$AF$205^A12,IF(A12='Données projet'!$A$62,'Données projet'!$B$62,AI11+AH12-AQ11)))</f>
        <v>15.075533718961566</v>
      </c>
      <c r="AJ12" s="13">
        <f>AI12*VLOOKUP('Données projet'!$B$10,Paramètres!$A$1:$I$89,3,0)*VLOOKUP('Données projet'!$B$10,Paramètres!$A$1:$I$89,5,0)</f>
        <v>9.0151691639390172</v>
      </c>
      <c r="AK12" s="13">
        <f t="shared" si="35"/>
        <v>3.2163772794262231</v>
      </c>
      <c r="AL12" s="20">
        <f t="shared" si="4"/>
        <v>21.303276722194457</v>
      </c>
      <c r="AM12" s="59">
        <f t="shared" si="5"/>
        <v>288.96994338886117</v>
      </c>
      <c r="AN12" s="59">
        <f ca="1">AVERAGE(OFFSET($AM$3,0,0,'Données projet'!$E$10+1,1))-AVERAGE(OFFSET($H$3,0,0,'Données projet'!$E$10+1,1))</f>
        <v>348.76139845974495</v>
      </c>
      <c r="AO12" s="59">
        <f t="shared" si="36"/>
        <v>398.5142967182872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5.4513006599100189</v>
      </c>
      <c r="BF12" s="13">
        <f t="shared" si="37"/>
        <v>2.062165822468125</v>
      </c>
      <c r="BG12" s="20">
        <f t="shared" si="7"/>
        <v>13.085954123475267</v>
      </c>
      <c r="BH12" s="59">
        <f t="shared" si="8"/>
        <v>280.75262079014198</v>
      </c>
      <c r="BI12" s="59">
        <f ca="1">AVERAGE(OFFSET($BH$3,0,0,'Données projet'!$E$11+1,1))-AVERAGE(OFFSET($H$3,0,0,'Données projet'!$E$11+1,1))</f>
        <v>413.81510455446738</v>
      </c>
      <c r="BJ12" s="59">
        <f t="shared" si="38"/>
        <v>254.25036207346602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3.2375619333826471</v>
      </c>
      <c r="CA12" s="13">
        <f t="shared" si="39"/>
        <v>1.3013099930173813</v>
      </c>
      <c r="CB12" s="20">
        <f t="shared" si="10"/>
        <v>7.9052019384800483</v>
      </c>
      <c r="CC12" s="59">
        <f t="shared" si="11"/>
        <v>275.57186860514673</v>
      </c>
      <c r="CD12" s="59">
        <f ca="1">AVERAGE(OFFSET($CC$3,0,0,'Données projet'!$E$12+1,1))-AVERAGE(OFFSET($H$3,0,0,'Données projet'!$E$12+1,1))</f>
        <v>292.61712942007972</v>
      </c>
      <c r="CE12" s="59">
        <f t="shared" si="40"/>
        <v>152.23954167722536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3.2906367191758048</v>
      </c>
      <c r="CV12" s="13">
        <f t="shared" si="41"/>
        <v>1.3201419124753617</v>
      </c>
      <c r="CW12" s="20">
        <f t="shared" si="13"/>
        <v>8.0304394501257814</v>
      </c>
      <c r="CX12" s="59">
        <f t="shared" si="14"/>
        <v>275.69710611679244</v>
      </c>
      <c r="CY12" s="59">
        <f ca="1">AVERAGE(OFFSET($CX$3,0,0,'Données projet'!$E$13+1,1))-AVERAGE(OFFSET($H$3,0,0,'Données projet'!$E$13+1,1))</f>
        <v>296.78766823247003</v>
      </c>
      <c r="CZ12" s="59">
        <f t="shared" si="42"/>
        <v>154.08406475869634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</v>
      </c>
      <c r="N13" s="13">
        <f>IF('Données projet'!$A$36&gt;35,N12+M13-V12,IF(A13&lt;'Données projet'!$A$36,$K$205^A13,IF(A13='Données projet'!$A$36,'Données projet'!$B$36,N12+M13-V12)))</f>
        <v>11.832159566199214</v>
      </c>
      <c r="O13" s="13">
        <f>N13*VLOOKUP('Données projet'!$B$9,Paramètres!$A$1:$I$89,3,0)*VLOOKUP('Données projet'!$B$9,Paramètres!$A$1:$I$89,5,0)</f>
        <v>5.5374506769812326</v>
      </c>
      <c r="P13" s="13">
        <f t="shared" si="33"/>
        <v>2.090935647593303</v>
      </c>
      <c r="Q13" s="20">
        <f t="shared" si="2"/>
        <v>13.286106181967314</v>
      </c>
      <c r="R13" s="59">
        <f t="shared" si="0"/>
        <v>282.1749950708562</v>
      </c>
      <c r="S13" s="59">
        <f ca="1">AVERAGE(OFFSET($R$3,0,0,'Données projet'!$E$9+1,1))-AVERAGE(OFFSET($H$3,0,0,'Données projet'!$E$9+1,1))</f>
        <v>229.61973863654862</v>
      </c>
      <c r="T13" s="59">
        <f t="shared" si="34"/>
        <v>254.08208375594052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6.1333333333333337</v>
      </c>
      <c r="AI13" s="13">
        <f>IF('Données projet'!$A$62&gt;35,AI12+AH13-AQ12,IF(A13&lt;'Données projet'!$A$62,$AF$205^A13,IF(A13='Données projet'!$A$62,'Données projet'!$B$62,AI12+AH13-AQ12)))</f>
        <v>20.379423055219391</v>
      </c>
      <c r="AJ13" s="13">
        <f>AI13*VLOOKUP('Données projet'!$B$10,Paramètres!$A$1:$I$89,3,0)*VLOOKUP('Données projet'!$B$10,Paramètres!$A$1:$I$89,5,0)</f>
        <v>12.186894987021198</v>
      </c>
      <c r="AK13" s="13">
        <f t="shared" si="35"/>
        <v>4.1980458790903414</v>
      </c>
      <c r="AL13" s="20">
        <f t="shared" si="4"/>
        <v>28.537105341810928</v>
      </c>
      <c r="AM13" s="59">
        <f t="shared" si="5"/>
        <v>297.42599423069976</v>
      </c>
      <c r="AN13" s="59">
        <f ca="1">AVERAGE(OFFSET($AM$3,0,0,'Données projet'!$E$10+1,1))-AVERAGE(OFFSET($H$3,0,0,'Données projet'!$E$10+1,1))</f>
        <v>348.76139845974495</v>
      </c>
      <c r="AO13" s="59">
        <f t="shared" si="36"/>
        <v>398.5142967182872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6.5714710681855761</v>
      </c>
      <c r="BF13" s="13">
        <f t="shared" si="37"/>
        <v>2.4324209676242781</v>
      </c>
      <c r="BG13" s="20">
        <f t="shared" si="7"/>
        <v>15.681778629035497</v>
      </c>
      <c r="BH13" s="59">
        <f t="shared" si="8"/>
        <v>284.57066751792433</v>
      </c>
      <c r="BI13" s="59">
        <f ca="1">AVERAGE(OFFSET($BH$3,0,0,'Données projet'!$E$11+1,1))-AVERAGE(OFFSET($H$3,0,0,'Données projet'!$E$11+1,1))</f>
        <v>413.81510455446738</v>
      </c>
      <c r="BJ13" s="59">
        <f t="shared" si="38"/>
        <v>254.25036207346602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3.7093937446158476</v>
      </c>
      <c r="CA13" s="13">
        <f t="shared" si="39"/>
        <v>1.4675338872638184</v>
      </c>
      <c r="CB13" s="20">
        <f t="shared" si="10"/>
        <v>9.0164822921904193</v>
      </c>
      <c r="CC13" s="59">
        <f t="shared" si="11"/>
        <v>277.90537118107926</v>
      </c>
      <c r="CD13" s="59">
        <f ca="1">AVERAGE(OFFSET($CC$3,0,0,'Données projet'!$E$12+1,1))-AVERAGE(OFFSET($H$3,0,0,'Données projet'!$E$12+1,1))</f>
        <v>292.61712942007972</v>
      </c>
      <c r="CE13" s="59">
        <f t="shared" si="40"/>
        <v>152.23954167722536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3.7702034781341398</v>
      </c>
      <c r="CV13" s="13">
        <f t="shared" si="41"/>
        <v>1.4887713173266797</v>
      </c>
      <c r="CW13" s="20">
        <f t="shared" si="13"/>
        <v>9.1593811020942599</v>
      </c>
      <c r="CX13" s="59">
        <f t="shared" si="14"/>
        <v>278.0482699909831</v>
      </c>
      <c r="CY13" s="59">
        <f ca="1">AVERAGE(OFFSET($CX$3,0,0,'Données projet'!$E$13+1,1))-AVERAGE(OFFSET($H$3,0,0,'Données projet'!$E$13+1,1))</f>
        <v>296.78766823247003</v>
      </c>
      <c r="CZ13" s="59">
        <f t="shared" si="42"/>
        <v>154.08406475869634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</v>
      </c>
      <c r="N14" s="13">
        <f>IF('Données projet'!$A$36&gt;35,N13+M14-V13,IF(A14&lt;'Données projet'!$A$36,$K$205^A14,IF(A14='Données projet'!$A$36,'Données projet'!$B$36,N13+M14-V13)))</f>
        <v>15.148527498832387</v>
      </c>
      <c r="O14" s="13">
        <f>N14*VLOOKUP('Données projet'!$B$9,Paramètres!$A$1:$I$89,3,0)*VLOOKUP('Données projet'!$B$9,Paramètres!$A$1:$I$89,5,0)</f>
        <v>7.0895108694535569</v>
      </c>
      <c r="P14" s="13">
        <f t="shared" si="33"/>
        <v>2.6010973308180407</v>
      </c>
      <c r="Q14" s="20">
        <f t="shared" si="2"/>
        <v>16.877809282139697</v>
      </c>
      <c r="R14" s="59">
        <f t="shared" si="0"/>
        <v>286.98892039325085</v>
      </c>
      <c r="S14" s="59">
        <f ca="1">AVERAGE(OFFSET($R$3,0,0,'Données projet'!$E$9+1,1))-AVERAGE(OFFSET($H$3,0,0,'Données projet'!$E$9+1,1))</f>
        <v>229.61973863654862</v>
      </c>
      <c r="T14" s="59">
        <f t="shared" si="34"/>
        <v>254.08208375594052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6.1333333333333337</v>
      </c>
      <c r="AI14" s="13">
        <f>IF('Données projet'!$A$62&gt;35,AI13+AH14-AQ13,IF(A14&lt;'Données projet'!$A$62,$AF$205^A14,IF(A14='Données projet'!$A$62,'Données projet'!$B$62,AI13+AH14-AQ13)))</f>
        <v>27.549332037328085</v>
      </c>
      <c r="AJ14" s="13">
        <f>AI14*VLOOKUP('Données projet'!$B$10,Paramètres!$A$1:$I$89,3,0)*VLOOKUP('Données projet'!$B$10,Paramètres!$A$1:$I$89,5,0)</f>
        <v>16.474500558322195</v>
      </c>
      <c r="AK14" s="13">
        <f t="shared" si="35"/>
        <v>5.4793289691722045</v>
      </c>
      <c r="AL14" s="20">
        <f t="shared" si="4"/>
        <v>38.236253093719412</v>
      </c>
      <c r="AM14" s="59">
        <f t="shared" si="5"/>
        <v>308.34736420483057</v>
      </c>
      <c r="AN14" s="59">
        <f ca="1">AVERAGE(OFFSET($AM$3,0,0,'Données projet'!$E$10+1,1))-AVERAGE(OFFSET($H$3,0,0,'Données projet'!$E$10+1,1))</f>
        <v>348.76139845974495</v>
      </c>
      <c r="AO14" s="59">
        <f t="shared" si="36"/>
        <v>398.5142967182872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7.921821725516951</v>
      </c>
      <c r="BF14" s="13">
        <f t="shared" si="37"/>
        <v>2.869154216054651</v>
      </c>
      <c r="BG14" s="20">
        <f t="shared" si="7"/>
        <v>18.794283098237205</v>
      </c>
      <c r="BH14" s="59">
        <f t="shared" si="8"/>
        <v>288.90539420934834</v>
      </c>
      <c r="BI14" s="59">
        <f ca="1">AVERAGE(OFFSET($BH$3,0,0,'Données projet'!$E$11+1,1))-AVERAGE(OFFSET($H$3,0,0,'Données projet'!$E$11+1,1))</f>
        <v>413.81510455446738</v>
      </c>
      <c r="BJ14" s="59">
        <f t="shared" si="38"/>
        <v>254.25036207346602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4.2499887988919385</v>
      </c>
      <c r="CA14" s="13">
        <f t="shared" si="39"/>
        <v>1.6549905263340952</v>
      </c>
      <c r="CB14" s="20">
        <f t="shared" si="10"/>
        <v>10.284505658102008</v>
      </c>
      <c r="CC14" s="59">
        <f t="shared" si="11"/>
        <v>280.39561676921318</v>
      </c>
      <c r="CD14" s="59">
        <f ca="1">AVERAGE(OFFSET($CC$3,0,0,'Données projet'!$E$12+1,1))-AVERAGE(OFFSET($H$3,0,0,'Données projet'!$E$12+1,1))</f>
        <v>292.61712942007972</v>
      </c>
      <c r="CE14" s="59">
        <f t="shared" si="40"/>
        <v>152.23954167722536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4.3196607464147583</v>
      </c>
      <c r="CV14" s="13">
        <f t="shared" si="41"/>
        <v>1.6789407368626241</v>
      </c>
      <c r="CW14" s="20">
        <f t="shared" si="13"/>
        <v>10.44756425004144</v>
      </c>
      <c r="CX14" s="59">
        <f t="shared" si="14"/>
        <v>280.55867536115261</v>
      </c>
      <c r="CY14" s="59">
        <f ca="1">AVERAGE(OFFSET($CX$3,0,0,'Données projet'!$E$13+1,1))-AVERAGE(OFFSET($H$3,0,0,'Données projet'!$E$13+1,1))</f>
        <v>296.78766823247003</v>
      </c>
      <c r="CZ14" s="59">
        <f t="shared" si="42"/>
        <v>154.08406475869634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</v>
      </c>
      <c r="N15" s="13">
        <f>IF('Données projet'!$A$36&gt;35,N14+M15-V14,IF(A15&lt;'Données projet'!$A$36,$K$205^A15,IF(A15='Données projet'!$A$36,'Données projet'!$B$36,N14+M15-V14)))</f>
        <v>19.394421119744504</v>
      </c>
      <c r="O15" s="13">
        <f>N15*VLOOKUP('Données projet'!$B$9,Paramètres!$A$1:$I$89,3,0)*VLOOKUP('Données projet'!$B$9,Paramètres!$A$1:$I$89,5,0)</f>
        <v>9.0765890840404282</v>
      </c>
      <c r="P15" s="13">
        <f t="shared" si="33"/>
        <v>3.2357319710801056</v>
      </c>
      <c r="Q15" s="20">
        <f t="shared" si="2"/>
        <v>21.443959171001595</v>
      </c>
      <c r="R15" s="59">
        <f t="shared" si="0"/>
        <v>292.77729250433492</v>
      </c>
      <c r="S15" s="59">
        <f ca="1">AVERAGE(OFFSET($R$3,0,0,'Données projet'!$E$9+1,1))-AVERAGE(OFFSET($H$3,0,0,'Données projet'!$E$9+1,1))</f>
        <v>229.61973863654862</v>
      </c>
      <c r="T15" s="59">
        <f t="shared" si="34"/>
        <v>254.08208375594052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6.1333333333333337</v>
      </c>
      <c r="AI15" s="13">
        <f>IF('Données projet'!$A$62&gt;35,AI14+AH15-AQ14,IF(A15&lt;'Données projet'!$A$62,$AF$205^A15,IF(A15='Données projet'!$A$62,'Données projet'!$B$62,AI14+AH15-AQ14)))</f>
        <v>37.241765561590427</v>
      </c>
      <c r="AJ15" s="13">
        <f>AI15*VLOOKUP('Données projet'!$B$10,Paramètres!$A$1:$I$89,3,0)*VLOOKUP('Données projet'!$B$10,Paramètres!$A$1:$I$89,5,0)</f>
        <v>22.270575805831076</v>
      </c>
      <c r="AK15" s="13">
        <f t="shared" si="35"/>
        <v>7.1516717103900067</v>
      </c>
      <c r="AL15" s="20">
        <f t="shared" si="4"/>
        <v>51.243747757418383</v>
      </c>
      <c r="AM15" s="59">
        <f t="shared" si="5"/>
        <v>322.57708109075168</v>
      </c>
      <c r="AN15" s="59">
        <f ca="1">AVERAGE(OFFSET($AM$3,0,0,'Données projet'!$E$10+1,1))-AVERAGE(OFFSET($H$3,0,0,'Données projet'!$E$10+1,1))</f>
        <v>348.76139845974495</v>
      </c>
      <c r="AO15" s="59">
        <f t="shared" si="36"/>
        <v>398.5142967182872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9.5496516380767513</v>
      </c>
      <c r="BF15" s="13">
        <f t="shared" si="37"/>
        <v>3.3843014943027487</v>
      </c>
      <c r="BG15" s="20">
        <f t="shared" si="7"/>
        <v>22.526635038894295</v>
      </c>
      <c r="BH15" s="59">
        <f t="shared" si="8"/>
        <v>293.85996837222763</v>
      </c>
      <c r="BI15" s="59">
        <f ca="1">AVERAGE(OFFSET($BH$3,0,0,'Données projet'!$E$11+1,1))-AVERAGE(OFFSET($H$3,0,0,'Données projet'!$E$11+1,1))</f>
        <v>413.81510455446738</v>
      </c>
      <c r="BJ15" s="59">
        <f t="shared" si="38"/>
        <v>254.25036207346602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4.8693684289850241</v>
      </c>
      <c r="CA15" s="13">
        <f t="shared" si="39"/>
        <v>1.8663920922210482</v>
      </c>
      <c r="CB15" s="20">
        <f t="shared" si="10"/>
        <v>11.73144957443391</v>
      </c>
      <c r="CC15" s="59">
        <f t="shared" si="11"/>
        <v>283.06478290776721</v>
      </c>
      <c r="CD15" s="59">
        <f ca="1">AVERAGE(OFFSET($CC$3,0,0,'Données projet'!$E$12+1,1))-AVERAGE(OFFSET($H$3,0,0,'Données projet'!$E$12+1,1))</f>
        <v>292.61712942007972</v>
      </c>
      <c r="CE15" s="59">
        <f t="shared" si="40"/>
        <v>152.23954167722536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4.9491941409355986</v>
      </c>
      <c r="CV15" s="13">
        <f t="shared" si="41"/>
        <v>1.8934016024425293</v>
      </c>
      <c r="CW15" s="20">
        <f t="shared" si="13"/>
        <v>11.917520919716907</v>
      </c>
      <c r="CX15" s="59">
        <f t="shared" si="14"/>
        <v>283.25085425305019</v>
      </c>
      <c r="CY15" s="59">
        <f ca="1">AVERAGE(OFFSET($CX$3,0,0,'Données projet'!$E$13+1,1))-AVERAGE(OFFSET($H$3,0,0,'Données projet'!$E$13+1,1))</f>
        <v>296.78766823247003</v>
      </c>
      <c r="CZ15" s="59">
        <f t="shared" si="42"/>
        <v>154.08406475869634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</v>
      </c>
      <c r="N16" s="13">
        <f>IF('Données projet'!$A$36&gt;35,N15+M16-V15,IF(A16&lt;'Données projet'!$A$36,$K$205^A16,IF(A16='Données projet'!$A$36,'Données projet'!$B$36,N15+M16-V15)))</f>
        <v>24.830371836403501</v>
      </c>
      <c r="O16" s="13">
        <f>N16*VLOOKUP('Données projet'!$B$9,Paramètres!$A$1:$I$89,3,0)*VLOOKUP('Données projet'!$B$9,Paramètres!$A$1:$I$89,5,0)</f>
        <v>11.620614019436839</v>
      </c>
      <c r="P16" s="13">
        <f t="shared" si="33"/>
        <v>4.0252093855239011</v>
      </c>
      <c r="Q16" s="20">
        <f t="shared" si="2"/>
        <v>27.249809096973291</v>
      </c>
      <c r="R16" s="59">
        <f t="shared" si="0"/>
        <v>299.80536465252885</v>
      </c>
      <c r="S16" s="59">
        <f ca="1">AVERAGE(OFFSET($R$3,0,0,'Données projet'!$E$9+1,1))-AVERAGE(OFFSET($H$3,0,0,'Données projet'!$E$9+1,1))</f>
        <v>229.61973863654862</v>
      </c>
      <c r="T16" s="59">
        <f t="shared" si="34"/>
        <v>254.08208375594052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6.1333333333333337</v>
      </c>
      <c r="AI16" s="13">
        <f>IF('Données projet'!$A$62&gt;35,AI15+AH16-AQ15,IF(A16&lt;'Données projet'!$A$62,$AF$205^A16,IF(A16='Données projet'!$A$62,'Données projet'!$B$62,AI15+AH16-AQ15)))</f>
        <v>50.344200732896553</v>
      </c>
      <c r="AJ16" s="13">
        <f>AI16*VLOOKUP('Données projet'!$B$10,Paramètres!$A$1:$I$89,3,0)*VLOOKUP('Données projet'!$B$10,Paramètres!$A$1:$I$89,5,0)</f>
        <v>30.10583203827214</v>
      </c>
      <c r="AK16" s="13">
        <f t="shared" si="35"/>
        <v>9.3344291866673093</v>
      </c>
      <c r="AL16" s="20">
        <f t="shared" si="4"/>
        <v>68.691788300102857</v>
      </c>
      <c r="AM16" s="59">
        <f t="shared" si="5"/>
        <v>341.24734385565841</v>
      </c>
      <c r="AN16" s="59">
        <f ca="1">AVERAGE(OFFSET($AM$3,0,0,'Données projet'!$E$10+1,1))-AVERAGE(OFFSET($H$3,0,0,'Données projet'!$E$10+1,1))</f>
        <v>348.76139845974495</v>
      </c>
      <c r="AO16" s="59">
        <f t="shared" si="36"/>
        <v>398.5142967182872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11.511979134151852</v>
      </c>
      <c r="BF16" s="13">
        <f t="shared" si="37"/>
        <v>3.9919417855793822</v>
      </c>
      <c r="BG16" s="20">
        <f t="shared" si="7"/>
        <v>27.002662268531896</v>
      </c>
      <c r="BH16" s="59">
        <f t="shared" si="8"/>
        <v>299.55821782408742</v>
      </c>
      <c r="BI16" s="59">
        <f ca="1">AVERAGE(OFFSET($BH$3,0,0,'Données projet'!$E$11+1,1))-AVERAGE(OFFSET($H$3,0,0,'Données projet'!$E$11+1,1))</f>
        <v>413.81510455446738</v>
      </c>
      <c r="BJ16" s="59">
        <f t="shared" si="38"/>
        <v>254.25036207346602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5.5790144443152343</v>
      </c>
      <c r="CA16" s="13">
        <f t="shared" si="39"/>
        <v>2.1047972096983822</v>
      </c>
      <c r="CB16" s="20">
        <f t="shared" si="10"/>
        <v>13.382638630740383</v>
      </c>
      <c r="CC16" s="59">
        <f t="shared" si="11"/>
        <v>285.9381941862959</v>
      </c>
      <c r="CD16" s="59">
        <f ca="1">AVERAGE(OFFSET($CC$3,0,0,'Données projet'!$E$12+1,1))-AVERAGE(OFFSET($H$3,0,0,'Données projet'!$E$12+1,1))</f>
        <v>292.61712942007972</v>
      </c>
      <c r="CE16" s="59">
        <f t="shared" si="40"/>
        <v>152.23954167722536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5.6704736975007304</v>
      </c>
      <c r="CV16" s="13">
        <f t="shared" si="41"/>
        <v>2.1352568017564701</v>
      </c>
      <c r="CW16" s="20">
        <f t="shared" si="13"/>
        <v>13.594980619539625</v>
      </c>
      <c r="CX16" s="59">
        <f t="shared" si="14"/>
        <v>286.15053617509517</v>
      </c>
      <c r="CY16" s="59">
        <f ca="1">AVERAGE(OFFSET($CX$3,0,0,'Données projet'!$E$13+1,1))-AVERAGE(OFFSET($H$3,0,0,'Données projet'!$E$13+1,1))</f>
        <v>296.78766823247003</v>
      </c>
      <c r="CZ16" s="59">
        <f t="shared" si="42"/>
        <v>154.08406475869634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</v>
      </c>
      <c r="N17" s="13">
        <f>IF('Données projet'!$A$36&gt;35,N16+M17-V16,IF(A17&lt;'Données projet'!$A$36,$K$205^A17,IF(A17='Données projet'!$A$36,'Données projet'!$B$36,N16+M17-V16)))</f>
        <v>31.789933905600495</v>
      </c>
      <c r="O17" s="13">
        <f>N17*VLOOKUP('Données projet'!$B$9,Paramètres!$A$1:$I$89,3,0)*VLOOKUP('Données projet'!$B$9,Paramètres!$A$1:$I$89,5,0)</f>
        <v>14.877689067821033</v>
      </c>
      <c r="P17" s="13">
        <f t="shared" si="33"/>
        <v>5.0073092401102919</v>
      </c>
      <c r="Q17" s="20">
        <f t="shared" si="2"/>
        <v>34.633038719647061</v>
      </c>
      <c r="R17" s="59">
        <f t="shared" si="0"/>
        <v>308.41081649742483</v>
      </c>
      <c r="S17" s="59">
        <f ca="1">AVERAGE(OFFSET($R$3,0,0,'Données projet'!$E$9+1,1))-AVERAGE(OFFSET($H$3,0,0,'Données projet'!$E$9+1,1))</f>
        <v>229.61973863654862</v>
      </c>
      <c r="T17" s="59">
        <f t="shared" si="34"/>
        <v>254.08208375594052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6.1333333333333337</v>
      </c>
      <c r="AI17" s="13">
        <f>IF('Données projet'!$A$62&gt;35,AI16+AH17-AQ16,IF(A17&lt;'Données projet'!$A$62,$AF$205^A17,IF(A17='Données projet'!$A$62,'Données projet'!$B$62,AI16+AH17-AQ16)))</f>
        <v>68.056347737933137</v>
      </c>
      <c r="AJ17" s="13">
        <f>AI17*VLOOKUP('Données projet'!$B$10,Paramètres!$A$1:$I$89,3,0)*VLOOKUP('Données projet'!$B$10,Paramètres!$A$1:$I$89,5,0)</f>
        <v>40.697695947284018</v>
      </c>
      <c r="AK17" s="13">
        <f t="shared" si="35"/>
        <v>12.183384776222468</v>
      </c>
      <c r="AL17" s="20">
        <f t="shared" si="4"/>
        <v>92.101215593440472</v>
      </c>
      <c r="AM17" s="59">
        <f t="shared" si="5"/>
        <v>365.87899337121826</v>
      </c>
      <c r="AN17" s="59">
        <f ca="1">AVERAGE(OFFSET($AM$3,0,0,'Données projet'!$E$10+1,1))-AVERAGE(OFFSET($H$3,0,0,'Données projet'!$E$10+1,1))</f>
        <v>348.76139845974495</v>
      </c>
      <c r="AO17" s="59">
        <f t="shared" si="36"/>
        <v>398.5142967182872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13.877539056685173</v>
      </c>
      <c r="BF17" s="13">
        <f t="shared" si="37"/>
        <v>4.7086819085950955</v>
      </c>
      <c r="BG17" s="20">
        <f t="shared" si="7"/>
        <v>32.371001514529802</v>
      </c>
      <c r="BH17" s="59">
        <f t="shared" si="8"/>
        <v>306.14877929230755</v>
      </c>
      <c r="BI17" s="59">
        <f ca="1">AVERAGE(OFFSET($BH$3,0,0,'Données projet'!$E$11+1,1))-AVERAGE(OFFSET($H$3,0,0,'Données projet'!$E$11+1,1))</f>
        <v>413.81510455446738</v>
      </c>
      <c r="BJ17" s="59">
        <f t="shared" si="38"/>
        <v>254.25036207346602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6.3920819760943495</v>
      </c>
      <c r="CA17" s="13">
        <f t="shared" si="39"/>
        <v>2.3736551994720978</v>
      </c>
      <c r="CB17" s="20">
        <f t="shared" si="10"/>
        <v>15.266992247444895</v>
      </c>
      <c r="CC17" s="59">
        <f t="shared" si="11"/>
        <v>289.04477002522265</v>
      </c>
      <c r="CD17" s="59">
        <f ca="1">AVERAGE(OFFSET($CC$3,0,0,'Données projet'!$E$12+1,1))-AVERAGE(OFFSET($H$3,0,0,'Données projet'!$E$12+1,1))</f>
        <v>292.61712942007972</v>
      </c>
      <c r="CE17" s="59">
        <f t="shared" si="40"/>
        <v>152.23954167722536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6.4968702052106497</v>
      </c>
      <c r="CV17" s="13">
        <f t="shared" si="41"/>
        <v>2.4080055723865681</v>
      </c>
      <c r="CW17" s="20">
        <f t="shared" si="13"/>
        <v>15.509325312648487</v>
      </c>
      <c r="CX17" s="59">
        <f t="shared" si="14"/>
        <v>289.28710309042629</v>
      </c>
      <c r="CY17" s="59">
        <f ca="1">AVERAGE(OFFSET($CX$3,0,0,'Données projet'!$E$13+1,1))-AVERAGE(OFFSET($H$3,0,0,'Données projet'!$E$13+1,1))</f>
        <v>296.78766823247003</v>
      </c>
      <c r="CZ17" s="59">
        <f t="shared" si="42"/>
        <v>154.08406475869634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</v>
      </c>
      <c r="N18" s="13">
        <f>IF('Données projet'!$A$36&gt;35,N17+M18-V17,IF(A18&lt;'Données projet'!$A$36,$K$205^A18,IF(A18='Données projet'!$A$36,'Données projet'!$B$36,N17+M18-V17)))</f>
        <v>40.70015158777526</v>
      </c>
      <c r="O18" s="13">
        <f>N18*VLOOKUP('Données projet'!$B$9,Paramètres!$A$1:$I$89,3,0)*VLOOKUP('Données projet'!$B$9,Paramètres!$A$1:$I$89,5,0)</f>
        <v>19.04767094307882</v>
      </c>
      <c r="P18" s="13">
        <f t="shared" si="33"/>
        <v>6.2290289584104483</v>
      </c>
      <c r="Q18" s="20">
        <f t="shared" si="2"/>
        <v>44.023585661760478</v>
      </c>
      <c r="R18" s="59">
        <f t="shared" si="0"/>
        <v>319.02358566176048</v>
      </c>
      <c r="S18" s="59">
        <f ca="1">AVERAGE(OFFSET($R$3,0,0,'Données projet'!$E$9+1,1))-AVERAGE(OFFSET($H$3,0,0,'Données projet'!$E$9+1,1))</f>
        <v>229.61973863654862</v>
      </c>
      <c r="T18" s="59">
        <f t="shared" si="34"/>
        <v>254.08208375594052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92</v>
      </c>
      <c r="AG18" s="12">
        <f>VLOOKUP(A18,'Données projet'!$A$61:$I$81,9,0)</f>
        <v>6.1333333333333337</v>
      </c>
      <c r="AH18" s="12">
        <f t="array" ref="AH18">INDEX(AG:AG,MIN(IF(ISNUMBER(AG18:AG214),ROW(AG18:AG214),"")))</f>
        <v>6.1333333333333337</v>
      </c>
      <c r="AI18" s="13">
        <f>IF('Données projet'!$A$62&gt;35,AI17+AH18-AQ17,IF(A18&lt;'Données projet'!$A$62,$AF$205^A18,IF(A18='Données projet'!$A$62,'Données projet'!$B$62,AI17+AH18-AQ17)))</f>
        <v>92</v>
      </c>
      <c r="AJ18" s="13">
        <f>AI18*VLOOKUP('Données projet'!$B$10,Paramètres!$A$1:$I$89,3,0)*VLOOKUP('Données projet'!$B$10,Paramètres!$A$1:$I$89,5,0)</f>
        <v>55.016000000000005</v>
      </c>
      <c r="AK18" s="13">
        <f t="shared" si="35"/>
        <v>15.901868409640327</v>
      </c>
      <c r="AL18" s="20">
        <f t="shared" si="4"/>
        <v>123.51528748012358</v>
      </c>
      <c r="AM18" s="59">
        <f t="shared" si="5"/>
        <v>398.51528748012356</v>
      </c>
      <c r="AN18" s="59">
        <f ca="1">AVERAGE(OFFSET($AM$3,0,0,'Données projet'!$E$10+1,1))-AVERAGE(OFFSET($H$3,0,0,'Données projet'!$E$10+1,1))</f>
        <v>348.76139845974495</v>
      </c>
      <c r="AO18" s="59">
        <f t="shared" si="36"/>
        <v>398.5142967182872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4</v>
      </c>
      <c r="AR18" s="16">
        <f>IF(ISNA(VLOOKUP(A18,'Données projet'!$A$61:$I$81,5,0)),0%,VLOOKUP(A18,'Données projet'!$A$61:$I$81,5,0)*VLOOKUP('Données projet'!$B$10,Paramètres!$A$1:$I$89,7,0))</f>
        <v>9.0000000000000011E-2</v>
      </c>
      <c r="AS18" s="16">
        <f>IF(ISNA(VLOOKUP(A18,'Données projet'!$A$61:$I$81,6,0)),0%,VLOOKUP(A18,'Données projet'!$A$61:$I$81,6,0)*VLOOKUP('Données projet'!$B$10,Paramètres!$A$1:$I$89,7,0))</f>
        <v>0.20250000000000001</v>
      </c>
      <c r="AT18" s="16">
        <f>IF(ISNA(VLOOKUP(A18,'Données projet'!$A$61:$I$81,7,0)),0%,VLOOKUP(A18,'Données projet'!$A$61:$I$81,7,0))</f>
        <v>0.35</v>
      </c>
      <c r="AU18" s="21">
        <f>EXP(-LN(2)/35)*AU17+(1-EXP(-LN(2)/35))/(LN(2)/35)*AQ18*AR18*VLOOKUP('Données projet'!$B$10,Paramètres!$A$1:$I$89,3,0)*0.475*44/12</f>
        <v>0.28558279596702424</v>
      </c>
      <c r="AV18" s="21">
        <f>EXP(-LN(2)/25)*AV17+(1-EXP(-LN(2)/25))/(LN(2)/25)*Calculateur!AQ18*Calculateur!AS18*VLOOKUP('Données projet'!$B$10,Paramètres!$A$1:$I$89,3,0)*0.475*44/12</f>
        <v>0.64003128228838313</v>
      </c>
      <c r="AW18" s="21">
        <f>EXP(-LN(2)/2)*AW17+(1-EXP(-LN(2)/2))/(LN(2)/2)*AQ18*AT18*VLOOKUP('Données projet'!$B$10,Paramètres!$A$1:$I$89,3,0)*0.475*44/12</f>
        <v>0.94790487948915703</v>
      </c>
      <c r="AX18" s="21">
        <f t="shared" si="6"/>
        <v>1.8735189577445643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16.729190352551068</v>
      </c>
      <c r="BF18" s="13">
        <f t="shared" si="37"/>
        <v>5.5541103821765283</v>
      </c>
      <c r="BG18" s="20">
        <f t="shared" si="7"/>
        <v>38.810082112983899</v>
      </c>
      <c r="BH18" s="59">
        <f t="shared" si="8"/>
        <v>313.81008211298388</v>
      </c>
      <c r="BI18" s="59">
        <f ca="1">AVERAGE(OFFSET($BH$3,0,0,'Données projet'!$E$11+1,1))-AVERAGE(OFFSET($H$3,0,0,'Données projet'!$E$11+1,1))</f>
        <v>413.81510455446738</v>
      </c>
      <c r="BJ18" s="59">
        <f t="shared" si="38"/>
        <v>254.25036207346602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7.3236433418349414</v>
      </c>
      <c r="CA18" s="13">
        <f t="shared" si="39"/>
        <v>2.6768559840443293</v>
      </c>
      <c r="CB18" s="20">
        <f t="shared" si="10"/>
        <v>17.417536325906397</v>
      </c>
      <c r="CC18" s="59">
        <f t="shared" si="11"/>
        <v>292.41753632590638</v>
      </c>
      <c r="CD18" s="59">
        <f ca="1">AVERAGE(OFFSET($CC$3,0,0,'Données projet'!$E$12+1,1))-AVERAGE(OFFSET($H$3,0,0,'Données projet'!$E$12+1,1))</f>
        <v>292.61712942007972</v>
      </c>
      <c r="CE18" s="59">
        <f t="shared" si="40"/>
        <v>152.23954167722536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7.4437030687502697</v>
      </c>
      <c r="CV18" s="13">
        <f t="shared" si="41"/>
        <v>2.7155941298840056</v>
      </c>
      <c r="CW18" s="20">
        <f t="shared" si="13"/>
        <v>17.694109287621362</v>
      </c>
      <c r="CX18" s="59">
        <f t="shared" si="14"/>
        <v>292.69410928762136</v>
      </c>
      <c r="CY18" s="59">
        <f ca="1">AVERAGE(OFFSET($CX$3,0,0,'Données projet'!$E$13+1,1))-AVERAGE(OFFSET($H$3,0,0,'Données projet'!$E$13+1,1))</f>
        <v>296.78766823247003</v>
      </c>
      <c r="CZ18" s="59">
        <f t="shared" si="42"/>
        <v>154.08406475869634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</v>
      </c>
      <c r="N19" s="13">
        <f>IF('Données projet'!$A$36&gt;35,N18+M19-V18,IF(A19&lt;'Données projet'!$A$36,$K$205^A19,IF(A19='Données projet'!$A$36,'Données projet'!$B$36,N18+M19-V18)))</f>
        <v>52.107762922276969</v>
      </c>
      <c r="O19" s="13">
        <f>N19*VLOOKUP('Données projet'!$B$9,Paramètres!$A$1:$I$89,3,0)*VLOOKUP('Données projet'!$B$9,Paramètres!$A$1:$I$89,5,0)</f>
        <v>24.386433047625623</v>
      </c>
      <c r="P19" s="13">
        <f t="shared" si="33"/>
        <v>7.7488327371331547</v>
      </c>
      <c r="Q19" s="20">
        <f t="shared" si="2"/>
        <v>55.968921241788202</v>
      </c>
      <c r="R19" s="59">
        <f t="shared" si="0"/>
        <v>332.19114346401045</v>
      </c>
      <c r="S19" s="59">
        <f ca="1">AVERAGE(OFFSET($R$3,0,0,'Données projet'!$E$9+1,1))-AVERAGE(OFFSET($H$3,0,0,'Données projet'!$E$9+1,1))</f>
        <v>229.61973863654862</v>
      </c>
      <c r="T19" s="59">
        <f t="shared" si="34"/>
        <v>254.08208375594052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18.399999999999999</v>
      </c>
      <c r="AI19" s="13">
        <f>IF('Données projet'!$A$62&gt;35,AI18+AH19-AQ18,IF(A19&lt;'Données projet'!$A$62,$AF$205^A19,IF(A19='Données projet'!$A$62,'Données projet'!$B$62,AI18+AH19-AQ18)))</f>
        <v>106.4</v>
      </c>
      <c r="AJ19" s="13">
        <f>AI19*VLOOKUP('Données projet'!$B$10,Paramètres!$A$1:$I$89,3,0)*VLOOKUP('Données projet'!$B$10,Paramètres!$A$1:$I$89,5,0)</f>
        <v>63.627200000000009</v>
      </c>
      <c r="AK19" s="13">
        <f t="shared" si="35"/>
        <v>18.082182721748126</v>
      </c>
      <c r="AL19" s="20">
        <f t="shared" si="4"/>
        <v>142.310508240378</v>
      </c>
      <c r="AM19" s="59">
        <f t="shared" si="5"/>
        <v>418.53273046260023</v>
      </c>
      <c r="AN19" s="59">
        <f ca="1">AVERAGE(OFFSET($AM$3,0,0,'Données projet'!$E$10+1,1))-AVERAGE(OFFSET($H$3,0,0,'Données projet'!$E$10+1,1))</f>
        <v>348.76139845974495</v>
      </c>
      <c r="AO19" s="59">
        <f t="shared" si="36"/>
        <v>398.5142967182872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0.27998269152641675</v>
      </c>
      <c r="AV19" s="21">
        <f>EXP(-LN(2)/25)*AV18+(1-EXP(-LN(2)/25))/(LN(2)/25)*Calculateur!AQ19*Calculateur!AS19*VLOOKUP('Données projet'!$B$10,Paramètres!$A$1:$I$89,3,0)*0.475*44/12</f>
        <v>0.62252959321642498</v>
      </c>
      <c r="AW19" s="21">
        <f>EXP(-LN(2)/2)*AW18+(1-EXP(-LN(2)/2))/(LN(2)/2)*AQ19*AT19*VLOOKUP('Données projet'!$B$10,Paramètres!$A$1:$I$89,3,0)*0.475*44/12</f>
        <v>0.67026996820660012</v>
      </c>
      <c r="AX19" s="21">
        <f t="shared" si="6"/>
        <v>1.572782252949442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20.166818389681932</v>
      </c>
      <c r="BF19" s="13">
        <f t="shared" si="37"/>
        <v>6.5513327797938032</v>
      </c>
      <c r="BG19" s="20">
        <f t="shared" si="7"/>
        <v>46.534113286836906</v>
      </c>
      <c r="BH19" s="59">
        <f t="shared" si="8"/>
        <v>322.75633550905911</v>
      </c>
      <c r="BI19" s="59">
        <f ca="1">AVERAGE(OFFSET($BH$3,0,0,'Données projet'!$E$11+1,1))-AVERAGE(OFFSET($H$3,0,0,'Données projet'!$E$11+1,1))</f>
        <v>413.81510455446738</v>
      </c>
      <c r="BJ19" s="59">
        <f t="shared" si="38"/>
        <v>254.25036207346602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8.3909674498848439</v>
      </c>
      <c r="CA19" s="13">
        <f t="shared" si="39"/>
        <v>3.0187863683434557</v>
      </c>
      <c r="CB19" s="20">
        <f t="shared" si="10"/>
        <v>19.871987900080956</v>
      </c>
      <c r="CC19" s="59">
        <f t="shared" si="11"/>
        <v>296.0942101223032</v>
      </c>
      <c r="CD19" s="59">
        <f ca="1">AVERAGE(OFFSET($CC$3,0,0,'Données projet'!$E$12+1,1))-AVERAGE(OFFSET($H$3,0,0,'Données projet'!$E$12+1,1))</f>
        <v>292.61712942007972</v>
      </c>
      <c r="CE19" s="59">
        <f t="shared" si="40"/>
        <v>152.23954167722536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8.528524293325578</v>
      </c>
      <c r="CV19" s="13">
        <f t="shared" si="41"/>
        <v>3.0624727628647754</v>
      </c>
      <c r="CW19" s="20">
        <f t="shared" si="13"/>
        <v>20.187653206198199</v>
      </c>
      <c r="CX19" s="59">
        <f t="shared" si="14"/>
        <v>296.40987542842043</v>
      </c>
      <c r="CY19" s="59">
        <f ca="1">AVERAGE(OFFSET($CX$3,0,0,'Données projet'!$E$13+1,1))-AVERAGE(OFFSET($H$3,0,0,'Données projet'!$E$13+1,1))</f>
        <v>296.78766823247003</v>
      </c>
      <c r="CZ19" s="59">
        <f t="shared" si="42"/>
        <v>154.08406475869634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</v>
      </c>
      <c r="N20" s="13">
        <f>IF('Données projet'!$A$36&gt;35,N19+M20-V19,IF(A20&lt;'Données projet'!$A$36,$K$205^A20,IF(A20='Données projet'!$A$36,'Données projet'!$B$36,N19+M20-V19)))</f>
        <v>66.712748008038588</v>
      </c>
      <c r="O20" s="13">
        <f>N20*VLOOKUP('Données projet'!$B$9,Paramètres!$A$1:$I$89,3,0)*VLOOKUP('Données projet'!$B$9,Paramètres!$A$1:$I$89,5,0)</f>
        <v>31.221566067762058</v>
      </c>
      <c r="P20" s="13">
        <f t="shared" si="33"/>
        <v>9.6394492928138327</v>
      </c>
      <c r="Q20" s="20">
        <f t="shared" si="2"/>
        <v>71.166268419669663</v>
      </c>
      <c r="R20" s="59">
        <f t="shared" si="0"/>
        <v>348.61071286411413</v>
      </c>
      <c r="S20" s="59">
        <f ca="1">AVERAGE(OFFSET($R$3,0,0,'Données projet'!$E$9+1,1))-AVERAGE(OFFSET($H$3,0,0,'Données projet'!$E$9+1,1))</f>
        <v>229.61973863654862</v>
      </c>
      <c r="T20" s="59">
        <f t="shared" si="34"/>
        <v>254.08208375594052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18.399999999999999</v>
      </c>
      <c r="AI20" s="13">
        <f>IF('Données projet'!$A$62&gt;35,AI19+AH20-AQ19,IF(A20&lt;'Données projet'!$A$62,$AF$205^A20,IF(A20='Données projet'!$A$62,'Données projet'!$B$62,AI19+AH20-AQ19)))</f>
        <v>124.80000000000001</v>
      </c>
      <c r="AJ20" s="13">
        <f>AI20*VLOOKUP('Données projet'!$B$10,Paramètres!$A$1:$I$89,3,0)*VLOOKUP('Données projet'!$B$10,Paramètres!$A$1:$I$89,5,0)</f>
        <v>74.630400000000009</v>
      </c>
      <c r="AK20" s="13">
        <f t="shared" si="35"/>
        <v>20.819027490528757</v>
      </c>
      <c r="AL20" s="20">
        <f t="shared" si="4"/>
        <v>166.24108621267092</v>
      </c>
      <c r="AM20" s="59">
        <f t="shared" si="5"/>
        <v>443.68553065711535</v>
      </c>
      <c r="AN20" s="59">
        <f ca="1">AVERAGE(OFFSET($AM$3,0,0,'Données projet'!$E$10+1,1))-AVERAGE(OFFSET($H$3,0,0,'Données projet'!$E$10+1,1))</f>
        <v>348.76139845974495</v>
      </c>
      <c r="AO20" s="59">
        <f t="shared" si="36"/>
        <v>398.5142967182872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0.27449240171816314</v>
      </c>
      <c r="AV20" s="21">
        <f>EXP(-LN(2)/25)*AV19+(1-EXP(-LN(2)/25))/(LN(2)/25)*Calculateur!AQ20*Calculateur!AS20*VLOOKUP('Données projet'!$B$10,Paramètres!$A$1:$I$89,3,0)*0.475*44/12</f>
        <v>0.60550648875251334</v>
      </c>
      <c r="AW20" s="21">
        <f>EXP(-LN(2)/2)*AW19+(1-EXP(-LN(2)/2))/(LN(2)/2)*AQ20*AT20*VLOOKUP('Données projet'!$B$10,Paramètres!$A$1:$I$89,3,0)*0.475*44/12</f>
        <v>0.47395243974457857</v>
      </c>
      <c r="AX20" s="21">
        <f t="shared" si="6"/>
        <v>1.353951330215255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24.31083366209619</v>
      </c>
      <c r="BF20" s="13">
        <f t="shared" si="37"/>
        <v>7.7276032052466093</v>
      </c>
      <c r="BG20" s="20">
        <f t="shared" si="7"/>
        <v>55.800277543955367</v>
      </c>
      <c r="BH20" s="59">
        <f t="shared" si="8"/>
        <v>333.24472198839982</v>
      </c>
      <c r="BI20" s="59">
        <f ca="1">AVERAGE(OFFSET($BH$3,0,0,'Données projet'!$E$11+1,1))-AVERAGE(OFFSET($H$3,0,0,'Données projet'!$E$11+1,1))</f>
        <v>413.81510455446738</v>
      </c>
      <c r="BJ20" s="59">
        <f t="shared" si="38"/>
        <v>254.25036207346602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9.6138399234753162</v>
      </c>
      <c r="CA20" s="13">
        <f t="shared" si="39"/>
        <v>3.404393509406427</v>
      </c>
      <c r="CB20" s="20">
        <f t="shared" si="10"/>
        <v>22.6734232289357</v>
      </c>
      <c r="CC20" s="59">
        <f t="shared" si="11"/>
        <v>300.11786767338015</v>
      </c>
      <c r="CD20" s="59">
        <f ca="1">AVERAGE(OFFSET($CC$3,0,0,'Données projet'!$E$12+1,1))-AVERAGE(OFFSET($H$3,0,0,'Données projet'!$E$12+1,1))</f>
        <v>292.61712942007972</v>
      </c>
      <c r="CE20" s="59">
        <f t="shared" si="40"/>
        <v>152.23954167722536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9.7714438566470445</v>
      </c>
      <c r="CV20" s="13">
        <f t="shared" si="41"/>
        <v>3.4536602211941068</v>
      </c>
      <c r="CW20" s="20">
        <f t="shared" si="13"/>
        <v>23.033722935573341</v>
      </c>
      <c r="CX20" s="59">
        <f t="shared" si="14"/>
        <v>300.47816738001779</v>
      </c>
      <c r="CY20" s="59">
        <f ca="1">AVERAGE(OFFSET($CX$3,0,0,'Données projet'!$E$13+1,1))-AVERAGE(OFFSET($H$3,0,0,'Données projet'!$E$13+1,1))</f>
        <v>296.78766823247003</v>
      </c>
      <c r="CZ20" s="59">
        <f t="shared" si="42"/>
        <v>154.08406475869634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</v>
      </c>
      <c r="N21" s="13">
        <f>IF('Données projet'!$A$36&gt;35,N20+M21-V20,IF(A21&lt;'Données projet'!$A$36,$K$205^A21,IF(A21='Données projet'!$A$36,'Données projet'!$B$36,N20+M21-V20)))</f>
        <v>85.411280338833194</v>
      </c>
      <c r="O21" s="13">
        <f>N21*VLOOKUP('Données projet'!$B$9,Paramètres!$A$1:$I$89,3,0)*VLOOKUP('Données projet'!$B$9,Paramètres!$A$1:$I$89,5,0)</f>
        <v>39.972479198573936</v>
      </c>
      <c r="P21" s="13">
        <f t="shared" si="33"/>
        <v>11.991352223084183</v>
      </c>
      <c r="Q21" s="20">
        <f t="shared" si="2"/>
        <v>90.503673059387893</v>
      </c>
      <c r="R21" s="59">
        <f t="shared" si="0"/>
        <v>369.17033972605458</v>
      </c>
      <c r="S21" s="59">
        <f ca="1">AVERAGE(OFFSET($R$3,0,0,'Données projet'!$E$9+1,1))-AVERAGE(OFFSET($H$3,0,0,'Données projet'!$E$9+1,1))</f>
        <v>229.61973863654862</v>
      </c>
      <c r="T21" s="59">
        <f t="shared" si="34"/>
        <v>254.08208375594052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18.399999999999999</v>
      </c>
      <c r="AI21" s="13">
        <f>IF('Données projet'!$A$62&gt;35,AI20+AH21-AQ20,IF(A21&lt;'Données projet'!$A$62,$AF$205^A21,IF(A21='Données projet'!$A$62,'Données projet'!$B$62,AI20+AH21-AQ20)))</f>
        <v>143.20000000000002</v>
      </c>
      <c r="AJ21" s="13">
        <f>AI21*VLOOKUP('Données projet'!$B$10,Paramètres!$A$1:$I$89,3,0)*VLOOKUP('Données projet'!$B$10,Paramètres!$A$1:$I$89,5,0)</f>
        <v>85.633600000000015</v>
      </c>
      <c r="AK21" s="13">
        <f t="shared" si="35"/>
        <v>23.509125896343544</v>
      </c>
      <c r="AL21" s="20">
        <f t="shared" si="4"/>
        <v>190.09024760279837</v>
      </c>
      <c r="AM21" s="59">
        <f t="shared" si="5"/>
        <v>468.75691426946503</v>
      </c>
      <c r="AN21" s="59">
        <f ca="1">AVERAGE(OFFSET($AM$3,0,0,'Données projet'!$E$10+1,1))-AVERAGE(OFFSET($H$3,0,0,'Données projet'!$E$10+1,1))</f>
        <v>348.76139845974495</v>
      </c>
      <c r="AO21" s="59">
        <f t="shared" si="36"/>
        <v>398.5142967182872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0.26910977314430329</v>
      </c>
      <c r="AV21" s="21">
        <f>EXP(-LN(2)/25)*AV20+(1-EXP(-LN(2)/25))/(LN(2)/25)*Calculateur!AQ21*Calculateur!AS21*VLOOKUP('Données projet'!$B$10,Paramètres!$A$1:$I$89,3,0)*0.475*44/12</f>
        <v>0.58894888197537354</v>
      </c>
      <c r="AW21" s="21">
        <f>EXP(-LN(2)/2)*AW20+(1-EXP(-LN(2)/2))/(LN(2)/2)*AQ21*AT21*VLOOKUP('Données projet'!$B$10,Paramètres!$A$1:$I$89,3,0)*0.475*44/12</f>
        <v>0.33513498410330012</v>
      </c>
      <c r="AX21" s="21">
        <f t="shared" si="6"/>
        <v>1.1931936392229769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29.306389432677911</v>
      </c>
      <c r="BF21" s="13">
        <f t="shared" si="37"/>
        <v>9.1150691477493808</v>
      </c>
      <c r="BG21" s="20">
        <f t="shared" si="7"/>
        <v>66.917373694244205</v>
      </c>
      <c r="BH21" s="59">
        <f t="shared" si="8"/>
        <v>345.58404036091088</v>
      </c>
      <c r="BI21" s="59">
        <f ca="1">AVERAGE(OFFSET($BH$3,0,0,'Données projet'!$E$11+1,1))-AVERAGE(OFFSET($H$3,0,0,'Données projet'!$E$11+1,1))</f>
        <v>413.81510455446738</v>
      </c>
      <c r="BJ21" s="59">
        <f t="shared" si="38"/>
        <v>254.25036207346602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11.014929878613264</v>
      </c>
      <c r="CA21" s="13">
        <f t="shared" si="39"/>
        <v>3.8392564934127869</v>
      </c>
      <c r="CB21" s="20">
        <f t="shared" si="10"/>
        <v>25.871041264612035</v>
      </c>
      <c r="CC21" s="59">
        <f t="shared" si="11"/>
        <v>304.5377079312787</v>
      </c>
      <c r="CD21" s="59">
        <f ca="1">AVERAGE(OFFSET($CC$3,0,0,'Données projet'!$E$12+1,1))-AVERAGE(OFFSET($H$3,0,0,'Données projet'!$E$12+1,1))</f>
        <v>292.61712942007972</v>
      </c>
      <c r="CE21" s="59">
        <f t="shared" si="40"/>
        <v>152.23954167722536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11.195502499574138</v>
      </c>
      <c r="CV21" s="13">
        <f t="shared" si="41"/>
        <v>3.8948163288481799</v>
      </c>
      <c r="CW21" s="20">
        <f t="shared" si="13"/>
        <v>26.282305292835535</v>
      </c>
      <c r="CX21" s="59">
        <f t="shared" si="14"/>
        <v>304.94897195950222</v>
      </c>
      <c r="CY21" s="59">
        <f ca="1">AVERAGE(OFFSET($CX$3,0,0,'Données projet'!$E$13+1,1))-AVERAGE(OFFSET($H$3,0,0,'Données projet'!$E$13+1,1))</f>
        <v>296.78766823247003</v>
      </c>
      <c r="CZ21" s="59">
        <f t="shared" si="42"/>
        <v>154.08406475869634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</v>
      </c>
      <c r="N22" s="13">
        <f>IF('Données projet'!$A$36&gt;35,N21+M22-V21,IF(A22&lt;'Données projet'!$A$36,$K$205^A22,IF(A22='Données projet'!$A$36,'Données projet'!$B$36,N21+M22-V21)))</f>
        <v>109.35071672118391</v>
      </c>
      <c r="O22" s="13">
        <f>N22*VLOOKUP('Données projet'!$B$9,Paramètres!$A$1:$I$89,3,0)*VLOOKUP('Données projet'!$B$9,Paramètres!$A$1:$I$89,5,0)</f>
        <v>51.176135425514076</v>
      </c>
      <c r="P22" s="13">
        <f t="shared" si="33"/>
        <v>14.917089531791261</v>
      </c>
      <c r="Q22" s="20">
        <f t="shared" si="2"/>
        <v>115.11236680064013</v>
      </c>
      <c r="R22" s="59">
        <f t="shared" si="0"/>
        <v>395.00125568952899</v>
      </c>
      <c r="S22" s="59">
        <f ca="1">AVERAGE(OFFSET($R$3,0,0,'Données projet'!$E$9+1,1))-AVERAGE(OFFSET($H$3,0,0,'Données projet'!$E$9+1,1))</f>
        <v>229.61973863654862</v>
      </c>
      <c r="T22" s="59">
        <f t="shared" si="34"/>
        <v>254.08208375594052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18.399999999999999</v>
      </c>
      <c r="AI22" s="13">
        <f>IF('Données projet'!$A$62&gt;35,AI21+AH22-AQ21,IF(A22&lt;'Données projet'!$A$62,$AF$205^A22,IF(A22='Données projet'!$A$62,'Données projet'!$B$62,AI21+AH22-AQ21)))</f>
        <v>161.60000000000002</v>
      </c>
      <c r="AJ22" s="13">
        <f>AI22*VLOOKUP('Données projet'!$B$10,Paramètres!$A$1:$I$89,3,0)*VLOOKUP('Données projet'!$B$10,Paramètres!$A$1:$I$89,5,0)</f>
        <v>96.636800000000022</v>
      </c>
      <c r="AK22" s="13">
        <f t="shared" si="35"/>
        <v>26.159173215164081</v>
      </c>
      <c r="AL22" s="20">
        <f t="shared" si="4"/>
        <v>213.86965334974414</v>
      </c>
      <c r="AM22" s="59">
        <f t="shared" si="5"/>
        <v>493.75854223863303</v>
      </c>
      <c r="AN22" s="59">
        <f ca="1">AVERAGE(OFFSET($AM$3,0,0,'Données projet'!$E$10+1,1))-AVERAGE(OFFSET($H$3,0,0,'Données projet'!$E$10+1,1))</f>
        <v>348.76139845974495</v>
      </c>
      <c r="AO22" s="59">
        <f t="shared" si="36"/>
        <v>398.5142967182872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0.26383269463369757</v>
      </c>
      <c r="AV22" s="21">
        <f>EXP(-LN(2)/25)*AV21+(1-EXP(-LN(2)/25))/(LN(2)/25)*Calculateur!AQ22*Calculateur!AS22*VLOOKUP('Données projet'!$B$10,Paramètres!$A$1:$I$89,3,0)*0.475*44/12</f>
        <v>0.57284404382628129</v>
      </c>
      <c r="AW22" s="21">
        <f>EXP(-LN(2)/2)*AW21+(1-EXP(-LN(2)/2))/(LN(2)/2)*AQ22*AT22*VLOOKUP('Données projet'!$B$10,Paramètres!$A$1:$I$89,3,0)*0.475*44/12</f>
        <v>0.23697621987228934</v>
      </c>
      <c r="AX22" s="21">
        <f t="shared" si="6"/>
        <v>1.0736529583322683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35.328466045936516</v>
      </c>
      <c r="BF22" s="13">
        <f t="shared" si="37"/>
        <v>10.751650073316766</v>
      </c>
      <c r="BG22" s="20">
        <f t="shared" si="7"/>
        <v>80.256202241032796</v>
      </c>
      <c r="BH22" s="59">
        <f t="shared" si="8"/>
        <v>360.14509112992164</v>
      </c>
      <c r="BI22" s="59">
        <f ca="1">AVERAGE(OFFSET($BH$3,0,0,'Données projet'!$E$11+1,1))-AVERAGE(OFFSET($H$3,0,0,'Données projet'!$E$11+1,1))</f>
        <v>413.81510455446738</v>
      </c>
      <c r="BJ22" s="59">
        <f t="shared" si="38"/>
        <v>254.25036207346602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12.620210154997878</v>
      </c>
      <c r="CA22" s="13">
        <f t="shared" si="39"/>
        <v>4.329667055669546</v>
      </c>
      <c r="CB22" s="20">
        <f t="shared" si="10"/>
        <v>29.521036141912429</v>
      </c>
      <c r="CC22" s="59">
        <f t="shared" si="11"/>
        <v>309.40992503080128</v>
      </c>
      <c r="CD22" s="59">
        <f ca="1">AVERAGE(OFFSET($CC$3,0,0,'Données projet'!$E$12+1,1))-AVERAGE(OFFSET($H$3,0,0,'Données projet'!$E$12+1,1))</f>
        <v>292.61712942007972</v>
      </c>
      <c r="CE22" s="59">
        <f t="shared" si="40"/>
        <v>152.23954167722536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12.827098846063416</v>
      </c>
      <c r="CV22" s="13">
        <f t="shared" si="41"/>
        <v>4.3923238720390128</v>
      </c>
      <c r="CW22" s="20">
        <f t="shared" si="13"/>
        <v>29.990494567361733</v>
      </c>
      <c r="CX22" s="59">
        <f t="shared" si="14"/>
        <v>309.87938345625059</v>
      </c>
      <c r="CY22" s="59">
        <f ca="1">AVERAGE(OFFSET($CX$3,0,0,'Données projet'!$E$13+1,1))-AVERAGE(OFFSET($H$3,0,0,'Données projet'!$E$13+1,1))</f>
        <v>296.78766823247003</v>
      </c>
      <c r="CZ22" s="59">
        <f t="shared" si="42"/>
        <v>154.08406475869634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140</v>
      </c>
      <c r="L23" s="12">
        <f>VLOOKUP(A23,'Données projet'!$A$35:$I$55,9,0)</f>
        <v>7</v>
      </c>
      <c r="M23" s="12">
        <f t="array" ref="M23">INDEX(L:L,MIN(IF(ISNUMBER(L23:L219),ROW(L23:L219),"")))</f>
        <v>7</v>
      </c>
      <c r="N23" s="13">
        <f>IF('Données projet'!$A$36&gt;35,N22+M23-V22,IF(A23&lt;'Données projet'!$A$36,$K$205^A23,IF(A23='Données projet'!$A$36,'Données projet'!$B$36,N22+M23-V22)))</f>
        <v>140</v>
      </c>
      <c r="O23" s="13">
        <f>N23*VLOOKUP('Données projet'!$B$9,Paramètres!$A$1:$I$89,3,0)*VLOOKUP('Données projet'!$B$9,Paramètres!$A$1:$I$89,5,0)</f>
        <v>65.52</v>
      </c>
      <c r="P23" s="13">
        <f t="shared" si="33"/>
        <v>18.556669503136725</v>
      </c>
      <c r="Q23" s="20">
        <f t="shared" si="2"/>
        <v>146.43353271796309</v>
      </c>
      <c r="R23" s="59">
        <f t="shared" si="0"/>
        <v>427.54464382907423</v>
      </c>
      <c r="S23" s="59">
        <f ca="1">AVERAGE(OFFSET($R$3,0,0,'Données projet'!$E$9+1,1))-AVERAGE(OFFSET($H$3,0,0,'Données projet'!$E$9+1,1))</f>
        <v>229.61973863654862</v>
      </c>
      <c r="T23" s="59">
        <f t="shared" si="34"/>
        <v>254.08208375594052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0.30800000000000005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7.6185366162250032</v>
      </c>
      <c r="AB23" s="21">
        <f>EXP(-LN(2)/2)*AB22+(1-EXP(-LN(2)/2))/(LN(2)/2)*V23*Y23*VLOOKUP('Données projet'!$B$9,Paramètres!$A$1:$I$89,3,0)*0.475*44/12</f>
        <v>9.3259709882659934</v>
      </c>
      <c r="AC23" s="22">
        <f t="shared" si="3"/>
        <v>16.944507604490997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180</v>
      </c>
      <c r="AG23" s="12">
        <f>VLOOKUP(A23,'Données projet'!$A$61:$I$81,9,0)</f>
        <v>18.399999999999999</v>
      </c>
      <c r="AH23" s="12">
        <f t="array" ref="AH23">INDEX(AG:AG,MIN(IF(ISNUMBER(AG23:AG219),ROW(AG23:AG219),"")))</f>
        <v>18.399999999999999</v>
      </c>
      <c r="AI23" s="13">
        <f>IF('Données projet'!$A$62&gt;35,AI22+AH23-AQ22,IF(A23&lt;'Données projet'!$A$62,$AF$205^A23,IF(A23='Données projet'!$A$62,'Données projet'!$B$62,AI22+AH23-AQ22)))</f>
        <v>180.00000000000003</v>
      </c>
      <c r="AJ23" s="13">
        <f>AI23*VLOOKUP('Données projet'!$B$10,Paramètres!$A$1:$I$89,3,0)*VLOOKUP('Données projet'!$B$10,Paramètres!$A$1:$I$89,5,0)</f>
        <v>107.64000000000001</v>
      </c>
      <c r="AK23" s="13">
        <f t="shared" si="35"/>
        <v>28.774250263353583</v>
      </c>
      <c r="AL23" s="20">
        <f t="shared" si="4"/>
        <v>237.58815254200752</v>
      </c>
      <c r="AM23" s="59">
        <f t="shared" si="5"/>
        <v>518.69926365311869</v>
      </c>
      <c r="AN23" s="59">
        <f ca="1">AVERAGE(OFFSET($AM$3,0,0,'Données projet'!$E$10+1,1))-AVERAGE(OFFSET($H$3,0,0,'Données projet'!$E$10+1,1))</f>
        <v>348.76139845974495</v>
      </c>
      <c r="AO23" s="59">
        <f t="shared" si="36"/>
        <v>398.5142967182872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56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0.20250000000000001</v>
      </c>
      <c r="AT23" s="16">
        <f>IF(ISNA(VLOOKUP(A23,'Données projet'!$A$61:$I$81,7,0)),0%,VLOOKUP(A23,'Données projet'!$A$61:$I$81,7,0))</f>
        <v>0.35</v>
      </c>
      <c r="AU23" s="21">
        <f>EXP(-LN(2)/35)*AU22+(1-EXP(-LN(2)/35))/(LN(2)/35)*AQ23*AR23*VLOOKUP('Données projet'!$B$10,Paramètres!$A$1:$I$89,3,0)*0.475*44/12</f>
        <v>4.2568182399523247</v>
      </c>
      <c r="AV23" s="21">
        <f>EXP(-LN(2)/25)*AV22+(1-EXP(-LN(2)/25))/(LN(2)/25)*Calculateur!AQ23*Calculateur!AS23*VLOOKUP('Données projet'!$B$10,Paramètres!$A$1:$I$89,3,0)*0.475*44/12</f>
        <v>9.5176175453606557</v>
      </c>
      <c r="AW23" s="21">
        <f>EXP(-LN(2)/2)*AW22+(1-EXP(-LN(2)/2))/(LN(2)/2)*AQ23*AT23*VLOOKUP('Données projet'!$B$10,Paramètres!$A$1:$I$89,3,0)*0.475*44/12</f>
        <v>13.43823580489985</v>
      </c>
      <c r="AX23" s="21">
        <f t="shared" si="6"/>
        <v>27.212671590212832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42.588000000000001</v>
      </c>
      <c r="BF23" s="13">
        <f t="shared" si="37"/>
        <v>12.682073764365764</v>
      </c>
      <c r="BG23" s="20">
        <f t="shared" si="7"/>
        <v>96.262045139603686</v>
      </c>
      <c r="BH23" s="59">
        <f t="shared" si="8"/>
        <v>377.37315625071483</v>
      </c>
      <c r="BI23" s="59">
        <f ca="1">AVERAGE(OFFSET($BH$3,0,0,'Données projet'!$E$11+1,1))-AVERAGE(OFFSET($H$3,0,0,'Données projet'!$E$11+1,1))</f>
        <v>413.81510455446738</v>
      </c>
      <c r="BJ23" s="59">
        <f t="shared" si="38"/>
        <v>254.25036207346602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14.459438790032763</v>
      </c>
      <c r="CA23" s="13">
        <f t="shared" si="39"/>
        <v>4.8827206114292476</v>
      </c>
      <c r="CB23" s="20">
        <f t="shared" si="10"/>
        <v>33.687594290879673</v>
      </c>
      <c r="CC23" s="59">
        <f t="shared" si="11"/>
        <v>314.79870540199079</v>
      </c>
      <c r="CD23" s="59">
        <f ca="1">AVERAGE(OFFSET($CC$3,0,0,'Données projet'!$E$12+1,1))-AVERAGE(OFFSET($H$3,0,0,'Données projet'!$E$12+1,1))</f>
        <v>292.61712942007972</v>
      </c>
      <c r="CE23" s="59">
        <f t="shared" si="40"/>
        <v>152.23954167722536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14.696478770197235</v>
      </c>
      <c r="CV23" s="13">
        <f t="shared" si="41"/>
        <v>4.9533809473858224</v>
      </c>
      <c r="CW23" s="20">
        <f t="shared" si="13"/>
        <v>34.223505674790481</v>
      </c>
      <c r="CX23" s="59">
        <f t="shared" si="14"/>
        <v>315.33461678590163</v>
      </c>
      <c r="CY23" s="59">
        <f ca="1">AVERAGE(OFFSET($CX$3,0,0,'Données projet'!$E$13+1,1))-AVERAGE(OFFSET($H$3,0,0,'Données projet'!$E$13+1,1))</f>
        <v>296.78766823247003</v>
      </c>
      <c r="CZ23" s="59">
        <f t="shared" si="42"/>
        <v>154.08406475869634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11</v>
      </c>
      <c r="N24" s="13">
        <f>IF('Données projet'!$A$36&gt;35,N23+M24-V23,IF(A24&lt;'Données projet'!$A$36,$K$205^A24,IF(A24='Données projet'!$A$36,'Données projet'!$B$36,N23+M24-V23)))</f>
        <v>111</v>
      </c>
      <c r="O24" s="13">
        <f>N24*VLOOKUP('Données projet'!$B$9,Paramètres!$A$1:$I$89,3,0)*VLOOKUP('Données projet'!$B$9,Paramètres!$A$1:$I$89,5,0)</f>
        <v>51.948</v>
      </c>
      <c r="P24" s="13">
        <f t="shared" si="33"/>
        <v>15.115714645211892</v>
      </c>
      <c r="Q24" s="20">
        <f t="shared" si="2"/>
        <v>116.8026363404107</v>
      </c>
      <c r="R24" s="59">
        <f t="shared" si="0"/>
        <v>399.135969673744</v>
      </c>
      <c r="S24" s="59">
        <f ca="1">AVERAGE(OFFSET($R$3,0,0,'Données projet'!$E$9+1,1))-AVERAGE(OFFSET($H$3,0,0,'Données projet'!$E$9+1,1))</f>
        <v>229.61973863654862</v>
      </c>
      <c r="T24" s="59">
        <f t="shared" si="34"/>
        <v>254.08208375594052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7.4102073318129023</v>
      </c>
      <c r="AB24" s="21">
        <f>EXP(-LN(2)/2)*AB23+(1-EXP(-LN(2)/2))/(LN(2)/2)*V24*Y24*VLOOKUP('Données projet'!$B$9,Paramètres!$A$1:$I$89,3,0)*0.475*44/12</f>
        <v>6.5944573269518925</v>
      </c>
      <c r="AC24" s="22">
        <f t="shared" si="3"/>
        <v>14.004664658764796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20.2</v>
      </c>
      <c r="AI24" s="13">
        <f>IF('Données projet'!$A$62&gt;35,AI23+AH24-AQ23,IF(A24&lt;'Données projet'!$A$62,$AF$205^A24,IF(A24='Données projet'!$A$62,'Données projet'!$B$62,AI23+AH24-AQ23)))</f>
        <v>144.20000000000002</v>
      </c>
      <c r="AJ24" s="13">
        <f>AI24*VLOOKUP('Données projet'!$B$10,Paramètres!$A$1:$I$89,3,0)*VLOOKUP('Données projet'!$B$10,Paramètres!$A$1:$I$89,5,0)</f>
        <v>86.231600000000014</v>
      </c>
      <c r="AK24" s="13">
        <f t="shared" si="35"/>
        <v>23.65412759312937</v>
      </c>
      <c r="AL24" s="20">
        <f t="shared" si="4"/>
        <v>191.38430889136703</v>
      </c>
      <c r="AM24" s="59">
        <f t="shared" si="5"/>
        <v>473.71764222470034</v>
      </c>
      <c r="AN24" s="59">
        <f ca="1">AVERAGE(OFFSET($AM$3,0,0,'Données projet'!$E$10+1,1))-AVERAGE(OFFSET($H$3,0,0,'Données projet'!$E$10+1,1))</f>
        <v>348.76139845974495</v>
      </c>
      <c r="AO24" s="59">
        <f t="shared" si="36"/>
        <v>398.5142967182872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4.1733446306696127</v>
      </c>
      <c r="AV24" s="21">
        <f>EXP(-LN(2)/25)*AV23+(1-EXP(-LN(2)/25))/(LN(2)/25)*Calculateur!AQ24*Calculateur!AS24*VLOOKUP('Données projet'!$B$10,Paramètres!$A$1:$I$89,3,0)*0.475*44/12</f>
        <v>9.2573577930730142</v>
      </c>
      <c r="AW24" s="21">
        <f>EXP(-LN(2)/2)*AW23+(1-EXP(-LN(2)/2))/(LN(2)/2)*AQ24*AT24*VLOOKUP('Données projet'!$B$10,Paramètres!$A$1:$I$89,3,0)*0.475*44/12</f>
        <v>9.5022676648285476</v>
      </c>
      <c r="AX24" s="21">
        <f t="shared" si="6"/>
        <v>22.932970088571174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</v>
      </c>
      <c r="BD24" s="12">
        <f>IF('Données projet'!$A$88&gt;35,BD23+BC24-BL23,IF(A24&lt;'Données projet'!$A$88,$BA$205^A24,IF(A24='Données projet'!$A$88,'Données projet'!$B$88,BD23+BC24-BL23)))</f>
        <v>47.6</v>
      </c>
      <c r="BE24" s="13">
        <f>BD24*VLOOKUP('Données projet'!$B$11,Paramètres!$A$1:$I$89,3,0)*VLOOKUP('Données projet'!$B$11,Paramètres!$A$1:$I$89,5,0)</f>
        <v>48.266400000000004</v>
      </c>
      <c r="BF24" s="13">
        <f t="shared" si="37"/>
        <v>14.165134590154434</v>
      </c>
      <c r="BG24" s="20">
        <f t="shared" si="7"/>
        <v>108.73492274451898</v>
      </c>
      <c r="BH24" s="59">
        <f t="shared" si="8"/>
        <v>391.06825607785231</v>
      </c>
      <c r="BI24" s="59">
        <f ca="1">AVERAGE(OFFSET($BH$3,0,0,'Données projet'!$E$11+1,1))-AVERAGE(OFFSET($H$3,0,0,'Données projet'!$E$11+1,1))</f>
        <v>413.81510455446738</v>
      </c>
      <c r="BJ24" s="59">
        <f t="shared" si="38"/>
        <v>254.25036207346602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16.566710661304302</v>
      </c>
      <c r="CA24" s="13">
        <f t="shared" si="39"/>
        <v>5.5064189146038656</v>
      </c>
      <c r="CB24" s="20">
        <f t="shared" si="10"/>
        <v>38.444034011373397</v>
      </c>
      <c r="CC24" s="59">
        <f t="shared" si="11"/>
        <v>320.7773673447067</v>
      </c>
      <c r="CD24" s="59">
        <f ca="1">AVERAGE(OFFSET($CC$3,0,0,'Données projet'!$E$12+1,1))-AVERAGE(OFFSET($H$3,0,0,'Données projet'!$E$12+1,1))</f>
        <v>292.61712942007972</v>
      </c>
      <c r="CE24" s="59">
        <f t="shared" si="40"/>
        <v>152.23954167722536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16.838296081981426</v>
      </c>
      <c r="CV24" s="13">
        <f t="shared" si="41"/>
        <v>5.5861051062554639</v>
      </c>
      <c r="CW24" s="20">
        <f t="shared" si="13"/>
        <v>39.055832069512576</v>
      </c>
      <c r="CX24" s="59">
        <f t="shared" si="14"/>
        <v>321.38916540284589</v>
      </c>
      <c r="CY24" s="59">
        <f ca="1">AVERAGE(OFFSET($CX$3,0,0,'Données projet'!$E$13+1,1))-AVERAGE(OFFSET($H$3,0,0,'Données projet'!$E$13+1,1))</f>
        <v>296.78766823247003</v>
      </c>
      <c r="CZ24" s="59">
        <f t="shared" si="42"/>
        <v>154.08406475869634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11</v>
      </c>
      <c r="N25" s="13">
        <f>IF('Données projet'!$A$36&gt;35,N24+M25-V24,IF(A25&lt;'Données projet'!$A$36,$K$205^A25,IF(A25='Données projet'!$A$36,'Données projet'!$B$36,N24+M25-V24)))</f>
        <v>122</v>
      </c>
      <c r="O25" s="13">
        <f>N25*VLOOKUP('Données projet'!$B$9,Paramètres!$A$1:$I$89,3,0)*VLOOKUP('Données projet'!$B$9,Paramètres!$A$1:$I$89,5,0)</f>
        <v>57.096000000000004</v>
      </c>
      <c r="P25" s="13">
        <f t="shared" si="33"/>
        <v>16.431940248498016</v>
      </c>
      <c r="Q25" s="20">
        <f t="shared" si="2"/>
        <v>128.06116259946739</v>
      </c>
      <c r="R25" s="59">
        <f t="shared" si="0"/>
        <v>411.61671815502291</v>
      </c>
      <c r="S25" s="59">
        <f ca="1">AVERAGE(OFFSET($R$3,0,0,'Données projet'!$E$9+1,1))-AVERAGE(OFFSET($H$3,0,0,'Données projet'!$E$9+1,1))</f>
        <v>229.61973863654862</v>
      </c>
      <c r="T25" s="59">
        <f t="shared" si="34"/>
        <v>254.08208375594052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7.2075748226386107</v>
      </c>
      <c r="AB25" s="21">
        <f>EXP(-LN(2)/2)*AB24+(1-EXP(-LN(2)/2))/(LN(2)/2)*V25*Y25*VLOOKUP('Données projet'!$B$9,Paramètres!$A$1:$I$89,3,0)*0.475*44/12</f>
        <v>4.6629854941329976</v>
      </c>
      <c r="AC25" s="22">
        <f t="shared" si="3"/>
        <v>11.870560316771609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20.2</v>
      </c>
      <c r="AI25" s="13">
        <f>IF('Données projet'!$A$62&gt;35,AI24+AH25-AQ24,IF(A25&lt;'Données projet'!$A$62,$AF$205^A25,IF(A25='Données projet'!$A$62,'Données projet'!$B$62,AI24+AH25-AQ24)))</f>
        <v>164.4</v>
      </c>
      <c r="AJ25" s="13">
        <f>AI25*VLOOKUP('Données projet'!$B$10,Paramètres!$A$1:$I$89,3,0)*VLOOKUP('Données projet'!$B$10,Paramètres!$A$1:$I$89,5,0)</f>
        <v>98.311200000000014</v>
      </c>
      <c r="AK25" s="13">
        <f t="shared" si="35"/>
        <v>26.559266282665902</v>
      </c>
      <c r="AL25" s="20">
        <f t="shared" si="4"/>
        <v>217.48272877564315</v>
      </c>
      <c r="AM25" s="59">
        <f t="shared" si="5"/>
        <v>501.03828433119872</v>
      </c>
      <c r="AN25" s="59">
        <f ca="1">AVERAGE(OFFSET($AM$3,0,0,'Données projet'!$E$10+1,1))-AVERAGE(OFFSET($H$3,0,0,'Données projet'!$E$10+1,1))</f>
        <v>348.76139845974495</v>
      </c>
      <c r="AO25" s="59">
        <f t="shared" si="36"/>
        <v>398.5142967182872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4.0915078879510602</v>
      </c>
      <c r="AV25" s="21">
        <f>EXP(-LN(2)/25)*AV24+(1-EXP(-LN(2)/25))/(LN(2)/25)*Calculateur!AQ25*Calculateur!AS25*VLOOKUP('Données projet'!$B$10,Paramètres!$A$1:$I$89,3,0)*0.475*44/12</f>
        <v>9.0042148573981446</v>
      </c>
      <c r="AW25" s="21">
        <f>EXP(-LN(2)/2)*AW24+(1-EXP(-LN(2)/2))/(LN(2)/2)*AQ25*AT25*VLOOKUP('Données projet'!$B$10,Paramètres!$A$1:$I$89,3,0)*0.475*44/12</f>
        <v>6.7191179024499261</v>
      </c>
      <c r="AX25" s="21">
        <f t="shared" si="6"/>
        <v>19.81484064779913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</v>
      </c>
      <c r="BD25" s="12">
        <f>IF('Données projet'!$A$88&gt;35,BD24+BC25-BL24,IF(A25&lt;'Données projet'!$A$88,$BA$205^A25,IF(A25='Données projet'!$A$88,'Données projet'!$B$88,BD24+BC25-BL24)))</f>
        <v>53.2</v>
      </c>
      <c r="BE25" s="13">
        <f>BD25*VLOOKUP('Données projet'!$B$11,Paramètres!$A$1:$I$89,3,0)*VLOOKUP('Données projet'!$B$11,Paramètres!$A$1:$I$89,5,0)</f>
        <v>53.944800000000008</v>
      </c>
      <c r="BF25" s="13">
        <f t="shared" si="37"/>
        <v>15.627975445731321</v>
      </c>
      <c r="BG25" s="20">
        <f t="shared" si="7"/>
        <v>121.17258390131538</v>
      </c>
      <c r="BH25" s="59">
        <f t="shared" si="8"/>
        <v>404.72813945687091</v>
      </c>
      <c r="BI25" s="59">
        <f ca="1">AVERAGE(OFFSET($BH$3,0,0,'Données projet'!$E$11+1,1))-AVERAGE(OFFSET($H$3,0,0,'Données projet'!$E$11+1,1))</f>
        <v>413.81510455446738</v>
      </c>
      <c r="BJ25" s="59">
        <f t="shared" si="38"/>
        <v>254.25036207346602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18.981089523651683</v>
      </c>
      <c r="CA25" s="13">
        <f t="shared" si="39"/>
        <v>6.2097858296733257</v>
      </c>
      <c r="CB25" s="20">
        <f t="shared" si="10"/>
        <v>43.874107907041058</v>
      </c>
      <c r="CC25" s="59">
        <f t="shared" si="11"/>
        <v>327.42966346259658</v>
      </c>
      <c r="CD25" s="59">
        <f ca="1">AVERAGE(OFFSET($CC$3,0,0,'Données projet'!$E$12+1,1))-AVERAGE(OFFSET($H$3,0,0,'Données projet'!$E$12+1,1))</f>
        <v>292.61712942007972</v>
      </c>
      <c r="CE25" s="59">
        <f t="shared" si="40"/>
        <v>152.23954167722536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19.292254925678762</v>
      </c>
      <c r="CV25" s="13">
        <f t="shared" si="41"/>
        <v>6.2996508020651527</v>
      </c>
      <c r="CW25" s="20">
        <f t="shared" si="13"/>
        <v>44.572569142487318</v>
      </c>
      <c r="CX25" s="59">
        <f t="shared" si="14"/>
        <v>328.12812469804288</v>
      </c>
      <c r="CY25" s="59">
        <f ca="1">AVERAGE(OFFSET($CX$3,0,0,'Données projet'!$E$13+1,1))-AVERAGE(OFFSET($H$3,0,0,'Données projet'!$E$13+1,1))</f>
        <v>296.78766823247003</v>
      </c>
      <c r="CZ25" s="59">
        <f t="shared" si="42"/>
        <v>154.08406475869634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</v>
      </c>
      <c r="N26" s="13">
        <f>IF('Données projet'!$A$36&gt;35,N25+M26-V25,IF(A26&lt;'Données projet'!$A$36,$K$205^A26,IF(A26='Données projet'!$A$36,'Données projet'!$B$36,N25+M26-V25)))</f>
        <v>133</v>
      </c>
      <c r="O26" s="13">
        <f>N26*VLOOKUP('Données projet'!$B$9,Paramètres!$A$1:$I$89,3,0)*VLOOKUP('Données projet'!$B$9,Paramètres!$A$1:$I$89,5,0)</f>
        <v>62.243999999999993</v>
      </c>
      <c r="P26" s="13">
        <f t="shared" si="33"/>
        <v>17.734404526076432</v>
      </c>
      <c r="Q26" s="20">
        <f t="shared" si="2"/>
        <v>139.29572121624975</v>
      </c>
      <c r="R26" s="59">
        <f t="shared" si="0"/>
        <v>424.07349899402755</v>
      </c>
      <c r="S26" s="59">
        <f ca="1">AVERAGE(OFFSET($R$3,0,0,'Données projet'!$E$9+1,1))-AVERAGE(OFFSET($H$3,0,0,'Données projet'!$E$9+1,1))</f>
        <v>229.61973863654862</v>
      </c>
      <c r="T26" s="59">
        <f t="shared" si="34"/>
        <v>254.08208375594052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7.0104833100836714</v>
      </c>
      <c r="AB26" s="21">
        <f>EXP(-LN(2)/2)*AB25+(1-EXP(-LN(2)/2))/(LN(2)/2)*V26*Y26*VLOOKUP('Données projet'!$B$9,Paramètres!$A$1:$I$89,3,0)*0.475*44/12</f>
        <v>3.2972286634759471</v>
      </c>
      <c r="AC26" s="22">
        <f t="shared" si="3"/>
        <v>10.307711973559618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20.2</v>
      </c>
      <c r="AI26" s="13">
        <f>IF('Données projet'!$A$62&gt;35,AI25+AH26-AQ25,IF(A26&lt;'Données projet'!$A$62,$AF$205^A26,IF(A26='Données projet'!$A$62,'Données projet'!$B$62,AI25+AH26-AQ25)))</f>
        <v>184.6</v>
      </c>
      <c r="AJ26" s="13">
        <f>AI26*VLOOKUP('Données projet'!$B$10,Paramètres!$A$1:$I$89,3,0)*VLOOKUP('Données projet'!$B$10,Paramètres!$A$1:$I$89,5,0)</f>
        <v>110.3908</v>
      </c>
      <c r="AK26" s="13">
        <f t="shared" si="35"/>
        <v>29.423041087469858</v>
      </c>
      <c r="AL26" s="20">
        <f t="shared" si="4"/>
        <v>243.50910656067663</v>
      </c>
      <c r="AM26" s="59">
        <f t="shared" si="5"/>
        <v>528.28688433845446</v>
      </c>
      <c r="AN26" s="59">
        <f ca="1">AVERAGE(OFFSET($AM$3,0,0,'Données projet'!$E$10+1,1))-AVERAGE(OFFSET($H$3,0,0,'Données projet'!$E$10+1,1))</f>
        <v>348.76139845974495</v>
      </c>
      <c r="AO26" s="59">
        <f t="shared" si="36"/>
        <v>398.5142967182872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4.0112759138417342</v>
      </c>
      <c r="AV26" s="21">
        <f>EXP(-LN(2)/25)*AV25+(1-EXP(-LN(2)/25))/(LN(2)/25)*Calculateur!AQ26*Calculateur!AS26*VLOOKUP('Données projet'!$B$10,Paramètres!$A$1:$I$89,3,0)*0.475*44/12</f>
        <v>8.7579941286115126</v>
      </c>
      <c r="AW26" s="21">
        <f>EXP(-LN(2)/2)*AW25+(1-EXP(-LN(2)/2))/(LN(2)/2)*AQ26*AT26*VLOOKUP('Données projet'!$B$10,Paramètres!$A$1:$I$89,3,0)*0.475*44/12</f>
        <v>4.7511338324142747</v>
      </c>
      <c r="AX26" s="21">
        <f t="shared" si="6"/>
        <v>17.520403874867522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</v>
      </c>
      <c r="BD26" s="12">
        <f>IF('Données projet'!$A$88&gt;35,BD25+BC26-BL25,IF(A26&lt;'Données projet'!$A$88,$BA$205^A26,IF(A26='Données projet'!$A$88,'Données projet'!$B$88,BD25+BC26-BL25)))</f>
        <v>58.800000000000004</v>
      </c>
      <c r="BE26" s="13">
        <f>BD26*VLOOKUP('Données projet'!$B$11,Paramètres!$A$1:$I$89,3,0)*VLOOKUP('Données projet'!$B$11,Paramètres!$A$1:$I$89,5,0)</f>
        <v>59.623200000000011</v>
      </c>
      <c r="BF26" s="13">
        <f t="shared" si="37"/>
        <v>17.072967249098898</v>
      </c>
      <c r="BG26" s="20">
        <f t="shared" si="7"/>
        <v>133.57915795884725</v>
      </c>
      <c r="BH26" s="59">
        <f t="shared" si="8"/>
        <v>418.35693573662502</v>
      </c>
      <c r="BI26" s="59">
        <f ca="1">AVERAGE(OFFSET($BH$3,0,0,'Données projet'!$E$11+1,1))-AVERAGE(OFFSET($H$3,0,0,'Données projet'!$E$11+1,1))</f>
        <v>413.81510455446738</v>
      </c>
      <c r="BJ26" s="59">
        <f t="shared" si="38"/>
        <v>254.25036207346602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21.747332157276574</v>
      </c>
      <c r="CA26" s="13">
        <f t="shared" si="39"/>
        <v>7.002997891813278</v>
      </c>
      <c r="CB26" s="20">
        <f t="shared" si="10"/>
        <v>50.073491502164835</v>
      </c>
      <c r="CC26" s="59">
        <f t="shared" si="11"/>
        <v>334.85126927994258</v>
      </c>
      <c r="CD26" s="59">
        <f ca="1">AVERAGE(OFFSET($CC$3,0,0,'Données projet'!$E$12+1,1))-AVERAGE(OFFSET($H$3,0,0,'Données projet'!$E$12+1,1))</f>
        <v>292.61712942007972</v>
      </c>
      <c r="CE26" s="59">
        <f t="shared" si="40"/>
        <v>152.23954167722536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22.103845799199142</v>
      </c>
      <c r="CV26" s="13">
        <f t="shared" si="41"/>
        <v>7.1043418398123555</v>
      </c>
      <c r="CW26" s="20">
        <f t="shared" si="13"/>
        <v>50.870926804611692</v>
      </c>
      <c r="CX26" s="59">
        <f t="shared" si="14"/>
        <v>335.64870458238948</v>
      </c>
      <c r="CY26" s="59">
        <f ca="1">AVERAGE(OFFSET($CX$3,0,0,'Données projet'!$E$13+1,1))-AVERAGE(OFFSET($H$3,0,0,'Données projet'!$E$13+1,1))</f>
        <v>296.78766823247003</v>
      </c>
      <c r="CZ26" s="59">
        <f t="shared" si="42"/>
        <v>154.08406475869634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11</v>
      </c>
      <c r="N27" s="13">
        <f>IF('Données projet'!$A$36&gt;35,N26+M27-V26,IF(A27&lt;'Données projet'!$A$36,$K$205^A27,IF(A27='Données projet'!$A$36,'Données projet'!$B$36,N26+M27-V26)))</f>
        <v>144</v>
      </c>
      <c r="O27" s="13">
        <f>N27*VLOOKUP('Données projet'!$B$9,Paramètres!$A$1:$I$89,3,0)*VLOOKUP('Données projet'!$B$9,Paramètres!$A$1:$I$89,5,0)</f>
        <v>67.391999999999996</v>
      </c>
      <c r="P27" s="13">
        <f t="shared" si="33"/>
        <v>19.02437502991798</v>
      </c>
      <c r="Q27" s="20">
        <f t="shared" si="2"/>
        <v>150.5085198437738</v>
      </c>
      <c r="R27" s="59">
        <f t="shared" si="0"/>
        <v>436.5085198437738</v>
      </c>
      <c r="S27" s="59">
        <f ca="1">AVERAGE(OFFSET($R$3,0,0,'Données projet'!$E$9+1,1))-AVERAGE(OFFSET($H$3,0,0,'Données projet'!$E$9+1,1))</f>
        <v>229.61973863654862</v>
      </c>
      <c r="T27" s="59">
        <f t="shared" si="34"/>
        <v>254.08208375594052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6.818781275304139</v>
      </c>
      <c r="AB27" s="21">
        <f>EXP(-LN(2)/2)*AB26+(1-EXP(-LN(2)/2))/(LN(2)/2)*V27*Y27*VLOOKUP('Données projet'!$B$9,Paramètres!$A$1:$I$89,3,0)*0.475*44/12</f>
        <v>2.3314927470664992</v>
      </c>
      <c r="AC27" s="22">
        <f t="shared" si="3"/>
        <v>9.1502740223706382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20.2</v>
      </c>
      <c r="AI27" s="13">
        <f>IF('Données projet'!$A$62&gt;35,AI26+AH27-AQ26,IF(A27&lt;'Données projet'!$A$62,$AF$205^A27,IF(A27='Données projet'!$A$62,'Données projet'!$B$62,AI26+AH27-AQ26)))</f>
        <v>204.79999999999998</v>
      </c>
      <c r="AJ27" s="13">
        <f>AI27*VLOOKUP('Données projet'!$B$10,Paramètres!$A$1:$I$89,3,0)*VLOOKUP('Données projet'!$B$10,Paramètres!$A$1:$I$89,5,0)</f>
        <v>122.4704</v>
      </c>
      <c r="AK27" s="13">
        <f t="shared" si="35"/>
        <v>32.250494410521227</v>
      </c>
      <c r="AL27" s="20">
        <f t="shared" si="4"/>
        <v>269.47222443165776</v>
      </c>
      <c r="AM27" s="59">
        <f t="shared" si="5"/>
        <v>555.47222443165776</v>
      </c>
      <c r="AN27" s="59">
        <f ca="1">AVERAGE(OFFSET($AM$3,0,0,'Données projet'!$E$10+1,1))-AVERAGE(OFFSET($H$3,0,0,'Données projet'!$E$10+1,1))</f>
        <v>348.76139845974495</v>
      </c>
      <c r="AO27" s="59">
        <f t="shared" si="36"/>
        <v>398.5142967182872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3.9326172398080201</v>
      </c>
      <c r="AV27" s="21">
        <f>EXP(-LN(2)/25)*AV26+(1-EXP(-LN(2)/25))/(LN(2)/25)*Calculateur!AQ27*Calculateur!AS27*VLOOKUP('Données projet'!$B$10,Paramètres!$A$1:$I$89,3,0)*0.475*44/12</f>
        <v>8.5185063186017356</v>
      </c>
      <c r="AW27" s="21">
        <f>EXP(-LN(2)/2)*AW26+(1-EXP(-LN(2)/2))/(LN(2)/2)*AQ27*AT27*VLOOKUP('Données projet'!$B$10,Paramètres!$A$1:$I$89,3,0)*0.475*44/12</f>
        <v>3.3595589512249635</v>
      </c>
      <c r="AX27" s="21">
        <f t="shared" si="6"/>
        <v>15.810682509634718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5.6</v>
      </c>
      <c r="BD27" s="12">
        <f>IF('Données projet'!$A$88&gt;35,BD26+BC27-BL26,IF(A27&lt;'Données projet'!$A$88,$BA$205^A27,IF(A27='Données projet'!$A$88,'Données projet'!$B$88,BD26+BC27-BL26)))</f>
        <v>64.400000000000006</v>
      </c>
      <c r="BE27" s="13">
        <f>BD27*VLOOKUP('Données projet'!$B$11,Paramètres!$A$1:$I$89,3,0)*VLOOKUP('Données projet'!$B$11,Paramètres!$A$1:$I$89,5,0)</f>
        <v>65.301600000000008</v>
      </c>
      <c r="BF27" s="13">
        <f t="shared" si="37"/>
        <v>18.502003309535596</v>
      </c>
      <c r="BG27" s="20">
        <f t="shared" si="7"/>
        <v>145.95794243077449</v>
      </c>
      <c r="BH27" s="59">
        <f t="shared" si="8"/>
        <v>431.95794243077449</v>
      </c>
      <c r="BI27" s="59">
        <f ca="1">AVERAGE(OFFSET($BH$3,0,0,'Données projet'!$E$11+1,1))-AVERAGE(OFFSET($H$3,0,0,'Données projet'!$E$11+1,1))</f>
        <v>413.81510455446738</v>
      </c>
      <c r="BJ27" s="59">
        <f t="shared" si="38"/>
        <v>254.25036207346602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24.91671805085759</v>
      </c>
      <c r="CA27" s="13">
        <f t="shared" si="39"/>
        <v>7.8975315442273644</v>
      </c>
      <c r="CB27" s="20">
        <f t="shared" si="10"/>
        <v>57.151484711439622</v>
      </c>
      <c r="CC27" s="59">
        <f t="shared" si="11"/>
        <v>343.15148471143959</v>
      </c>
      <c r="CD27" s="59">
        <f ca="1">AVERAGE(OFFSET($CC$3,0,0,'Données projet'!$E$12+1,1))-AVERAGE(OFFSET($H$3,0,0,'Données projet'!$E$12+1,1))</f>
        <v>292.61712942007972</v>
      </c>
      <c r="CE27" s="59">
        <f t="shared" si="40"/>
        <v>152.23954167722536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25.325188838576565</v>
      </c>
      <c r="CV27" s="13">
        <f t="shared" si="41"/>
        <v>8.0118207441534324</v>
      </c>
      <c r="CW27" s="20">
        <f t="shared" si="13"/>
        <v>58.061958356588072</v>
      </c>
      <c r="CX27" s="59">
        <f t="shared" si="14"/>
        <v>344.06195835658809</v>
      </c>
      <c r="CY27" s="59">
        <f ca="1">AVERAGE(OFFSET($CX$3,0,0,'Données projet'!$E$13+1,1))-AVERAGE(OFFSET($H$3,0,0,'Données projet'!$E$13+1,1))</f>
        <v>296.78766823247003</v>
      </c>
      <c r="CZ27" s="59">
        <f t="shared" si="42"/>
        <v>154.08406475869634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11</v>
      </c>
      <c r="N28" s="13">
        <f>IF('Données projet'!$A$36&gt;35,N27+M28-V27,IF(A28&lt;'Données projet'!$A$36,$K$205^A28,IF(A28='Données projet'!$A$36,'Données projet'!$B$36,N27+M28-V27)))</f>
        <v>155</v>
      </c>
      <c r="O28" s="13">
        <f>N28*VLOOKUP('Données projet'!$B$9,Paramètres!$A$1:$I$89,3,0)*VLOOKUP('Données projet'!$B$9,Paramètres!$A$1:$I$89,5,0)</f>
        <v>72.539999999999992</v>
      </c>
      <c r="P28" s="13">
        <f t="shared" si="33"/>
        <v>20.302914660456786</v>
      </c>
      <c r="Q28" s="20">
        <f t="shared" si="2"/>
        <v>161.70140970029556</v>
      </c>
      <c r="R28" s="59">
        <f t="shared" si="0"/>
        <v>448.92363192251776</v>
      </c>
      <c r="S28" s="59">
        <f ca="1">AVERAGE(OFFSET($R$3,0,0,'Données projet'!$E$9+1,1))-AVERAGE(OFFSET($H$3,0,0,'Données projet'!$E$9+1,1))</f>
        <v>229.61973863654862</v>
      </c>
      <c r="T28" s="59">
        <f t="shared" si="34"/>
        <v>254.08208375594052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6.6323213427468248</v>
      </c>
      <c r="AB28" s="21">
        <f>EXP(-LN(2)/2)*AB27+(1-EXP(-LN(2)/2))/(LN(2)/2)*V28*Y28*VLOOKUP('Données projet'!$B$9,Paramètres!$A$1:$I$89,3,0)*0.475*44/12</f>
        <v>1.6486143317379738</v>
      </c>
      <c r="AC28" s="22">
        <f t="shared" si="3"/>
        <v>8.2809356744847982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225</v>
      </c>
      <c r="AG28" s="12">
        <f>VLOOKUP(A28,'Données projet'!$A$61:$I$81,9,0)</f>
        <v>20.2</v>
      </c>
      <c r="AH28" s="12">
        <f t="array" ref="AH28">INDEX(AG:AG,MIN(IF(ISNUMBER(AG28:AG224),ROW(AG28:AG224),"")))</f>
        <v>20.2</v>
      </c>
      <c r="AI28" s="13">
        <f>IF('Données projet'!$A$62&gt;35,AI27+AH28-AQ27,IF(A28&lt;'Données projet'!$A$62,$AF$205^A28,IF(A28='Données projet'!$A$62,'Données projet'!$B$62,AI27+AH28-AQ27)))</f>
        <v>224.99999999999997</v>
      </c>
      <c r="AJ28" s="13">
        <f>AI28*VLOOKUP('Données projet'!$B$10,Paramètres!$A$1:$I$89,3,0)*VLOOKUP('Données projet'!$B$10,Paramètres!$A$1:$I$89,5,0)</f>
        <v>134.54999999999998</v>
      </c>
      <c r="AK28" s="13">
        <f t="shared" si="35"/>
        <v>35.045616486142094</v>
      </c>
      <c r="AL28" s="20">
        <f t="shared" si="4"/>
        <v>295.37903204669743</v>
      </c>
      <c r="AM28" s="59">
        <f t="shared" si="5"/>
        <v>582.60125426891966</v>
      </c>
      <c r="AN28" s="59">
        <f ca="1">AVERAGE(OFFSET($AM$3,0,0,'Données projet'!$E$10+1,1))-AVERAGE(OFFSET($H$3,0,0,'Données projet'!$E$10+1,1))</f>
        <v>348.76139845974495</v>
      </c>
      <c r="AO28" s="59">
        <f t="shared" si="36"/>
        <v>398.5142967182872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56</v>
      </c>
      <c r="AR28" s="16">
        <f>IF(ISNA(VLOOKUP(A28,'Données projet'!$A$61:$I$81,5,0)),0%,VLOOKUP(A28,'Données projet'!$A$61:$I$81,5,0)*VLOOKUP('Données projet'!$B$10,Paramètres!$A$1:$I$89,7,0))</f>
        <v>0.13500000000000001</v>
      </c>
      <c r="AS28" s="16">
        <f>IF(ISNA(VLOOKUP(A28,'Données projet'!$A$61:$I$81,6,0)),0%,VLOOKUP(A28,'Données projet'!$A$61:$I$81,6,0)*VLOOKUP('Données projet'!$B$10,Paramètres!$A$1:$I$89,7,0))</f>
        <v>0.17550000000000002</v>
      </c>
      <c r="AT28" s="16">
        <f>IF(ISNA(VLOOKUP(A28,'Données projet'!$A$61:$I$81,7,0)),0%,VLOOKUP(A28,'Données projet'!$A$61:$I$81,7,0))</f>
        <v>0.31</v>
      </c>
      <c r="AU28" s="21">
        <f>EXP(-LN(2)/35)*AU27+(1-EXP(-LN(2)/35))/(LN(2)/35)*AQ28*AR28*VLOOKUP('Données projet'!$B$10,Paramètres!$A$1:$I$89,3,0)*0.475*44/12</f>
        <v>9.852739729702563</v>
      </c>
      <c r="AV28" s="21">
        <f>EXP(-LN(2)/25)*AV27+(1-EXP(-LN(2)/25))/(LN(2)/25)*Calculateur!AQ28*Calculateur!AS28*VLOOKUP('Données projet'!$B$10,Paramètres!$A$1:$I$89,3,0)*0.475*44/12</f>
        <v>16.051280207116509</v>
      </c>
      <c r="AW28" s="21">
        <f>EXP(-LN(2)/2)*AW27+(1-EXP(-LN(2)/2))/(LN(2)/2)*AQ28*AT28*VLOOKUP('Données projet'!$B$10,Paramètres!$A$1:$I$89,3,0)*0.475*44/12</f>
        <v>14.129587421872687</v>
      </c>
      <c r="AX28" s="21">
        <f t="shared" si="6"/>
        <v>40.033607358691761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70</v>
      </c>
      <c r="BB28" s="12">
        <f>VLOOKUP(A28,'Données projet'!$A$87:$I$107,9,0)</f>
        <v>5.6</v>
      </c>
      <c r="BC28" s="12">
        <f t="array" ref="BC28">INDEX(BB:BB,MIN(IF(ISNUMBER(BB28:BB224),ROW(BB28:BB224),"")))</f>
        <v>5.6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70.98</v>
      </c>
      <c r="BF28" s="13">
        <f t="shared" si="37"/>
        <v>19.916628839746853</v>
      </c>
      <c r="BG28" s="20">
        <f t="shared" si="7"/>
        <v>158.31162856255909</v>
      </c>
      <c r="BH28" s="59">
        <f t="shared" si="8"/>
        <v>445.53385078478129</v>
      </c>
      <c r="BI28" s="59">
        <f ca="1">AVERAGE(OFFSET($BH$3,0,0,'Données projet'!$E$11+1,1))-AVERAGE(OFFSET($H$3,0,0,'Données projet'!$E$11+1,1))</f>
        <v>413.81510455446738</v>
      </c>
      <c r="BJ28" s="59">
        <f t="shared" si="38"/>
        <v>254.25036207346602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28.548000000000002</v>
      </c>
      <c r="CA28" s="13">
        <f t="shared" si="39"/>
        <v>8.9063291829603273</v>
      </c>
      <c r="CB28" s="20">
        <f t="shared" si="10"/>
        <v>65.232956660322571</v>
      </c>
      <c r="CC28" s="59">
        <f t="shared" si="11"/>
        <v>352.45517888254483</v>
      </c>
      <c r="CD28" s="59">
        <f ca="1">AVERAGE(OFFSET($CC$3,0,0,'Données projet'!$E$12+1,1))-AVERAGE(OFFSET($H$3,0,0,'Données projet'!$E$12+1,1))</f>
        <v>292.61712942007972</v>
      </c>
      <c r="CE28" s="59">
        <f t="shared" si="40"/>
        <v>152.23954167722536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29.016000000000002</v>
      </c>
      <c r="CV28" s="13">
        <f t="shared" si="41"/>
        <v>9.0352172071357728</v>
      </c>
      <c r="CW28" s="20">
        <f t="shared" si="13"/>
        <v>66.272536635761469</v>
      </c>
      <c r="CX28" s="59">
        <f t="shared" si="14"/>
        <v>353.4947588579837</v>
      </c>
      <c r="CY28" s="59">
        <f ca="1">AVERAGE(OFFSET($CX$3,0,0,'Données projet'!$E$13+1,1))-AVERAGE(OFFSET($H$3,0,0,'Données projet'!$E$13+1,1))</f>
        <v>296.78766823247003</v>
      </c>
      <c r="CZ28" s="59">
        <f t="shared" si="42"/>
        <v>154.08406475869634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</v>
      </c>
      <c r="N29" s="13">
        <f>IF('Données projet'!$A$36&gt;35,N28+M29-V28,IF(A29&lt;'Données projet'!$A$36,$K$205^A29,IF(A29='Données projet'!$A$36,'Données projet'!$B$36,N28+M29-V28)))</f>
        <v>166</v>
      </c>
      <c r="O29" s="13">
        <f>N29*VLOOKUP('Données projet'!$B$9,Paramètres!$A$1:$I$89,3,0)*VLOOKUP('Données projet'!$B$9,Paramètres!$A$1:$I$89,5,0)</f>
        <v>77.688000000000002</v>
      </c>
      <c r="P29" s="13">
        <f t="shared" si="33"/>
        <v>21.570926907728207</v>
      </c>
      <c r="Q29" s="20">
        <f t="shared" si="2"/>
        <v>172.87596436429328</v>
      </c>
      <c r="R29" s="59">
        <f t="shared" si="0"/>
        <v>461.32040880873774</v>
      </c>
      <c r="S29" s="59">
        <f ca="1">AVERAGE(OFFSET($R$3,0,0,'Données projet'!$E$9+1,1))-AVERAGE(OFFSET($H$3,0,0,'Données projet'!$E$9+1,1))</f>
        <v>229.61973863654862</v>
      </c>
      <c r="T29" s="59">
        <f t="shared" si="34"/>
        <v>254.08208375594052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6.4509601668507921</v>
      </c>
      <c r="AB29" s="21">
        <f>EXP(-LN(2)/2)*AB28+(1-EXP(-LN(2)/2))/(LN(2)/2)*V29*Y29*VLOOKUP('Données projet'!$B$9,Paramètres!$A$1:$I$89,3,0)*0.475*44/12</f>
        <v>1.1657463735332498</v>
      </c>
      <c r="AC29" s="22">
        <f t="shared" si="3"/>
        <v>7.6167065403840422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21.6</v>
      </c>
      <c r="AI29" s="13">
        <f>IF('Données projet'!$A$62&gt;35,AI28+AH29-AQ28,IF(A29&lt;'Données projet'!$A$62,$AF$205^A29,IF(A29='Données projet'!$A$62,'Données projet'!$B$62,AI28+AH29-AQ28)))</f>
        <v>190.59999999999997</v>
      </c>
      <c r="AJ29" s="13">
        <f>AI29*VLOOKUP('Données projet'!$B$10,Paramètres!$A$1:$I$89,3,0)*VLOOKUP('Données projet'!$B$10,Paramètres!$A$1:$I$89,5,0)</f>
        <v>113.97879999999999</v>
      </c>
      <c r="AK29" s="13">
        <f t="shared" si="35"/>
        <v>30.266473511018898</v>
      </c>
      <c r="AL29" s="20">
        <f t="shared" si="4"/>
        <v>251.22718469835789</v>
      </c>
      <c r="AM29" s="59">
        <f t="shared" si="5"/>
        <v>539.67162914280232</v>
      </c>
      <c r="AN29" s="59">
        <f ca="1">AVERAGE(OFFSET($AM$3,0,0,'Données projet'!$E$10+1,1))-AVERAGE(OFFSET($H$3,0,0,'Données projet'!$E$10+1,1))</f>
        <v>348.76139845974495</v>
      </c>
      <c r="AO29" s="59">
        <f t="shared" si="36"/>
        <v>398.5142967182872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9.6595335131809339</v>
      </c>
      <c r="AV29" s="21">
        <f>EXP(-LN(2)/25)*AV28+(1-EXP(-LN(2)/25))/(LN(2)/25)*Calculateur!AQ29*Calculateur!AS29*VLOOKUP('Données projet'!$B$10,Paramètres!$A$1:$I$89,3,0)*0.475*44/12</f>
        <v>15.612357105752768</v>
      </c>
      <c r="AW29" s="21">
        <f>EXP(-LN(2)/2)*AW28+(1-EXP(-LN(2)/2))/(LN(2)/2)*AQ29*AT29*VLOOKUP('Données projet'!$B$10,Paramètres!$A$1:$I$89,3,0)*0.475*44/12</f>
        <v>9.9911270813743247</v>
      </c>
      <c r="AX29" s="21">
        <f t="shared" si="6"/>
        <v>35.263017700308026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5.4</v>
      </c>
      <c r="BD29" s="12">
        <f>IF('Données projet'!$A$88&gt;35,BD28+BC29-BL28,IF(A29&lt;'Données projet'!$A$88,$BA$205^A29,IF(A29='Données projet'!$A$88,'Données projet'!$B$88,BD28+BC29-BL28)))</f>
        <v>75.400000000000006</v>
      </c>
      <c r="BE29" s="13">
        <f>BD29*VLOOKUP('Données projet'!$B$11,Paramètres!$A$1:$I$89,3,0)*VLOOKUP('Données projet'!$B$11,Paramètres!$A$1:$I$89,5,0)</f>
        <v>76.455600000000004</v>
      </c>
      <c r="BF29" s="13">
        <f t="shared" si="37"/>
        <v>21.268287536105685</v>
      </c>
      <c r="BG29" s="20">
        <f t="shared" si="7"/>
        <v>170.20243745871741</v>
      </c>
      <c r="BH29" s="59">
        <f t="shared" si="8"/>
        <v>458.6468819031619</v>
      </c>
      <c r="BI29" s="59">
        <f ca="1">AVERAGE(OFFSET($BH$3,0,0,'Données projet'!$E$11+1,1))-AVERAGE(OFFSET($H$3,0,0,'Données projet'!$E$11+1,1))</f>
        <v>413.81510455446738</v>
      </c>
      <c r="BJ29" s="59">
        <f t="shared" si="38"/>
        <v>254.25036207346602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33.115679999999998</v>
      </c>
      <c r="CA29" s="13">
        <f t="shared" si="39"/>
        <v>10.154389597618938</v>
      </c>
      <c r="CB29" s="20">
        <f t="shared" si="10"/>
        <v>75.36203788251963</v>
      </c>
      <c r="CC29" s="59">
        <f t="shared" si="11"/>
        <v>363.8064823269641</v>
      </c>
      <c r="CD29" s="59">
        <f ca="1">AVERAGE(OFFSET($CC$3,0,0,'Données projet'!$E$12+1,1))-AVERAGE(OFFSET($H$3,0,0,'Données projet'!$E$12+1,1))</f>
        <v>292.61712942007972</v>
      </c>
      <c r="CE29" s="59">
        <f t="shared" si="40"/>
        <v>152.23954167722536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33.658559999999994</v>
      </c>
      <c r="CV29" s="13">
        <f t="shared" si="41"/>
        <v>10.301338939492439</v>
      </c>
      <c r="CW29" s="20">
        <f t="shared" si="13"/>
        <v>76.563490652949312</v>
      </c>
      <c r="CX29" s="59">
        <f t="shared" si="14"/>
        <v>365.00793509739378</v>
      </c>
      <c r="CY29" s="59">
        <f ca="1">AVERAGE(OFFSET($CX$3,0,0,'Données projet'!$E$13+1,1))-AVERAGE(OFFSET($H$3,0,0,'Données projet'!$E$13+1,1))</f>
        <v>296.78766823247003</v>
      </c>
      <c r="CZ29" s="59">
        <f t="shared" si="42"/>
        <v>154.08406475869634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</v>
      </c>
      <c r="N30" s="13">
        <f>IF('Données projet'!$A$36&gt;35,N29+M30-V29,IF(A30&lt;'Données projet'!$A$36,$K$205^A30,IF(A30='Données projet'!$A$36,'Données projet'!$B$36,N29+M30-V29)))</f>
        <v>177</v>
      </c>
      <c r="O30" s="13">
        <f>N30*VLOOKUP('Données projet'!$B$9,Paramètres!$A$1:$I$89,3,0)*VLOOKUP('Données projet'!$B$9,Paramètres!$A$1:$I$89,5,0)</f>
        <v>82.835999999999999</v>
      </c>
      <c r="P30" s="13">
        <f t="shared" si="33"/>
        <v>22.829188748646022</v>
      </c>
      <c r="Q30" s="20">
        <f t="shared" si="2"/>
        <v>184.03353707055848</v>
      </c>
      <c r="R30" s="59">
        <f t="shared" si="0"/>
        <v>473.70020373722514</v>
      </c>
      <c r="S30" s="59">
        <f ca="1">AVERAGE(OFFSET($R$3,0,0,'Données projet'!$E$9+1,1))-AVERAGE(OFFSET($H$3,0,0,'Données projet'!$E$9+1,1))</f>
        <v>229.61973863654862</v>
      </c>
      <c r="T30" s="59">
        <f t="shared" si="34"/>
        <v>254.08208375594052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6.2745583218470058</v>
      </c>
      <c r="AB30" s="21">
        <f>EXP(-LN(2)/2)*AB29+(1-EXP(-LN(2)/2))/(LN(2)/2)*V30*Y30*VLOOKUP('Données projet'!$B$9,Paramètres!$A$1:$I$89,3,0)*0.475*44/12</f>
        <v>0.824307165868987</v>
      </c>
      <c r="AC30" s="22">
        <f t="shared" si="3"/>
        <v>7.0988654877159929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21.6</v>
      </c>
      <c r="AI30" s="13">
        <f>IF('Données projet'!$A$62&gt;35,AI29+AH30-AQ29,IF(A30&lt;'Données projet'!$A$62,$AF$205^A30,IF(A30='Données projet'!$A$62,'Données projet'!$B$62,AI29+AH30-AQ29)))</f>
        <v>212.19999999999996</v>
      </c>
      <c r="AJ30" s="13">
        <f>AI30*VLOOKUP('Données projet'!$B$10,Paramètres!$A$1:$I$89,3,0)*VLOOKUP('Données projet'!$B$10,Paramètres!$A$1:$I$89,5,0)</f>
        <v>126.89559999999997</v>
      </c>
      <c r="AK30" s="13">
        <f t="shared" si="35"/>
        <v>33.278017701950297</v>
      </c>
      <c r="AL30" s="20">
        <f t="shared" si="4"/>
        <v>278.96905083089666</v>
      </c>
      <c r="AM30" s="59">
        <f t="shared" si="5"/>
        <v>568.63571749756329</v>
      </c>
      <c r="AN30" s="59">
        <f ca="1">AVERAGE(OFFSET($AM$3,0,0,'Données projet'!$E$10+1,1))-AVERAGE(OFFSET($H$3,0,0,'Données projet'!$E$10+1,1))</f>
        <v>348.76139845974495</v>
      </c>
      <c r="AO30" s="59">
        <f t="shared" si="36"/>
        <v>398.5142967182872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9.4701159527211392</v>
      </c>
      <c r="AV30" s="21">
        <f>EXP(-LN(2)/25)*AV29+(1-EXP(-LN(2)/25))/(LN(2)/25)*Calculateur!AQ30*Calculateur!AS30*VLOOKUP('Données projet'!$B$10,Paramètres!$A$1:$I$89,3,0)*0.475*44/12</f>
        <v>15.18543637967778</v>
      </c>
      <c r="AW30" s="21">
        <f>EXP(-LN(2)/2)*AW29+(1-EXP(-LN(2)/2))/(LN(2)/2)*AQ30*AT30*VLOOKUP('Données projet'!$B$10,Paramètres!$A$1:$I$89,3,0)*0.475*44/12</f>
        <v>7.0647937109363443</v>
      </c>
      <c r="AX30" s="21">
        <f t="shared" si="6"/>
        <v>31.720346043335262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5.4</v>
      </c>
      <c r="BD30" s="12">
        <f>IF('Données projet'!$A$88&gt;35,BD29+BC30-BL29,IF(A30&lt;'Données projet'!$A$88,$BA$205^A30,IF(A30='Données projet'!$A$88,'Données projet'!$B$88,BD29+BC30-BL29)))</f>
        <v>80.800000000000011</v>
      </c>
      <c r="BE30" s="13">
        <f>BD30*VLOOKUP('Données projet'!$B$11,Paramètres!$A$1:$I$89,3,0)*VLOOKUP('Données projet'!$B$11,Paramètres!$A$1:$I$89,5,0)</f>
        <v>81.931200000000018</v>
      </c>
      <c r="BF30" s="13">
        <f t="shared" si="37"/>
        <v>22.608715052719766</v>
      </c>
      <c r="BG30" s="20">
        <f t="shared" si="7"/>
        <v>182.07368538348692</v>
      </c>
      <c r="BH30" s="59">
        <f t="shared" si="8"/>
        <v>471.7403520501536</v>
      </c>
      <c r="BI30" s="59">
        <f ca="1">AVERAGE(OFFSET($BH$3,0,0,'Données projet'!$E$11+1,1))-AVERAGE(OFFSET($H$3,0,0,'Données projet'!$E$11+1,1))</f>
        <v>413.81510455446738</v>
      </c>
      <c r="BJ30" s="59">
        <f t="shared" si="38"/>
        <v>254.25036207346602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37.683359999999993</v>
      </c>
      <c r="CA30" s="13">
        <f t="shared" si="39"/>
        <v>11.382505490682499</v>
      </c>
      <c r="CB30" s="20">
        <f t="shared" si="10"/>
        <v>85.456382396271991</v>
      </c>
      <c r="CC30" s="59">
        <f t="shared" si="11"/>
        <v>375.12304906293866</v>
      </c>
      <c r="CD30" s="59">
        <f ca="1">AVERAGE(OFFSET($CC$3,0,0,'Données projet'!$E$12+1,1))-AVERAGE(OFFSET($H$3,0,0,'Données projet'!$E$12+1,1))</f>
        <v>292.61712942007972</v>
      </c>
      <c r="CE30" s="59">
        <f t="shared" si="40"/>
        <v>152.23954167722536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38.301119999999997</v>
      </c>
      <c r="CV30" s="13">
        <f t="shared" si="41"/>
        <v>11.547227522927502</v>
      </c>
      <c r="CW30" s="20">
        <f t="shared" si="13"/>
        <v>86.819205269098731</v>
      </c>
      <c r="CX30" s="59">
        <f t="shared" si="14"/>
        <v>376.48587193576543</v>
      </c>
      <c r="CY30" s="59">
        <f ca="1">AVERAGE(OFFSET($CX$3,0,0,'Données projet'!$E$13+1,1))-AVERAGE(OFFSET($H$3,0,0,'Données projet'!$E$13+1,1))</f>
        <v>296.78766823247003</v>
      </c>
      <c r="CZ30" s="59">
        <f t="shared" si="42"/>
        <v>154.08406475869634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</v>
      </c>
      <c r="N31" s="13">
        <f>IF('Données projet'!$A$36&gt;35,N30+M31-V30,IF(A31&lt;'Données projet'!$A$36,$K$205^A31,IF(A31='Données projet'!$A$36,'Données projet'!$B$36,N30+M31-V30)))</f>
        <v>188</v>
      </c>
      <c r="O31" s="13">
        <f>N31*VLOOKUP('Données projet'!$B$9,Paramètres!$A$1:$I$89,3,0)*VLOOKUP('Données projet'!$B$9,Paramètres!$A$1:$I$89,5,0)</f>
        <v>87.983999999999995</v>
      </c>
      <c r="P31" s="13">
        <f t="shared" si="33"/>
        <v>24.078375128721785</v>
      </c>
      <c r="Q31" s="20">
        <f t="shared" si="2"/>
        <v>195.17530334919044</v>
      </c>
      <c r="R31" s="59">
        <f t="shared" si="0"/>
        <v>486.06419223807927</v>
      </c>
      <c r="S31" s="59">
        <f ca="1">AVERAGE(OFFSET($R$3,0,0,'Données projet'!$E$9+1,1))-AVERAGE(OFFSET($H$3,0,0,'Données projet'!$E$9+1,1))</f>
        <v>229.61973863654862</v>
      </c>
      <c r="T31" s="59">
        <f t="shared" si="34"/>
        <v>254.08208375594052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6.1029801945714182</v>
      </c>
      <c r="AB31" s="21">
        <f>EXP(-LN(2)/2)*AB30+(1-EXP(-LN(2)/2))/(LN(2)/2)*V31*Y31*VLOOKUP('Données projet'!$B$9,Paramètres!$A$1:$I$89,3,0)*0.475*44/12</f>
        <v>0.58287318676662492</v>
      </c>
      <c r="AC31" s="22">
        <f t="shared" si="3"/>
        <v>6.6858533813380427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21.6</v>
      </c>
      <c r="AI31" s="13">
        <f>IF('Données projet'!$A$62&gt;35,AI30+AH31-AQ30,IF(A31&lt;'Données projet'!$A$62,$AF$205^A31,IF(A31='Données projet'!$A$62,'Données projet'!$B$62,AI30+AH31-AQ30)))</f>
        <v>233.79999999999995</v>
      </c>
      <c r="AJ31" s="13">
        <f>AI31*VLOOKUP('Données projet'!$B$10,Paramètres!$A$1:$I$89,3,0)*VLOOKUP('Données projet'!$B$10,Paramètres!$A$1:$I$89,5,0)</f>
        <v>139.8124</v>
      </c>
      <c r="AK31" s="13">
        <f t="shared" si="35"/>
        <v>36.254025616047976</v>
      </c>
      <c r="AL31" s="20">
        <f t="shared" si="4"/>
        <v>306.64902461461685</v>
      </c>
      <c r="AM31" s="59">
        <f t="shared" si="5"/>
        <v>597.53791350350571</v>
      </c>
      <c r="AN31" s="59">
        <f ca="1">AVERAGE(OFFSET($AM$3,0,0,'Données projet'!$E$10+1,1))-AVERAGE(OFFSET($H$3,0,0,'Données projet'!$E$10+1,1))</f>
        <v>348.76139845974495</v>
      </c>
      <c r="AO31" s="59">
        <f t="shared" si="36"/>
        <v>398.5142967182872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9.2844127550886562</v>
      </c>
      <c r="AV31" s="21">
        <f>EXP(-LN(2)/25)*AV30+(1-EXP(-LN(2)/25))/(LN(2)/25)*Calculateur!AQ31*Calculateur!AS31*VLOOKUP('Données projet'!$B$10,Paramètres!$A$1:$I$89,3,0)*0.475*44/12</f>
        <v>14.770189823308099</v>
      </c>
      <c r="AW31" s="21">
        <f>EXP(-LN(2)/2)*AW30+(1-EXP(-LN(2)/2))/(LN(2)/2)*AQ31*AT31*VLOOKUP('Données projet'!$B$10,Paramètres!$A$1:$I$89,3,0)*0.475*44/12</f>
        <v>4.9955635406871632</v>
      </c>
      <c r="AX31" s="21">
        <f t="shared" si="6"/>
        <v>29.050166119083919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5.4</v>
      </c>
      <c r="BD31" s="12">
        <f>IF('Données projet'!$A$88&gt;35,BD30+BC31-BL30,IF(A31&lt;'Données projet'!$A$88,$BA$205^A31,IF(A31='Données projet'!$A$88,'Données projet'!$B$88,BD30+BC31-BL30)))</f>
        <v>86.200000000000017</v>
      </c>
      <c r="BE31" s="13">
        <f>BD31*VLOOKUP('Données projet'!$B$11,Paramètres!$A$1:$I$89,3,0)*VLOOKUP('Données projet'!$B$11,Paramètres!$A$1:$I$89,5,0)</f>
        <v>87.406800000000032</v>
      </c>
      <c r="BF31" s="13">
        <f t="shared" si="37"/>
        <v>23.938747393012555</v>
      </c>
      <c r="BG31" s="20">
        <f t="shared" si="7"/>
        <v>193.9268283761636</v>
      </c>
      <c r="BH31" s="59">
        <f t="shared" si="8"/>
        <v>484.81571726505246</v>
      </c>
      <c r="BI31" s="59">
        <f ca="1">AVERAGE(OFFSET($BH$3,0,0,'Données projet'!$E$11+1,1))-AVERAGE(OFFSET($H$3,0,0,'Données projet'!$E$11+1,1))</f>
        <v>413.81510455446738</v>
      </c>
      <c r="BJ31" s="59">
        <f t="shared" si="38"/>
        <v>254.25036207346602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42.251039999999989</v>
      </c>
      <c r="CA31" s="13">
        <f t="shared" si="39"/>
        <v>12.593370905616945</v>
      </c>
      <c r="CB31" s="20">
        <f t="shared" si="10"/>
        <v>95.520682327282813</v>
      </c>
      <c r="CC31" s="59">
        <f t="shared" si="11"/>
        <v>386.40957121617168</v>
      </c>
      <c r="CD31" s="59">
        <f ca="1">AVERAGE(OFFSET($CC$3,0,0,'Données projet'!$E$12+1,1))-AVERAGE(OFFSET($H$3,0,0,'Données projet'!$E$12+1,1))</f>
        <v>292.61712942007972</v>
      </c>
      <c r="CE31" s="59">
        <f t="shared" si="40"/>
        <v>152.23954167722536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42.943679999999993</v>
      </c>
      <c r="CV31" s="13">
        <f t="shared" si="41"/>
        <v>12.775615987781539</v>
      </c>
      <c r="CW31" s="20">
        <f t="shared" si="13"/>
        <v>97.044440512052844</v>
      </c>
      <c r="CX31" s="59">
        <f t="shared" si="14"/>
        <v>387.93332940094172</v>
      </c>
      <c r="CY31" s="59">
        <f ca="1">AVERAGE(OFFSET($CX$3,0,0,'Données projet'!$E$13+1,1))-AVERAGE(OFFSET($H$3,0,0,'Données projet'!$E$13+1,1))</f>
        <v>296.78766823247003</v>
      </c>
      <c r="CZ31" s="59">
        <f t="shared" si="42"/>
        <v>154.08406475869634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</v>
      </c>
      <c r="N32" s="13">
        <f>IF('Données projet'!$A$36&gt;35,N31+M32-V31,IF(A32&lt;'Données projet'!$A$36,$K$205^A32,IF(A32='Données projet'!$A$36,'Données projet'!$B$36,N31+M32-V31)))</f>
        <v>199</v>
      </c>
      <c r="O32" s="13">
        <f>N32*VLOOKUP('Données projet'!$B$9,Paramètres!$A$1:$I$89,3,0)*VLOOKUP('Données projet'!$B$9,Paramètres!$A$1:$I$89,5,0)</f>
        <v>93.132000000000005</v>
      </c>
      <c r="P32" s="13">
        <f t="shared" si="33"/>
        <v>25.319077548810455</v>
      </c>
      <c r="Q32" s="20">
        <f t="shared" si="2"/>
        <v>206.30229339751153</v>
      </c>
      <c r="R32" s="59">
        <f t="shared" si="0"/>
        <v>498.41340450862265</v>
      </c>
      <c r="S32" s="59">
        <f ca="1">AVERAGE(OFFSET($R$3,0,0,'Données projet'!$E$9+1,1))-AVERAGE(OFFSET($H$3,0,0,'Données projet'!$E$9+1,1))</f>
        <v>229.61973863654862</v>
      </c>
      <c r="T32" s="59">
        <f t="shared" si="34"/>
        <v>254.08208375594052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5.936093880209083</v>
      </c>
      <c r="AB32" s="21">
        <f>EXP(-LN(2)/2)*AB31+(1-EXP(-LN(2)/2))/(LN(2)/2)*V32*Y32*VLOOKUP('Données projet'!$B$9,Paramètres!$A$1:$I$89,3,0)*0.475*44/12</f>
        <v>0.4121535829344935</v>
      </c>
      <c r="AC32" s="22">
        <f t="shared" si="3"/>
        <v>6.3482474631435766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21.6</v>
      </c>
      <c r="AI32" s="13">
        <f>IF('Données projet'!$A$62&gt;35,AI31+AH32-AQ31,IF(A32&lt;'Données projet'!$A$62,$AF$205^A32,IF(A32='Données projet'!$A$62,'Données projet'!$B$62,AI31+AH32-AQ31)))</f>
        <v>255.39999999999995</v>
      </c>
      <c r="AJ32" s="13">
        <f>AI32*VLOOKUP('Données projet'!$B$10,Paramètres!$A$1:$I$89,3,0)*VLOOKUP('Données projet'!$B$10,Paramètres!$A$1:$I$89,5,0)</f>
        <v>152.72919999999999</v>
      </c>
      <c r="AK32" s="13">
        <f t="shared" si="35"/>
        <v>39.198153748932519</v>
      </c>
      <c r="AL32" s="20">
        <f t="shared" si="4"/>
        <v>334.27347444605743</v>
      </c>
      <c r="AM32" s="59">
        <f t="shared" si="5"/>
        <v>626.38458555716852</v>
      </c>
      <c r="AN32" s="59">
        <f ca="1">AVERAGE(OFFSET($AM$3,0,0,'Données projet'!$E$10+1,1))-AVERAGE(OFFSET($H$3,0,0,'Données projet'!$E$10+1,1))</f>
        <v>348.76139845974495</v>
      </c>
      <c r="AO32" s="59">
        <f t="shared" si="36"/>
        <v>398.5142967182872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9.1023510838939803</v>
      </c>
      <c r="AV32" s="21">
        <f>EXP(-LN(2)/25)*AV31+(1-EXP(-LN(2)/25))/(LN(2)/25)*Calculateur!AQ32*Calculateur!AS32*VLOOKUP('Données projet'!$B$10,Paramètres!$A$1:$I$89,3,0)*0.475*44/12</f>
        <v>14.366298205859215</v>
      </c>
      <c r="AW32" s="21">
        <f>EXP(-LN(2)/2)*AW31+(1-EXP(-LN(2)/2))/(LN(2)/2)*AQ32*AT32*VLOOKUP('Données projet'!$B$10,Paramètres!$A$1:$I$89,3,0)*0.475*44/12</f>
        <v>3.5323968554681726</v>
      </c>
      <c r="AX32" s="21">
        <f t="shared" si="6"/>
        <v>27.001046145221366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5.4</v>
      </c>
      <c r="BD32" s="12">
        <f>IF('Données projet'!$A$88&gt;35,BD31+BC32-BL31,IF(A32&lt;'Données projet'!$A$88,$BA$205^A32,IF(A32='Données projet'!$A$88,'Données projet'!$B$88,BD31+BC32-BL31)))</f>
        <v>91.600000000000023</v>
      </c>
      <c r="BE32" s="13">
        <f>BD32*VLOOKUP('Données projet'!$B$11,Paramètres!$A$1:$I$89,3,0)*VLOOKUP('Données projet'!$B$11,Paramètres!$A$1:$I$89,5,0)</f>
        <v>92.882400000000018</v>
      </c>
      <c r="BF32" s="13">
        <f t="shared" si="37"/>
        <v>25.259109897273174</v>
      </c>
      <c r="BG32" s="20">
        <f t="shared" si="7"/>
        <v>205.7631297377508</v>
      </c>
      <c r="BH32" s="59">
        <f t="shared" si="8"/>
        <v>497.87424084886197</v>
      </c>
      <c r="BI32" s="59">
        <f ca="1">AVERAGE(OFFSET($BH$3,0,0,'Données projet'!$E$11+1,1))-AVERAGE(OFFSET($H$3,0,0,'Données projet'!$E$11+1,1))</f>
        <v>413.81510455446738</v>
      </c>
      <c r="BJ32" s="59">
        <f t="shared" si="38"/>
        <v>254.25036207346602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46.818719999999992</v>
      </c>
      <c r="CA32" s="13">
        <f t="shared" si="39"/>
        <v>13.789063354733791</v>
      </c>
      <c r="CB32" s="20">
        <f t="shared" si="10"/>
        <v>105.55855600949467</v>
      </c>
      <c r="CC32" s="59">
        <f t="shared" si="11"/>
        <v>397.66966712060582</v>
      </c>
      <c r="CD32" s="59">
        <f ca="1">AVERAGE(OFFSET($CC$3,0,0,'Données projet'!$E$12+1,1))-AVERAGE(OFFSET($H$3,0,0,'Données projet'!$E$12+1,1))</f>
        <v>292.61712942007972</v>
      </c>
      <c r="CE32" s="59">
        <f t="shared" si="40"/>
        <v>152.23954167722536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47.586239999999989</v>
      </c>
      <c r="CV32" s="13">
        <f t="shared" si="41"/>
        <v>13.98861191110446</v>
      </c>
      <c r="CW32" s="20">
        <f t="shared" si="13"/>
        <v>107.2428670785069</v>
      </c>
      <c r="CX32" s="59">
        <f t="shared" si="14"/>
        <v>399.35397818961803</v>
      </c>
      <c r="CY32" s="59">
        <f ca="1">AVERAGE(OFFSET($CX$3,0,0,'Données projet'!$E$13+1,1))-AVERAGE(OFFSET($H$3,0,0,'Données projet'!$E$13+1,1))</f>
        <v>296.78766823247003</v>
      </c>
      <c r="CZ32" s="59">
        <f t="shared" si="42"/>
        <v>154.08406475869634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210</v>
      </c>
      <c r="L33" s="12">
        <f>VLOOKUP(A33,'Données projet'!$A$35:$I$55,9,0)</f>
        <v>11</v>
      </c>
      <c r="M33" s="12">
        <f t="array" ref="M33">INDEX(L:L,MIN(IF(ISNUMBER(L33:L229),ROW(L33:L229),"")))</f>
        <v>11</v>
      </c>
      <c r="N33" s="13">
        <f>IF('Données projet'!$A$36&gt;35,N32+M33-V32,IF(A33&lt;'Données projet'!$A$36,$K$205^A33,IF(A33='Données projet'!$A$36,'Données projet'!$B$36,N32+M33-V32)))</f>
        <v>210</v>
      </c>
      <c r="O33" s="13">
        <f>N33*VLOOKUP('Données projet'!$B$9,Paramètres!$A$1:$I$89,3,0)*VLOOKUP('Données projet'!$B$9,Paramètres!$A$1:$I$89,5,0)</f>
        <v>98.28</v>
      </c>
      <c r="P33" s="13">
        <f t="shared" si="33"/>
        <v>26.551818424463473</v>
      </c>
      <c r="Q33" s="20">
        <f t="shared" si="2"/>
        <v>217.41541708927389</v>
      </c>
      <c r="R33" s="59">
        <f t="shared" si="0"/>
        <v>510.7487504226072</v>
      </c>
      <c r="S33" s="59">
        <f ca="1">AVERAGE(OFFSET($R$3,0,0,'Données projet'!$E$9+1,1))-AVERAGE(OFFSET($H$3,0,0,'Données projet'!$E$9+1,1))</f>
        <v>229.61973863654862</v>
      </c>
      <c r="T33" s="59">
        <f t="shared" si="34"/>
        <v>254.08208375594052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0.30800000000000005</v>
      </c>
      <c r="Y33" s="16">
        <f>IF(ISNA(VLOOKUP(A33,'Données projet'!$A$35:$I$55,7,0)),0%,VLOOKUP(A33,'Données projet'!$A$35:$I$55,7,0))</f>
        <v>0.35</v>
      </c>
      <c r="Z33" s="21">
        <f>EXP(-LN(2)/35)*Z32+(1-EXP(-LN(2)/35))/(LN(2)/35)*V33*W33*VLOOKUP('Données projet'!$B$9,Paramètres!$A$1:$I$89,3,0)*0.475*44/12</f>
        <v>3.4145769083013771</v>
      </c>
      <c r="AA33" s="21">
        <f>EXP(-LN(2)/25)*AA32+(1-EXP(-LN(2)/25))/(LN(2)/25)*Calculateur!V33*Calculateur!X33*VLOOKUP('Données projet'!$B$9,Paramètres!$A$1:$I$89,3,0)*0.475*44/12</f>
        <v>15.296941851170409</v>
      </c>
      <c r="AB33" s="21">
        <f>EXP(-LN(2)/2)*AB32+(1-EXP(-LN(2)/2))/(LN(2)/2)*V33*Y33*VLOOKUP('Données projet'!$B$9,Paramètres!$A$1:$I$89,3,0)*0.475*44/12</f>
        <v>9.5644191101250673</v>
      </c>
      <c r="AC33" s="22">
        <f t="shared" si="3"/>
        <v>28.275937869596852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277</v>
      </c>
      <c r="AG33" s="12">
        <f>VLOOKUP(A33,'Données projet'!$A$61:$I$81,9,0)</f>
        <v>21.6</v>
      </c>
      <c r="AH33" s="12">
        <f t="array" ref="AH33">INDEX(AG:AG,MIN(IF(ISNUMBER(AG33:AG229),ROW(AG33:AG229),"")))</f>
        <v>21.6</v>
      </c>
      <c r="AI33" s="13">
        <f>IF('Données projet'!$A$62&gt;35,AI32+AH33-AQ32,IF(A33&lt;'Données projet'!$A$62,$AF$205^A33,IF(A33='Données projet'!$A$62,'Données projet'!$B$62,AI32+AH33-AQ32)))</f>
        <v>276.99999999999994</v>
      </c>
      <c r="AJ33" s="13">
        <f>AI33*VLOOKUP('Données projet'!$B$10,Paramètres!$A$1:$I$89,3,0)*VLOOKUP('Données projet'!$B$10,Paramètres!$A$1:$I$89,5,0)</f>
        <v>165.64599999999996</v>
      </c>
      <c r="AK33" s="13">
        <f t="shared" si="35"/>
        <v>42.113404814327666</v>
      </c>
      <c r="AL33" s="20">
        <f t="shared" si="4"/>
        <v>361.84763005162063</v>
      </c>
      <c r="AM33" s="59">
        <f t="shared" si="5"/>
        <v>655.18096338495388</v>
      </c>
      <c r="AN33" s="59">
        <f ca="1">AVERAGE(OFFSET($AM$3,0,0,'Données projet'!$E$10+1,1))-AVERAGE(OFFSET($H$3,0,0,'Données projet'!$E$10+1,1))</f>
        <v>348.76139845974495</v>
      </c>
      <c r="AO33" s="59">
        <f t="shared" si="36"/>
        <v>398.5142967182872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0.18000000000000002</v>
      </c>
      <c r="AS33" s="16">
        <f>IF(ISNA(VLOOKUP(A33,'Données projet'!$A$61:$I$81,6,0)),0%,VLOOKUP(A33,'Données projet'!$A$61:$I$81,6,0)*VLOOKUP('Données projet'!$B$10,Paramètres!$A$1:$I$89,7,0))</f>
        <v>0.15300000000000002</v>
      </c>
      <c r="AT33" s="16">
        <f>IF(ISNA(VLOOKUP(A33,'Données projet'!$A$61:$I$81,7,0)),0%,VLOOKUP(A33,'Données projet'!$A$61:$I$81,7,0))</f>
        <v>0.26</v>
      </c>
      <c r="AU33" s="21">
        <f>EXP(-LN(2)/35)*AU32+(1-EXP(-LN(2)/35))/(LN(2)/35)*AQ33*AR33*VLOOKUP('Données projet'!$B$10,Paramètres!$A$1:$I$89,3,0)*0.475*44/12</f>
        <v>16.920177818101457</v>
      </c>
      <c r="AV33" s="21">
        <f>EXP(-LN(2)/25)*AV32+(1-EXP(-LN(2)/25))/(LN(2)/25)*Calculateur!AQ33*Calculateur!AS33*VLOOKUP('Données projet'!$B$10,Paramètres!$A$1:$I$89,3,0)*0.475*44/12</f>
        <v>20.743559700801882</v>
      </c>
      <c r="AW33" s="21">
        <f>EXP(-LN(2)/2)*AW32+(1-EXP(-LN(2)/2))/(LN(2)/2)*AQ33*AT33*VLOOKUP('Données projet'!$B$10,Paramètres!$A$1:$I$89,3,0)*0.475*44/12</f>
        <v>12.355992517030819</v>
      </c>
      <c r="AX33" s="21">
        <f t="shared" si="6"/>
        <v>50.01973003593416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5.4</v>
      </c>
      <c r="BC33" s="12">
        <f t="array" ref="BC33">INDEX(BB:BB,MIN(IF(ISNUMBER(BB33:BB229),ROW(BB33:BB229),"")))</f>
        <v>5.4</v>
      </c>
      <c r="BD33" s="12">
        <f>IF('Données projet'!$A$88&gt;35,BD32+BC33-BL32,IF(A33&lt;'Données projet'!$A$88,$BA$205^A33,IF(A33='Données projet'!$A$88,'Données projet'!$B$88,BD32+BC33-BL32)))</f>
        <v>97.000000000000028</v>
      </c>
      <c r="BE33" s="13">
        <f>BD33*VLOOKUP('Données projet'!$B$11,Paramètres!$A$1:$I$89,3,0)*VLOOKUP('Données projet'!$B$11,Paramètres!$A$1:$I$89,5,0)</f>
        <v>98.358000000000033</v>
      </c>
      <c r="BF33" s="13">
        <f t="shared" si="37"/>
        <v>26.570437554143147</v>
      </c>
      <c r="BG33" s="20">
        <f t="shared" si="7"/>
        <v>217.58369540679939</v>
      </c>
      <c r="BH33" s="59">
        <f t="shared" si="8"/>
        <v>510.91702874013271</v>
      </c>
      <c r="BI33" s="59">
        <f ca="1">AVERAGE(OFFSET($BH$3,0,0,'Données projet'!$E$11+1,1))-AVERAGE(OFFSET($H$3,0,0,'Données projet'!$E$11+1,1))</f>
        <v>413.81510455446738</v>
      </c>
      <c r="BJ33" s="59">
        <f t="shared" si="38"/>
        <v>254.25036207346602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51.386399999999988</v>
      </c>
      <c r="CA33" s="13">
        <f t="shared" si="39"/>
        <v>14.971231585009825</v>
      </c>
      <c r="CB33" s="20">
        <f t="shared" si="10"/>
        <v>115.57287501055875</v>
      </c>
      <c r="CC33" s="59">
        <f t="shared" si="11"/>
        <v>408.90620834389205</v>
      </c>
      <c r="CD33" s="59">
        <f ca="1">AVERAGE(OFFSET($CC$3,0,0,'Données projet'!$E$12+1,1))-AVERAGE(OFFSET($H$3,0,0,'Données projet'!$E$12+1,1))</f>
        <v>292.61712942007972</v>
      </c>
      <c r="CE33" s="59">
        <f t="shared" si="40"/>
        <v>152.23954167722536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52.228799999999985</v>
      </c>
      <c r="CV33" s="13">
        <f t="shared" si="41"/>
        <v>15.187887899730002</v>
      </c>
      <c r="CW33" s="20">
        <f t="shared" si="13"/>
        <v>117.41739809202973</v>
      </c>
      <c r="CX33" s="59">
        <f t="shared" si="14"/>
        <v>410.75073142536303</v>
      </c>
      <c r="CY33" s="59">
        <f ca="1">AVERAGE(OFFSET($CX$3,0,0,'Données projet'!$E$13+1,1))-AVERAGE(OFFSET($H$3,0,0,'Données projet'!$E$13+1,1))</f>
        <v>296.78766823247003</v>
      </c>
      <c r="CZ33" s="59">
        <f t="shared" si="42"/>
        <v>154.08406475869634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</v>
      </c>
      <c r="N34" s="13">
        <f>IF('Données projet'!$A$36&gt;35,N33+M34-V33,IF(A34&lt;'Données projet'!$A$36,$K$205^A34,IF(A34='Données projet'!$A$36,'Données projet'!$B$36,N33+M34-V33)))</f>
        <v>174</v>
      </c>
      <c r="O34" s="13">
        <f>N34*VLOOKUP('Données projet'!$B$9,Paramètres!$A$1:$I$89,3,0)*VLOOKUP('Données projet'!$B$9,Paramètres!$A$1:$I$89,5,0)</f>
        <v>81.432000000000002</v>
      </c>
      <c r="P34" s="13">
        <f t="shared" si="33"/>
        <v>22.486953220240881</v>
      </c>
      <c r="Q34" s="20">
        <f t="shared" si="2"/>
        <v>180.99217685858619</v>
      </c>
      <c r="R34" s="59">
        <f t="shared" si="0"/>
        <v>474.32551019191953</v>
      </c>
      <c r="S34" s="59">
        <f ca="1">AVERAGE(OFFSET($R$3,0,0,'Données projet'!$E$9+1,1))-AVERAGE(OFFSET($H$3,0,0,'Données projet'!$E$9+1,1))</f>
        <v>229.61973863654862</v>
      </c>
      <c r="T34" s="59">
        <f t="shared" si="34"/>
        <v>254.08208375594052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3.3476191378158529</v>
      </c>
      <c r="AA34" s="21">
        <f>EXP(-LN(2)/25)*AA33+(1-EXP(-LN(2)/25))/(LN(2)/25)*Calculateur!V34*Calculateur!X34*VLOOKUP('Données projet'!$B$9,Paramètres!$A$1:$I$89,3,0)*0.475*44/12</f>
        <v>14.878646171818945</v>
      </c>
      <c r="AB34" s="21">
        <f>EXP(-LN(2)/2)*AB33+(1-EXP(-LN(2)/2))/(LN(2)/2)*V34*Y34*VLOOKUP('Données projet'!$B$9,Paramètres!$A$1:$I$89,3,0)*0.475*44/12</f>
        <v>6.7630656108796403</v>
      </c>
      <c r="AC34" s="22">
        <f t="shared" si="3"/>
        <v>24.989330920514437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21.8</v>
      </c>
      <c r="AI34" s="13">
        <f>IF('Données projet'!$A$62&gt;35,AI33+AH34-AQ33,IF(A34&lt;'Données projet'!$A$62,$AF$205^A34,IF(A34='Données projet'!$A$62,'Données projet'!$B$62,AI33+AH34-AQ33)))</f>
        <v>242.79999999999995</v>
      </c>
      <c r="AJ34" s="13">
        <f>AI34*VLOOKUP('Données projet'!$B$10,Paramètres!$A$1:$I$89,3,0)*VLOOKUP('Données projet'!$B$10,Paramètres!$A$1:$I$89,5,0)</f>
        <v>145.1944</v>
      </c>
      <c r="AK34" s="13">
        <f t="shared" si="35"/>
        <v>37.484434798807726</v>
      </c>
      <c r="AL34" s="20">
        <f t="shared" si="4"/>
        <v>318.1656372745901</v>
      </c>
      <c r="AM34" s="59">
        <f t="shared" si="5"/>
        <v>611.49897060792341</v>
      </c>
      <c r="AN34" s="59">
        <f ca="1">AVERAGE(OFFSET($AM$3,0,0,'Données projet'!$E$10+1,1))-AVERAGE(OFFSET($H$3,0,0,'Données projet'!$E$10+1,1))</f>
        <v>348.76139845974495</v>
      </c>
      <c r="AO34" s="59">
        <f t="shared" si="36"/>
        <v>398.5142967182872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16.588383451377911</v>
      </c>
      <c r="AV34" s="21">
        <f>EXP(-LN(2)/25)*AV33+(1-EXP(-LN(2)/25))/(LN(2)/25)*Calculateur!AQ34*Calculateur!AS34*VLOOKUP('Données projet'!$B$10,Paramètres!$A$1:$I$89,3,0)*0.475*44/12</f>
        <v>20.17632596992706</v>
      </c>
      <c r="AW34" s="21">
        <f>EXP(-LN(2)/2)*AW33+(1-EXP(-LN(2)/2))/(LN(2)/2)*AQ34*AT34*VLOOKUP('Données projet'!$B$10,Paramètres!$A$1:$I$89,3,0)*0.475*44/12</f>
        <v>8.7370060970827303</v>
      </c>
      <c r="AX34" s="21">
        <f t="shared" si="6"/>
        <v>45.501715518387698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</v>
      </c>
      <c r="BD34" s="12">
        <f>IF('Données projet'!$A$88&gt;35,BD33+BC34-BL33,IF(A34&lt;'Données projet'!$A$88,$BA$205^A34,IF(A34='Données projet'!$A$88,'Données projet'!$B$88,BD33+BC34-BL33)))</f>
        <v>100.80000000000003</v>
      </c>
      <c r="BE34" s="13">
        <f>BD34*VLOOKUP('Données projet'!$B$11,Paramètres!$A$1:$I$89,3,0)*VLOOKUP('Données projet'!$B$11,Paramètres!$A$1:$I$89,5,0)</f>
        <v>102.21120000000005</v>
      </c>
      <c r="BF34" s="13">
        <f t="shared" si="37"/>
        <v>27.488113037666043</v>
      </c>
      <c r="BG34" s="20">
        <f t="shared" si="7"/>
        <v>225.89297020726841</v>
      </c>
      <c r="BH34" s="59">
        <f t="shared" si="8"/>
        <v>519.22630354060175</v>
      </c>
      <c r="BI34" s="59">
        <f ca="1">AVERAGE(OFFSET($BH$3,0,0,'Données projet'!$E$11+1,1))-AVERAGE(OFFSET($H$3,0,0,'Données projet'!$E$11+1,1))</f>
        <v>413.81510455446738</v>
      </c>
      <c r="BJ34" s="59">
        <f t="shared" si="38"/>
        <v>254.25036207346602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</v>
      </c>
      <c r="BY34" s="12">
        <f>IF('Données projet'!$A$114&gt;35,BY33+BX34-CG33,IF(A34&lt;'Données projet'!$A$114,$BV$205^A34,IF(A34='Données projet'!$A$114,'Données projet'!$B$114,BY33+BX34-CG33)))</f>
        <v>58.999999999999986</v>
      </c>
      <c r="BZ34" s="13">
        <f>BY34*VLOOKUP('Données projet'!$B$12,Paramètres!$A$1:$I$89,3,0)*VLOOKUP('Données projet'!$B$12,Paramètres!$A$1:$I$89,5,0)</f>
        <v>56.144399999999983</v>
      </c>
      <c r="CA34" s="13">
        <f t="shared" si="39"/>
        <v>16.189716344887636</v>
      </c>
      <c r="CB34" s="20">
        <f t="shared" si="10"/>
        <v>125.98191930067928</v>
      </c>
      <c r="CC34" s="59">
        <f t="shared" si="11"/>
        <v>419.31525263401261</v>
      </c>
      <c r="CD34" s="59">
        <f ca="1">AVERAGE(OFFSET($CC$3,0,0,'Données projet'!$E$12+1,1))-AVERAGE(OFFSET($H$3,0,0,'Données projet'!$E$12+1,1))</f>
        <v>292.61712942007972</v>
      </c>
      <c r="CE34" s="59">
        <f t="shared" si="40"/>
        <v>152.23954167722536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</v>
      </c>
      <c r="CT34" s="12">
        <f>IF('Données projet'!$A$140&gt;35,CT33+CS34-DB33,IF(A34&lt;'Données projet'!$A$140,$CQ$205^A34,IF(A34='Données projet'!$A$140,'Données projet'!$B$140,CT33+CS34-DB33)))</f>
        <v>58.999999999999986</v>
      </c>
      <c r="CU34" s="17">
        <f>CT34*VLOOKUP('Données projet'!$B$13,Paramètres!$A$1:$I$89,3,0)*VLOOKUP('Données projet'!$B$13,Paramètres!$A$1:$I$89,5,0)</f>
        <v>57.064799999999991</v>
      </c>
      <c r="CV34" s="13">
        <f t="shared" si="41"/>
        <v>16.424005972947381</v>
      </c>
      <c r="CW34" s="20">
        <f t="shared" si="13"/>
        <v>127.99300373621668</v>
      </c>
      <c r="CX34" s="59">
        <f t="shared" si="14"/>
        <v>421.32633706954999</v>
      </c>
      <c r="CY34" s="59">
        <f ca="1">AVERAGE(OFFSET($CX$3,0,0,'Données projet'!$E$13+1,1))-AVERAGE(OFFSET($H$3,0,0,'Données projet'!$E$13+1,1))</f>
        <v>296.78766823247003</v>
      </c>
      <c r="CZ34" s="59">
        <f t="shared" si="42"/>
        <v>154.08406475869634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</v>
      </c>
      <c r="N35" s="13">
        <f>IF('Données projet'!$A$36&gt;35,N34+M35-V34,IF(A35&lt;'Données projet'!$A$36,$K$205^A35,IF(A35='Données projet'!$A$36,'Données projet'!$B$36,N34+M35-V34)))</f>
        <v>188</v>
      </c>
      <c r="O35" s="13">
        <f>N35*VLOOKUP('Données projet'!$B$9,Paramètres!$A$1:$I$89,3,0)*VLOOKUP('Données projet'!$B$9,Paramètres!$A$1:$I$89,5,0)</f>
        <v>87.983999999999995</v>
      </c>
      <c r="P35" s="13">
        <f t="shared" si="33"/>
        <v>24.078375128721785</v>
      </c>
      <c r="Q35" s="20">
        <f t="shared" ref="Q35:Q66" si="53">(O35+P35)*0.475*44/12</f>
        <v>195.17530334919044</v>
      </c>
      <c r="R35" s="59">
        <f t="shared" si="0"/>
        <v>488.50863668252373</v>
      </c>
      <c r="S35" s="59">
        <f ca="1">AVERAGE(OFFSET($R$3,0,0,'Données projet'!$E$9+1,1))-AVERAGE(OFFSET($H$3,0,0,'Données projet'!$E$9+1,1))</f>
        <v>229.61973863654862</v>
      </c>
      <c r="T35" s="59">
        <f t="shared" si="34"/>
        <v>254.08208375594052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3.2819743683693425</v>
      </c>
      <c r="AA35" s="21">
        <f>EXP(-LN(2)/25)*AA34+(1-EXP(-LN(2)/25))/(LN(2)/25)*Calculateur!V35*Calculateur!X35*VLOOKUP('Données projet'!$B$9,Paramètres!$A$1:$I$89,3,0)*0.475*44/12</f>
        <v>14.471788809816559</v>
      </c>
      <c r="AB35" s="21">
        <f>EXP(-LN(2)/2)*AB34+(1-EXP(-LN(2)/2))/(LN(2)/2)*V35*Y35*VLOOKUP('Données projet'!$B$9,Paramètres!$A$1:$I$89,3,0)*0.475*44/12</f>
        <v>4.7822095550625345</v>
      </c>
      <c r="AC35" s="22">
        <f t="shared" si="3"/>
        <v>22.535972733248435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21.8</v>
      </c>
      <c r="AI35" s="13">
        <f>IF('Données projet'!$A$62&gt;35,AI34+AH35-AQ34,IF(A35&lt;'Données projet'!$A$62,$AF$205^A35,IF(A35='Données projet'!$A$62,'Données projet'!$B$62,AI34+AH35-AQ34)))</f>
        <v>264.59999999999997</v>
      </c>
      <c r="AJ35" s="13">
        <f>AI35*VLOOKUP('Données projet'!$B$10,Paramètres!$A$1:$I$89,3,0)*VLOOKUP('Données projet'!$B$10,Paramètres!$A$1:$I$89,5,0)</f>
        <v>158.23079999999999</v>
      </c>
      <c r="AK35" s="13">
        <f t="shared" si="35"/>
        <v>40.443209539379019</v>
      </c>
      <c r="AL35" s="20">
        <f t="shared" si="4"/>
        <v>346.02389994775172</v>
      </c>
      <c r="AM35" s="59">
        <f t="shared" si="5"/>
        <v>639.35723328108497</v>
      </c>
      <c r="AN35" s="59">
        <f ca="1">AVERAGE(OFFSET($AM$3,0,0,'Données projet'!$E$10+1,1))-AVERAGE(OFFSET($H$3,0,0,'Données projet'!$E$10+1,1))</f>
        <v>348.76139845974495</v>
      </c>
      <c r="AO35" s="59">
        <f t="shared" si="36"/>
        <v>398.5142967182872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16.263095369811236</v>
      </c>
      <c r="AV35" s="21">
        <f>EXP(-LN(2)/25)*AV34+(1-EXP(-LN(2)/25))/(LN(2)/25)*Calculateur!AQ35*Calculateur!AS35*VLOOKUP('Données projet'!$B$10,Paramètres!$A$1:$I$89,3,0)*0.475*44/12</f>
        <v>19.624603275252536</v>
      </c>
      <c r="AW35" s="21">
        <f>EXP(-LN(2)/2)*AW34+(1-EXP(-LN(2)/2))/(LN(2)/2)*AQ35*AT35*VLOOKUP('Données projet'!$B$10,Paramètres!$A$1:$I$89,3,0)*0.475*44/12</f>
        <v>6.1779962585154102</v>
      </c>
      <c r="AX35" s="21">
        <f t="shared" si="6"/>
        <v>42.065694903579185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</v>
      </c>
      <c r="BD35" s="12">
        <f>IF('Données projet'!$A$88&gt;35,BD34+BC35-BL34,IF(A35&lt;'Données projet'!$A$88,$BA$205^A35,IF(A35='Données projet'!$A$88,'Données projet'!$B$88,BD34+BC35-BL34)))</f>
        <v>104.60000000000002</v>
      </c>
      <c r="BE35" s="13">
        <f>BD35*VLOOKUP('Données projet'!$B$11,Paramètres!$A$1:$I$89,3,0)*VLOOKUP('Données projet'!$B$11,Paramètres!$A$1:$I$89,5,0)</f>
        <v>106.06440000000003</v>
      </c>
      <c r="BF35" s="13">
        <f t="shared" si="37"/>
        <v>28.401769490459468</v>
      </c>
      <c r="BG35" s="20">
        <f t="shared" si="7"/>
        <v>234.19524519588359</v>
      </c>
      <c r="BH35" s="59">
        <f t="shared" si="8"/>
        <v>527.52857852921693</v>
      </c>
      <c r="BI35" s="59">
        <f ca="1">AVERAGE(OFFSET($BH$3,0,0,'Données projet'!$E$11+1,1))-AVERAGE(OFFSET($H$3,0,0,'Données projet'!$E$11+1,1))</f>
        <v>413.81510455446738</v>
      </c>
      <c r="BJ35" s="59">
        <f t="shared" si="38"/>
        <v>254.25036207346602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</v>
      </c>
      <c r="BY35" s="12">
        <f>IF('Données projet'!$A$114&gt;35,BY34+BX35-CG34,IF(A35&lt;'Données projet'!$A$114,$BV$205^A35,IF(A35='Données projet'!$A$114,'Données projet'!$B$114,BY34+BX35-CG34)))</f>
        <v>63.999999999999986</v>
      </c>
      <c r="BZ35" s="13">
        <f>BY35*VLOOKUP('Données projet'!$B$12,Paramètres!$A$1:$I$89,3,0)*VLOOKUP('Données projet'!$B$12,Paramètres!$A$1:$I$89,5,0)</f>
        <v>60.902399999999993</v>
      </c>
      <c r="CA35" s="13">
        <f t="shared" si="39"/>
        <v>17.396225443744882</v>
      </c>
      <c r="CB35" s="20">
        <f t="shared" si="10"/>
        <v>136.37010598118897</v>
      </c>
      <c r="CC35" s="59">
        <f t="shared" si="11"/>
        <v>429.70343931452226</v>
      </c>
      <c r="CD35" s="59">
        <f ca="1">AVERAGE(OFFSET($CC$3,0,0,'Données projet'!$E$12+1,1))-AVERAGE(OFFSET($H$3,0,0,'Données projet'!$E$12+1,1))</f>
        <v>292.61712942007972</v>
      </c>
      <c r="CE35" s="59">
        <f t="shared" si="40"/>
        <v>152.23954167722536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</v>
      </c>
      <c r="CT35" s="12">
        <f>IF('Données projet'!$A$140&gt;35,CT34+CS35-DB34,IF(A35&lt;'Données projet'!$A$140,$CQ$205^A35,IF(A35='Données projet'!$A$140,'Données projet'!$B$140,CT34+CS35-DB34)))</f>
        <v>63.999999999999986</v>
      </c>
      <c r="CU35" s="17">
        <f>CT35*VLOOKUP('Données projet'!$B$13,Paramètres!$A$1:$I$89,3,0)*VLOOKUP('Données projet'!$B$13,Paramètres!$A$1:$I$89,5,0)</f>
        <v>61.90079999999999</v>
      </c>
      <c r="CV35" s="13">
        <f t="shared" si="41"/>
        <v>17.647975079256284</v>
      </c>
      <c r="CW35" s="20">
        <f t="shared" si="13"/>
        <v>138.54744992970467</v>
      </c>
      <c r="CX35" s="59">
        <f t="shared" si="14"/>
        <v>431.88078326303798</v>
      </c>
      <c r="CY35" s="59">
        <f ca="1">AVERAGE(OFFSET($CX$3,0,0,'Données projet'!$E$13+1,1))-AVERAGE(OFFSET($H$3,0,0,'Données projet'!$E$13+1,1))</f>
        <v>296.78766823247003</v>
      </c>
      <c r="CZ35" s="59">
        <f t="shared" si="42"/>
        <v>154.08406475869634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</v>
      </c>
      <c r="N36" s="13">
        <f>IF('Données projet'!$A$36&gt;35,N35+M36-V35,IF(A36&lt;'Données projet'!$A$36,$K$205^A36,IF(A36='Données projet'!$A$36,'Données projet'!$B$36,N35+M36-V35)))</f>
        <v>202</v>
      </c>
      <c r="O36" s="13">
        <f>N36*VLOOKUP('Données projet'!$B$9,Paramètres!$A$1:$I$89,3,0)*VLOOKUP('Données projet'!$B$9,Paramètres!$A$1:$I$89,5,0)</f>
        <v>94.536000000000001</v>
      </c>
      <c r="P36" s="13">
        <f t="shared" si="33"/>
        <v>25.656048664271697</v>
      </c>
      <c r="Q36" s="20">
        <f t="shared" si="53"/>
        <v>209.33448475693987</v>
      </c>
      <c r="R36" s="59">
        <f t="shared" si="0"/>
        <v>502.66781809027316</v>
      </c>
      <c r="S36" s="59">
        <f ca="1">AVERAGE(OFFSET($R$3,0,0,'Données projet'!$E$9+1,1))-AVERAGE(OFFSET($H$3,0,0,'Données projet'!$E$9+1,1))</f>
        <v>229.61973863654862</v>
      </c>
      <c r="T36" s="59">
        <f t="shared" si="34"/>
        <v>254.08208375594052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3.2176168528123226</v>
      </c>
      <c r="AA36" s="21">
        <f>EXP(-LN(2)/25)*AA35+(1-EXP(-LN(2)/25))/(LN(2)/25)*Calculateur!V36*Calculateur!X36*VLOOKUP('Données projet'!$B$9,Paramètres!$A$1:$I$89,3,0)*0.475*44/12</f>
        <v>14.076056983773828</v>
      </c>
      <c r="AB36" s="21">
        <f>EXP(-LN(2)/2)*AB35+(1-EXP(-LN(2)/2))/(LN(2)/2)*V36*Y36*VLOOKUP('Données projet'!$B$9,Paramètres!$A$1:$I$89,3,0)*0.475*44/12</f>
        <v>3.3815328054398206</v>
      </c>
      <c r="AC36" s="22">
        <f t="shared" si="3"/>
        <v>20.675206642025973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21.8</v>
      </c>
      <c r="AI36" s="13">
        <f>IF('Données projet'!$A$62&gt;35,AI35+AH36-AQ35,IF(A36&lt;'Données projet'!$A$62,$AF$205^A36,IF(A36='Données projet'!$A$62,'Données projet'!$B$62,AI35+AH36-AQ35)))</f>
        <v>286.39999999999998</v>
      </c>
      <c r="AJ36" s="13">
        <f>AI36*VLOOKUP('Données projet'!$B$10,Paramètres!$A$1:$I$89,3,0)*VLOOKUP('Données projet'!$B$10,Paramètres!$A$1:$I$89,5,0)</f>
        <v>171.2672</v>
      </c>
      <c r="AK36" s="13">
        <f t="shared" si="35"/>
        <v>43.373711445811836</v>
      </c>
      <c r="AL36" s="20">
        <f t="shared" si="4"/>
        <v>373.83292076812228</v>
      </c>
      <c r="AM36" s="59">
        <f t="shared" si="5"/>
        <v>667.16625410145559</v>
      </c>
      <c r="AN36" s="59">
        <f ca="1">AVERAGE(OFFSET($AM$3,0,0,'Données projet'!$E$10+1,1))-AVERAGE(OFFSET($H$3,0,0,'Données projet'!$E$10+1,1))</f>
        <v>348.76139845974495</v>
      </c>
      <c r="AO36" s="59">
        <f t="shared" si="36"/>
        <v>398.5142967182872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15.944185989117942</v>
      </c>
      <c r="AV36" s="21">
        <f>EXP(-LN(2)/25)*AV35+(1-EXP(-LN(2)/25))/(LN(2)/25)*Calculateur!AQ36*Calculateur!AS36*VLOOKUP('Données projet'!$B$10,Paramètres!$A$1:$I$89,3,0)*0.475*44/12</f>
        <v>19.087967466677721</v>
      </c>
      <c r="AW36" s="21">
        <f>EXP(-LN(2)/2)*AW35+(1-EXP(-LN(2)/2))/(LN(2)/2)*AQ36*AT36*VLOOKUP('Données projet'!$B$10,Paramètres!$A$1:$I$89,3,0)*0.475*44/12</f>
        <v>4.3685030485413661</v>
      </c>
      <c r="AX36" s="21">
        <f t="shared" si="6"/>
        <v>39.400656504337029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</v>
      </c>
      <c r="BD36" s="12">
        <f>IF('Données projet'!$A$88&gt;35,BD35+BC36-BL35,IF(A36&lt;'Données projet'!$A$88,$BA$205^A36,IF(A36='Données projet'!$A$88,'Données projet'!$B$88,BD35+BC36-BL35)))</f>
        <v>108.40000000000002</v>
      </c>
      <c r="BE36" s="13">
        <f>BD36*VLOOKUP('Données projet'!$B$11,Paramètres!$A$1:$I$89,3,0)*VLOOKUP('Données projet'!$B$11,Paramètres!$A$1:$I$89,5,0)</f>
        <v>109.91760000000004</v>
      </c>
      <c r="BF36" s="13">
        <f t="shared" si="37"/>
        <v>29.311569643229223</v>
      </c>
      <c r="BG36" s="20">
        <f t="shared" si="7"/>
        <v>242.49080379529093</v>
      </c>
      <c r="BH36" s="59">
        <f t="shared" si="8"/>
        <v>535.82413712862422</v>
      </c>
      <c r="BI36" s="59">
        <f ca="1">AVERAGE(OFFSET($BH$3,0,0,'Données projet'!$E$11+1,1))-AVERAGE(OFFSET($H$3,0,0,'Données projet'!$E$11+1,1))</f>
        <v>413.81510455446738</v>
      </c>
      <c r="BJ36" s="59">
        <f t="shared" si="38"/>
        <v>254.25036207346602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</v>
      </c>
      <c r="BY36" s="12">
        <f>IF('Données projet'!$A$114&gt;35,BY35+BX36-CG35,IF(A36&lt;'Données projet'!$A$114,$BV$205^A36,IF(A36='Données projet'!$A$114,'Données projet'!$B$114,BY35+BX36-CG35)))</f>
        <v>68.999999999999986</v>
      </c>
      <c r="BZ36" s="13">
        <f>BY36*VLOOKUP('Données projet'!$B$12,Paramètres!$A$1:$I$89,3,0)*VLOOKUP('Données projet'!$B$12,Paramètres!$A$1:$I$89,5,0)</f>
        <v>65.660399999999981</v>
      </c>
      <c r="CA36" s="13">
        <f t="shared" si="39"/>
        <v>18.591800852927584</v>
      </c>
      <c r="CB36" s="20">
        <f t="shared" si="10"/>
        <v>146.73924981884883</v>
      </c>
      <c r="CC36" s="59">
        <f t="shared" si="11"/>
        <v>440.07258315218212</v>
      </c>
      <c r="CD36" s="59">
        <f ca="1">AVERAGE(OFFSET($CC$3,0,0,'Données projet'!$E$12+1,1))-AVERAGE(OFFSET($H$3,0,0,'Données projet'!$E$12+1,1))</f>
        <v>292.61712942007972</v>
      </c>
      <c r="CE36" s="59">
        <f t="shared" si="40"/>
        <v>152.23954167722536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</v>
      </c>
      <c r="CT36" s="12">
        <f>IF('Données projet'!$A$140&gt;35,CT35+CS36-DB35,IF(A36&lt;'Données projet'!$A$140,$CQ$205^A36,IF(A36='Données projet'!$A$140,'Données projet'!$B$140,CT35+CS36-DB35)))</f>
        <v>68.999999999999986</v>
      </c>
      <c r="CU36" s="17">
        <f>CT36*VLOOKUP('Données projet'!$B$13,Paramètres!$A$1:$I$89,3,0)*VLOOKUP('Données projet'!$B$13,Paramètres!$A$1:$I$89,5,0)</f>
        <v>66.736799999999988</v>
      </c>
      <c r="CV36" s="13">
        <f t="shared" si="41"/>
        <v>18.860852268900583</v>
      </c>
      <c r="CW36" s="20">
        <f t="shared" si="13"/>
        <v>149.0825777016685</v>
      </c>
      <c r="CX36" s="59">
        <f t="shared" si="14"/>
        <v>442.41591103500184</v>
      </c>
      <c r="CY36" s="59">
        <f ca="1">AVERAGE(OFFSET($CX$3,0,0,'Données projet'!$E$13+1,1))-AVERAGE(OFFSET($H$3,0,0,'Données projet'!$E$13+1,1))</f>
        <v>296.78766823247003</v>
      </c>
      <c r="CZ36" s="59">
        <f t="shared" si="42"/>
        <v>154.08406475869634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</v>
      </c>
      <c r="N37" s="13">
        <f>IF('Données projet'!$A$36&gt;35,N36+M37-V36,IF(A37&lt;'Données projet'!$A$36,$K$205^A37,IF(A37='Données projet'!$A$36,'Données projet'!$B$36,N36+M37-V36)))</f>
        <v>216</v>
      </c>
      <c r="O37" s="13">
        <f>N37*VLOOKUP('Données projet'!$B$9,Paramètres!$A$1:$I$89,3,0)*VLOOKUP('Données projet'!$B$9,Paramètres!$A$1:$I$89,5,0)</f>
        <v>101.08799999999999</v>
      </c>
      <c r="P37" s="13">
        <f t="shared" si="33"/>
        <v>27.221035075711939</v>
      </c>
      <c r="Q37" s="20">
        <f t="shared" si="53"/>
        <v>223.47156942353161</v>
      </c>
      <c r="R37" s="59">
        <f t="shared" si="0"/>
        <v>516.80490275686498</v>
      </c>
      <c r="S37" s="59">
        <f ca="1">AVERAGE(OFFSET($R$3,0,0,'Données projet'!$E$9+1,1))-AVERAGE(OFFSET($H$3,0,0,'Données projet'!$E$9+1,1))</f>
        <v>229.61973863654862</v>
      </c>
      <c r="T37" s="59">
        <f t="shared" si="34"/>
        <v>254.08208375594052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3.154521348881167</v>
      </c>
      <c r="AA37" s="21">
        <f>EXP(-LN(2)/25)*AA36+(1-EXP(-LN(2)/25))/(LN(2)/25)*Calculateur!V37*Calculateur!X37*VLOOKUP('Données projet'!$B$9,Paramètres!$A$1:$I$89,3,0)*0.475*44/12</f>
        <v>13.691146465324866</v>
      </c>
      <c r="AB37" s="21">
        <f>EXP(-LN(2)/2)*AB36+(1-EXP(-LN(2)/2))/(LN(2)/2)*V37*Y37*VLOOKUP('Données projet'!$B$9,Paramètres!$A$1:$I$89,3,0)*0.475*44/12</f>
        <v>2.3911047775312677</v>
      </c>
      <c r="AC37" s="22">
        <f t="shared" si="3"/>
        <v>19.236772591737303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21.8</v>
      </c>
      <c r="AI37" s="13">
        <f>IF('Données projet'!$A$62&gt;35,AI36+AH37-AQ36,IF(A37&lt;'Données projet'!$A$62,$AF$205^A37,IF(A37='Données projet'!$A$62,'Données projet'!$B$62,AI36+AH37-AQ36)))</f>
        <v>308.2</v>
      </c>
      <c r="AJ37" s="13">
        <f>AI37*VLOOKUP('Données projet'!$B$10,Paramètres!$A$1:$I$89,3,0)*VLOOKUP('Données projet'!$B$10,Paramètres!$A$1:$I$89,5,0)</f>
        <v>184.30359999999999</v>
      </c>
      <c r="AK37" s="13">
        <f t="shared" si="35"/>
        <v>46.27833726438655</v>
      </c>
      <c r="AL37" s="20">
        <f t="shared" si="4"/>
        <v>401.59687406880653</v>
      </c>
      <c r="AM37" s="59">
        <f t="shared" si="5"/>
        <v>694.93020740213979</v>
      </c>
      <c r="AN37" s="59">
        <f ca="1">AVERAGE(OFFSET($AM$3,0,0,'Données projet'!$E$10+1,1))-AVERAGE(OFFSET($H$3,0,0,'Données projet'!$E$10+1,1))</f>
        <v>348.76139845974495</v>
      </c>
      <c r="AO37" s="59">
        <f t="shared" si="36"/>
        <v>398.5142967182872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15.631530226864529</v>
      </c>
      <c r="AV37" s="21">
        <f>EXP(-LN(2)/25)*AV36+(1-EXP(-LN(2)/25))/(LN(2)/25)*Calculateur!AQ37*Calculateur!AS37*VLOOKUP('Données projet'!$B$10,Paramètres!$A$1:$I$89,3,0)*0.475*44/12</f>
        <v>18.566005992508835</v>
      </c>
      <c r="AW37" s="21">
        <f>EXP(-LN(2)/2)*AW36+(1-EXP(-LN(2)/2))/(LN(2)/2)*AQ37*AT37*VLOOKUP('Données projet'!$B$10,Paramètres!$A$1:$I$89,3,0)*0.475*44/12</f>
        <v>3.0889981292577056</v>
      </c>
      <c r="AX37" s="21">
        <f t="shared" si="6"/>
        <v>37.286534348631065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</v>
      </c>
      <c r="BD37" s="12">
        <f>IF('Données projet'!$A$88&gt;35,BD36+BC37-BL36,IF(A37&lt;'Données projet'!$A$88,$BA$205^A37,IF(A37='Données projet'!$A$88,'Données projet'!$B$88,BD36+BC37-BL36)))</f>
        <v>112.20000000000002</v>
      </c>
      <c r="BE37" s="13">
        <f>BD37*VLOOKUP('Données projet'!$B$11,Paramètres!$A$1:$I$89,3,0)*VLOOKUP('Données projet'!$B$11,Paramètres!$A$1:$I$89,5,0)</f>
        <v>113.77080000000001</v>
      </c>
      <c r="BF37" s="13">
        <f t="shared" si="37"/>
        <v>30.217664170580228</v>
      </c>
      <c r="BG37" s="20">
        <f t="shared" si="7"/>
        <v>250.77990843042721</v>
      </c>
      <c r="BH37" s="59">
        <f t="shared" si="8"/>
        <v>544.11324176376047</v>
      </c>
      <c r="BI37" s="59">
        <f ca="1">AVERAGE(OFFSET($BH$3,0,0,'Données projet'!$E$11+1,1))-AVERAGE(OFFSET($H$3,0,0,'Données projet'!$E$11+1,1))</f>
        <v>413.81510455446738</v>
      </c>
      <c r="BJ37" s="59">
        <f t="shared" si="38"/>
        <v>254.25036207346602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</v>
      </c>
      <c r="BY37" s="12">
        <f>IF('Données projet'!$A$114&gt;35,BY36+BX37-CG36,IF(A37&lt;'Données projet'!$A$114,$BV$205^A37,IF(A37='Données projet'!$A$114,'Données projet'!$B$114,BY36+BX37-CG36)))</f>
        <v>73.999999999999986</v>
      </c>
      <c r="BZ37" s="13">
        <f>BY37*VLOOKUP('Données projet'!$B$12,Paramètres!$A$1:$I$89,3,0)*VLOOKUP('Données projet'!$B$12,Paramètres!$A$1:$I$89,5,0)</f>
        <v>70.418399999999991</v>
      </c>
      <c r="CA37" s="13">
        <f t="shared" si="39"/>
        <v>19.777324972922738</v>
      </c>
      <c r="CB37" s="20">
        <f t="shared" si="10"/>
        <v>157.09088766117375</v>
      </c>
      <c r="CC37" s="59">
        <f t="shared" si="11"/>
        <v>450.4242209945071</v>
      </c>
      <c r="CD37" s="59">
        <f ca="1">AVERAGE(OFFSET($CC$3,0,0,'Données projet'!$E$12+1,1))-AVERAGE(OFFSET($H$3,0,0,'Données projet'!$E$12+1,1))</f>
        <v>292.61712942007972</v>
      </c>
      <c r="CE37" s="59">
        <f t="shared" si="40"/>
        <v>152.23954167722536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</v>
      </c>
      <c r="CT37" s="12">
        <f>IF('Données projet'!$A$140&gt;35,CT36+CS37-DB36,IF(A37&lt;'Données projet'!$A$140,$CQ$205^A37,IF(A37='Données projet'!$A$140,'Données projet'!$B$140,CT36+CS37-DB36)))</f>
        <v>73.999999999999986</v>
      </c>
      <c r="CU37" s="17">
        <f>CT37*VLOOKUP('Données projet'!$B$13,Paramètres!$A$1:$I$89,3,0)*VLOOKUP('Données projet'!$B$13,Paramètres!$A$1:$I$89,5,0)</f>
        <v>71.572799999999987</v>
      </c>
      <c r="CV37" s="13">
        <f t="shared" si="41"/>
        <v>20.063532712034</v>
      </c>
      <c r="CW37" s="20">
        <f t="shared" si="13"/>
        <v>159.59994614012587</v>
      </c>
      <c r="CX37" s="59">
        <f t="shared" si="14"/>
        <v>452.93327947345915</v>
      </c>
      <c r="CY37" s="59">
        <f ca="1">AVERAGE(OFFSET($CX$3,0,0,'Données projet'!$E$13+1,1))-AVERAGE(OFFSET($H$3,0,0,'Données projet'!$E$13+1,1))</f>
        <v>296.78766823247003</v>
      </c>
      <c r="CZ37" s="59">
        <f t="shared" si="42"/>
        <v>154.08406475869634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</v>
      </c>
      <c r="N38" s="13">
        <f>IF('Données projet'!$A$36&gt;35,N37+M38-V37,IF(A38&lt;'Données projet'!$A$36,$K$205^A38,IF(A38='Données projet'!$A$36,'Données projet'!$B$36,N37+M38-V37)))</f>
        <v>230</v>
      </c>
      <c r="O38" s="13">
        <f>N38*VLOOKUP('Données projet'!$B$9,Paramètres!$A$1:$I$89,3,0)*VLOOKUP('Données projet'!$B$9,Paramètres!$A$1:$I$89,5,0)</f>
        <v>107.64</v>
      </c>
      <c r="P38" s="13">
        <f t="shared" si="33"/>
        <v>28.774250263353583</v>
      </c>
      <c r="Q38" s="20">
        <f t="shared" si="53"/>
        <v>237.58815254200749</v>
      </c>
      <c r="R38" s="59">
        <f t="shared" si="0"/>
        <v>530.92148587534075</v>
      </c>
      <c r="S38" s="59">
        <f ca="1">AVERAGE(OFFSET($R$3,0,0,'Données projet'!$E$9+1,1))-AVERAGE(OFFSET($H$3,0,0,'Données projet'!$E$9+1,1))</f>
        <v>229.61973863654862</v>
      </c>
      <c r="T38" s="59">
        <f t="shared" si="34"/>
        <v>254.08208375594052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3.0926631092976442</v>
      </c>
      <c r="AA38" s="21">
        <f>EXP(-LN(2)/25)*AA37+(1-EXP(-LN(2)/25))/(LN(2)/25)*Calculateur!V38*Calculateur!X38*VLOOKUP('Données projet'!$B$9,Paramètres!$A$1:$I$89,3,0)*0.475*44/12</f>
        <v>13.316761345244457</v>
      </c>
      <c r="AB38" s="21">
        <f>EXP(-LN(2)/2)*AB37+(1-EXP(-LN(2)/2))/(LN(2)/2)*V38*Y38*VLOOKUP('Données projet'!$B$9,Paramètres!$A$1:$I$89,3,0)*0.475*44/12</f>
        <v>1.6907664027199105</v>
      </c>
      <c r="AC38" s="22">
        <f t="shared" si="3"/>
        <v>18.10019085726201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330</v>
      </c>
      <c r="AG38" s="12">
        <f>VLOOKUP(A38,'Données projet'!$A$61:$I$81,9,0)</f>
        <v>21.8</v>
      </c>
      <c r="AH38" s="12">
        <f t="array" ref="AH38">INDEX(AG:AG,MIN(IF(ISNUMBER(AG38:AG234),ROW(AG38:AG234),"")))</f>
        <v>21.8</v>
      </c>
      <c r="AI38" s="13">
        <f>IF('Données projet'!$A$62&gt;35,AI37+AH38-AQ37,IF(A38&lt;'Données projet'!$A$62,$AF$205^A38,IF(A38='Données projet'!$A$62,'Données projet'!$B$62,AI37+AH38-AQ37)))</f>
        <v>330</v>
      </c>
      <c r="AJ38" s="13">
        <f>AI38*VLOOKUP('Données projet'!$B$10,Paramètres!$A$1:$I$89,3,0)*VLOOKUP('Données projet'!$B$10,Paramètres!$A$1:$I$89,5,0)</f>
        <v>197.34000000000003</v>
      </c>
      <c r="AK38" s="13">
        <f t="shared" si="35"/>
        <v>49.15912547427002</v>
      </c>
      <c r="AL38" s="20">
        <f t="shared" si="4"/>
        <v>429.3193102010203</v>
      </c>
      <c r="AM38" s="59">
        <f t="shared" si="5"/>
        <v>722.65264353435361</v>
      </c>
      <c r="AN38" s="59">
        <f ca="1">AVERAGE(OFFSET($AM$3,0,0,'Données projet'!$E$10+1,1))-AVERAGE(OFFSET($H$3,0,0,'Données projet'!$E$10+1,1))</f>
        <v>348.76139845974495</v>
      </c>
      <c r="AO38" s="59">
        <f t="shared" si="36"/>
        <v>398.5142967182872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56</v>
      </c>
      <c r="AR38" s="16">
        <f>IF(ISNA(VLOOKUP(A38,'Données projet'!$A$61:$I$81,5,0)),0%,VLOOKUP(A38,'Données projet'!$A$61:$I$81,5,0)*VLOOKUP('Données projet'!$B$10,Paramètres!$A$1:$I$89,7,0))</f>
        <v>0.18000000000000002</v>
      </c>
      <c r="AS38" s="16">
        <f>IF(ISNA(VLOOKUP(A38,'Données projet'!$A$61:$I$81,6,0)),0%,VLOOKUP(A38,'Données projet'!$A$61:$I$81,6,0)*VLOOKUP('Données projet'!$B$10,Paramètres!$A$1:$I$89,7,0))</f>
        <v>0.15300000000000002</v>
      </c>
      <c r="AT38" s="16">
        <f>IF(ISNA(VLOOKUP(A38,'Données projet'!$A$61:$I$81,7,0)),0%,VLOOKUP(A38,'Données projet'!$A$61:$I$81,7,0))</f>
        <v>0.26</v>
      </c>
      <c r="AU38" s="21">
        <f>EXP(-LN(2)/35)*AU37+(1-EXP(-LN(2)/35))/(LN(2)/35)*AQ38*AR38*VLOOKUP('Données projet'!$B$10,Paramètres!$A$1:$I$89,3,0)*0.475*44/12</f>
        <v>23.321323740484402</v>
      </c>
      <c r="AV38" s="21">
        <f>EXP(-LN(2)/25)*AV37+(1-EXP(-LN(2)/25))/(LN(2)/25)*Calculateur!AQ38*Calculateur!AS38*VLOOKUP('Données projet'!$B$10,Paramètres!$A$1:$I$89,3,0)*0.475*44/12</f>
        <v>24.828426257172534</v>
      </c>
      <c r="AW38" s="21">
        <f>EXP(-LN(2)/2)*AW37+(1-EXP(-LN(2)/2))/(LN(2)/2)*AQ38*AT38*VLOOKUP('Données projet'!$B$10,Paramètres!$A$1:$I$89,3,0)*0.475*44/12</f>
        <v>12.04246227095792</v>
      </c>
      <c r="AX38" s="21">
        <f t="shared" si="6"/>
        <v>60.19221226861486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3.8</v>
      </c>
      <c r="BC38" s="12">
        <f t="array" ref="BC38">INDEX(BB:BB,MIN(IF(ISNUMBER(BB38:BB234),ROW(BB38:BB234),"")))</f>
        <v>3.8</v>
      </c>
      <c r="BD38" s="12">
        <f>IF('Données projet'!$A$88&gt;35,BD37+BC38-BL37,IF(A38&lt;'Données projet'!$A$88,$BA$205^A38,IF(A38='Données projet'!$A$88,'Données projet'!$B$88,BD37+BC38-BL37)))</f>
        <v>116.00000000000001</v>
      </c>
      <c r="BE38" s="13">
        <f>BD38*VLOOKUP('Données projet'!$B$11,Paramètres!$A$1:$I$89,3,0)*VLOOKUP('Données projet'!$B$11,Paramètres!$A$1:$I$89,5,0)</f>
        <v>117.62400000000001</v>
      </c>
      <c r="BF38" s="13">
        <f t="shared" si="37"/>
        <v>31.120192961985413</v>
      </c>
      <c r="BG38" s="20">
        <f t="shared" si="7"/>
        <v>259.06280274212457</v>
      </c>
      <c r="BH38" s="59">
        <f t="shared" si="8"/>
        <v>552.39613607545789</v>
      </c>
      <c r="BI38" s="59">
        <f ca="1">AVERAGE(OFFSET($BH$3,0,0,'Données projet'!$E$11+1,1))-AVERAGE(OFFSET($H$3,0,0,'Données projet'!$E$11+1,1))</f>
        <v>413.81510455446738</v>
      </c>
      <c r="BJ38" s="59">
        <f t="shared" si="38"/>
        <v>254.25036207346602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79</v>
      </c>
      <c r="BW38" s="12">
        <f>VLOOKUP(A38,'Données projet'!$A$113:$I$133,9,0)</f>
        <v>5</v>
      </c>
      <c r="BX38" s="12">
        <f t="array" ref="BX38">INDEX(BW:BW,MIN(IF(ISNUMBER(BW38:BW234),ROW(BW38:BW234),"")))</f>
        <v>5</v>
      </c>
      <c r="BY38" s="12">
        <f>IF('Données projet'!$A$114&gt;35,BY37+BX38-CG37,IF(A38&lt;'Données projet'!$A$114,$BV$205^A38,IF(A38='Données projet'!$A$114,'Données projet'!$B$114,BY37+BX38-CG37)))</f>
        <v>78.999999999999986</v>
      </c>
      <c r="BZ38" s="13">
        <f>BY38*VLOOKUP('Données projet'!$B$12,Paramètres!$A$1:$I$89,3,0)*VLOOKUP('Données projet'!$B$12,Paramètres!$A$1:$I$89,5,0)</f>
        <v>75.176399999999987</v>
      </c>
      <c r="CA38" s="13">
        <f t="shared" si="39"/>
        <v>20.95355421300528</v>
      </c>
      <c r="CB38" s="20">
        <f t="shared" si="10"/>
        <v>167.42633692098417</v>
      </c>
      <c r="CC38" s="59">
        <f t="shared" si="11"/>
        <v>460.75967025431748</v>
      </c>
      <c r="CD38" s="59">
        <f ca="1">AVERAGE(OFFSET($CC$3,0,0,'Données projet'!$E$12+1,1))-AVERAGE(OFFSET($H$3,0,0,'Données projet'!$E$12+1,1))</f>
        <v>292.61712942007972</v>
      </c>
      <c r="CE38" s="59">
        <f t="shared" si="40"/>
        <v>152.23954167722536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13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79</v>
      </c>
      <c r="CR38" s="12">
        <f>VLOOKUP(A38,'Données projet'!$A$139:$I$159,9,0)</f>
        <v>5</v>
      </c>
      <c r="CS38" s="12">
        <f t="array" ref="CS38">INDEX(CR:CR,MIN(IF(ISNUMBER(CR38:CR234),ROW(CR38:CR234),"")))</f>
        <v>5</v>
      </c>
      <c r="CT38" s="12">
        <f>IF('Données projet'!$A$140&gt;35,CT37+CS38-DB37,IF(A38&lt;'Données projet'!$A$140,$CQ$205^A38,IF(A38='Données projet'!$A$140,'Données projet'!$B$140,CT37+CS38-DB37)))</f>
        <v>78.999999999999986</v>
      </c>
      <c r="CU38" s="17">
        <f>CT38*VLOOKUP('Données projet'!$B$13,Paramètres!$A$1:$I$89,3,0)*VLOOKUP('Données projet'!$B$13,Paramètres!$A$1:$I$89,5,0)</f>
        <v>76.408799999999985</v>
      </c>
      <c r="CV38" s="13">
        <f t="shared" si="41"/>
        <v>21.256783764315173</v>
      </c>
      <c r="CW38" s="20">
        <f t="shared" si="13"/>
        <v>170.1008917228489</v>
      </c>
      <c r="CX38" s="59">
        <f t="shared" si="14"/>
        <v>463.43422505618219</v>
      </c>
      <c r="CY38" s="59">
        <f ca="1">AVERAGE(OFFSET($CX$3,0,0,'Données projet'!$E$13+1,1))-AVERAGE(OFFSET($H$3,0,0,'Données projet'!$E$13+1,1))</f>
        <v>296.78766823247003</v>
      </c>
      <c r="CZ38" s="59">
        <f t="shared" si="42"/>
        <v>154.08406475869634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13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</v>
      </c>
      <c r="N39" s="13">
        <f>IF('Données projet'!$A$36&gt;35,N38+M39-V38,IF(A39&lt;'Données projet'!$A$36,$K$205^A39,IF(A39='Données projet'!$A$36,'Données projet'!$B$36,N38+M39-V38)))</f>
        <v>244</v>
      </c>
      <c r="O39" s="13">
        <f>N39*VLOOKUP('Données projet'!$B$9,Paramètres!$A$1:$I$89,3,0)*VLOOKUP('Données projet'!$B$9,Paramètres!$A$1:$I$89,5,0)</f>
        <v>114.19200000000001</v>
      </c>
      <c r="P39" s="13">
        <f t="shared" si="33"/>
        <v>30.316492326242802</v>
      </c>
      <c r="Q39" s="20">
        <f t="shared" si="53"/>
        <v>251.68562413487288</v>
      </c>
      <c r="R39" s="59">
        <f t="shared" si="0"/>
        <v>545.01895746820617</v>
      </c>
      <c r="S39" s="59">
        <f ca="1">AVERAGE(OFFSET($R$3,0,0,'Données projet'!$E$9+1,1))-AVERAGE(OFFSET($H$3,0,0,'Données projet'!$E$9+1,1))</f>
        <v>229.61973863654862</v>
      </c>
      <c r="T39" s="59">
        <f t="shared" si="34"/>
        <v>254.08208375594052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3.0320178720625535</v>
      </c>
      <c r="AA39" s="21">
        <f>EXP(-LN(2)/25)*AA38+(1-EXP(-LN(2)/25))/(LN(2)/25)*Calculateur!V39*Calculateur!X39*VLOOKUP('Données projet'!$B$9,Paramètres!$A$1:$I$89,3,0)*0.475*44/12</f>
        <v>12.952613805960704</v>
      </c>
      <c r="AB39" s="21">
        <f>EXP(-LN(2)/2)*AB38+(1-EXP(-LN(2)/2))/(LN(2)/2)*V39*Y39*VLOOKUP('Données projet'!$B$9,Paramètres!$A$1:$I$89,3,0)*0.475*44/12</f>
        <v>1.1955523887656339</v>
      </c>
      <c r="AC39" s="22">
        <f t="shared" si="3"/>
        <v>17.18018406678889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21</v>
      </c>
      <c r="AI39" s="13">
        <f>IF('Données projet'!$A$62&gt;35,AI38+AH39-AQ38,IF(A39&lt;'Données projet'!$A$62,$AF$205^A39,IF(A39='Données projet'!$A$62,'Données projet'!$B$62,AI38+AH39-AQ38)))</f>
        <v>295</v>
      </c>
      <c r="AJ39" s="13">
        <f>AI39*VLOOKUP('Données projet'!$B$10,Paramètres!$A$1:$I$89,3,0)*VLOOKUP('Données projet'!$B$10,Paramètres!$A$1:$I$89,5,0)</f>
        <v>176.41000000000003</v>
      </c>
      <c r="AK39" s="13">
        <f t="shared" si="35"/>
        <v>44.522543239204609</v>
      </c>
      <c r="AL39" s="20">
        <f t="shared" si="4"/>
        <v>384.79084614161474</v>
      </c>
      <c r="AM39" s="59">
        <f t="shared" si="5"/>
        <v>678.12417947494805</v>
      </c>
      <c r="AN39" s="59">
        <f ca="1">AVERAGE(OFFSET($AM$3,0,0,'Données projet'!$E$10+1,1))-AVERAGE(OFFSET($H$3,0,0,'Données projet'!$E$10+1,1))</f>
        <v>348.76139845974495</v>
      </c>
      <c r="AO39" s="59">
        <f t="shared" si="36"/>
        <v>398.5142967182872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22.864006806536423</v>
      </c>
      <c r="AV39" s="21">
        <f>EXP(-LN(2)/25)*AV38+(1-EXP(-LN(2)/25))/(LN(2)/25)*Calculateur!AQ39*Calculateur!AS39*VLOOKUP('Données projet'!$B$10,Paramètres!$A$1:$I$89,3,0)*0.475*44/12</f>
        <v>24.14949163549996</v>
      </c>
      <c r="AW39" s="21">
        <f>EXP(-LN(2)/2)*AW38+(1-EXP(-LN(2)/2))/(LN(2)/2)*AQ39*AT39*VLOOKUP('Données projet'!$B$10,Paramètres!$A$1:$I$89,3,0)*0.475*44/12</f>
        <v>8.5153067339774964</v>
      </c>
      <c r="AX39" s="21">
        <f t="shared" si="6"/>
        <v>55.528805176013876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103.40000000000002</v>
      </c>
      <c r="BE39" s="13">
        <f>BD39*VLOOKUP('Données projet'!$B$11,Paramètres!$A$1:$I$89,3,0)*VLOOKUP('Données projet'!$B$11,Paramètres!$A$1:$I$89,5,0)</f>
        <v>104.84760000000004</v>
      </c>
      <c r="BF39" s="13">
        <f t="shared" si="37"/>
        <v>28.113670466115643</v>
      </c>
      <c r="BG39" s="20">
        <f t="shared" si="7"/>
        <v>231.57421272848478</v>
      </c>
      <c r="BH39" s="59">
        <f t="shared" si="8"/>
        <v>524.90754606181804</v>
      </c>
      <c r="BI39" s="59">
        <f ca="1">AVERAGE(OFFSET($BH$3,0,0,'Données projet'!$E$11+1,1))-AVERAGE(OFFSET($H$3,0,0,'Données projet'!$E$11+1,1))</f>
        <v>413.81510455446738</v>
      </c>
      <c r="BJ39" s="59">
        <f t="shared" si="38"/>
        <v>254.25036207346602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5.4</v>
      </c>
      <c r="BY39" s="12">
        <f>IF('Données projet'!$A$114&gt;35,BY38+BX39-CG38,IF(A39&lt;'Données projet'!$A$114,$BV$205^A39,IF(A39='Données projet'!$A$114,'Données projet'!$B$114,BY38+BX39-CG38)))</f>
        <v>71.399999999999991</v>
      </c>
      <c r="BZ39" s="13">
        <f>BY39*VLOOKUP('Données projet'!$B$12,Paramètres!$A$1:$I$89,3,0)*VLOOKUP('Données projet'!$B$12,Paramètres!$A$1:$I$89,5,0)</f>
        <v>67.944239999999994</v>
      </c>
      <c r="CA39" s="13">
        <f t="shared" si="39"/>
        <v>19.162057636242221</v>
      </c>
      <c r="CB39" s="20">
        <f t="shared" si="10"/>
        <v>151.71013504978851</v>
      </c>
      <c r="CC39" s="59">
        <f t="shared" si="11"/>
        <v>445.04346838312182</v>
      </c>
      <c r="CD39" s="59">
        <f ca="1">AVERAGE(OFFSET($CC$3,0,0,'Données projet'!$E$12+1,1))-AVERAGE(OFFSET($H$3,0,0,'Données projet'!$E$12+1,1))</f>
        <v>292.61712942007972</v>
      </c>
      <c r="CE39" s="59">
        <f t="shared" si="40"/>
        <v>152.23954167722536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5.4</v>
      </c>
      <c r="CT39" s="12">
        <f>IF('Données projet'!$A$140&gt;35,CT38+CS39-DB38,IF(A39&lt;'Données projet'!$A$140,$CQ$205^A39,IF(A39='Données projet'!$A$140,'Données projet'!$B$140,CT38+CS39-DB38)))</f>
        <v>71.399999999999991</v>
      </c>
      <c r="CU39" s="17">
        <f>CT39*VLOOKUP('Données projet'!$B$13,Paramètres!$A$1:$I$89,3,0)*VLOOKUP('Données projet'!$B$13,Paramètres!$A$1:$I$89,5,0)</f>
        <v>69.05807999999999</v>
      </c>
      <c r="CV39" s="13">
        <f t="shared" si="41"/>
        <v>19.439361528467131</v>
      </c>
      <c r="CW39" s="20">
        <f t="shared" si="13"/>
        <v>154.13304399541357</v>
      </c>
      <c r="CX39" s="59">
        <f t="shared" si="14"/>
        <v>447.46637732874689</v>
      </c>
      <c r="CY39" s="59">
        <f ca="1">AVERAGE(OFFSET($CX$3,0,0,'Données projet'!$E$13+1,1))-AVERAGE(OFFSET($H$3,0,0,'Données projet'!$E$13+1,1))</f>
        <v>296.78766823247003</v>
      </c>
      <c r="CZ39" s="59">
        <f t="shared" si="42"/>
        <v>154.08406475869634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</v>
      </c>
      <c r="N40" s="13">
        <f>IF('Données projet'!$A$36&gt;35,N39+M40-V39,IF(A40&lt;'Données projet'!$A$36,$K$205^A40,IF(A40='Données projet'!$A$36,'Données projet'!$B$36,N39+M40-V39)))</f>
        <v>258</v>
      </c>
      <c r="O40" s="13">
        <f>N40*VLOOKUP('Données projet'!$B$9,Paramètres!$A$1:$I$89,3,0)*VLOOKUP('Données projet'!$B$9,Paramètres!$A$1:$I$89,5,0)</f>
        <v>120.744</v>
      </c>
      <c r="P40" s="13">
        <f t="shared" si="33"/>
        <v>31.848462605207807</v>
      </c>
      <c r="Q40" s="20">
        <f t="shared" si="53"/>
        <v>265.76520570407024</v>
      </c>
      <c r="R40" s="59">
        <f t="shared" si="0"/>
        <v>559.0985390374035</v>
      </c>
      <c r="S40" s="59">
        <f ca="1">AVERAGE(OFFSET($R$3,0,0,'Données projet'!$E$9+1,1))-AVERAGE(OFFSET($H$3,0,0,'Données projet'!$E$9+1,1))</f>
        <v>229.61973863654862</v>
      </c>
      <c r="T40" s="59">
        <f t="shared" si="34"/>
        <v>254.08208375594052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2.9725618509397007</v>
      </c>
      <c r="AA40" s="21">
        <f>EXP(-LN(2)/25)*AA39+(1-EXP(-LN(2)/25))/(LN(2)/25)*Calculateur!V40*Calculateur!X40*VLOOKUP('Données projet'!$B$9,Paramètres!$A$1:$I$89,3,0)*0.475*44/12</f>
        <v>12.598423900288353</v>
      </c>
      <c r="AB40" s="21">
        <f>EXP(-LN(2)/2)*AB39+(1-EXP(-LN(2)/2))/(LN(2)/2)*V40*Y40*VLOOKUP('Données projet'!$B$9,Paramètres!$A$1:$I$89,3,0)*0.475*44/12</f>
        <v>0.84538320135995526</v>
      </c>
      <c r="AC40" s="22">
        <f t="shared" si="3"/>
        <v>16.416368952588009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21</v>
      </c>
      <c r="AI40" s="13">
        <f>IF('Données projet'!$A$62&gt;35,AI39+AH40-AQ39,IF(A40&lt;'Données projet'!$A$62,$AF$205^A40,IF(A40='Données projet'!$A$62,'Données projet'!$B$62,AI39+AH40-AQ39)))</f>
        <v>316</v>
      </c>
      <c r="AJ40" s="13">
        <f>AI40*VLOOKUP('Données projet'!$B$10,Paramètres!$A$1:$I$89,3,0)*VLOOKUP('Données projet'!$B$10,Paramètres!$A$1:$I$89,5,0)</f>
        <v>188.96800000000002</v>
      </c>
      <c r="AK40" s="13">
        <f t="shared" si="35"/>
        <v>47.311720031947068</v>
      </c>
      <c r="AL40" s="20">
        <f t="shared" si="4"/>
        <v>411.52051238897451</v>
      </c>
      <c r="AM40" s="59">
        <f t="shared" si="5"/>
        <v>704.85384572230782</v>
      </c>
      <c r="AN40" s="59">
        <f ca="1">AVERAGE(OFFSET($AM$3,0,0,'Données projet'!$E$10+1,1))-AVERAGE(OFFSET($H$3,0,0,'Données projet'!$E$10+1,1))</f>
        <v>348.76139845974495</v>
      </c>
      <c r="AO40" s="59">
        <f t="shared" si="36"/>
        <v>398.5142967182872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22.415657578727377</v>
      </c>
      <c r="AV40" s="21">
        <f>EXP(-LN(2)/25)*AV39+(1-EXP(-LN(2)/25))/(LN(2)/25)*Calculateur!AQ40*Calculateur!AS40*VLOOKUP('Données projet'!$B$10,Paramètres!$A$1:$I$89,3,0)*0.475*44/12</f>
        <v>23.489122516760641</v>
      </c>
      <c r="AW40" s="21">
        <f>EXP(-LN(2)/2)*AW39+(1-EXP(-LN(2)/2))/(LN(2)/2)*AQ40*AT40*VLOOKUP('Données projet'!$B$10,Paramètres!$A$1:$I$89,3,0)*0.475*44/12</f>
        <v>6.0212311354789607</v>
      </c>
      <c r="AX40" s="21">
        <f t="shared" si="6"/>
        <v>51.926011230966985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111.80000000000003</v>
      </c>
      <c r="BE40" s="13">
        <f>BD40*VLOOKUP('Données projet'!$B$11,Paramètres!$A$1:$I$89,3,0)*VLOOKUP('Données projet'!$B$11,Paramètres!$A$1:$I$89,5,0)</f>
        <v>113.36520000000003</v>
      </c>
      <c r="BF40" s="13">
        <f t="shared" si="37"/>
        <v>30.122456058687614</v>
      </c>
      <c r="BG40" s="20">
        <f t="shared" si="7"/>
        <v>249.9076676355476</v>
      </c>
      <c r="BH40" s="59">
        <f t="shared" si="8"/>
        <v>543.24100096888094</v>
      </c>
      <c r="BI40" s="59">
        <f ca="1">AVERAGE(OFFSET($BH$3,0,0,'Données projet'!$E$11+1,1))-AVERAGE(OFFSET($H$3,0,0,'Données projet'!$E$11+1,1))</f>
        <v>413.81510455446738</v>
      </c>
      <c r="BJ40" s="59">
        <f t="shared" si="38"/>
        <v>254.25036207346602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5.4</v>
      </c>
      <c r="BY40" s="12">
        <f>IF('Données projet'!$A$114&gt;35,BY39+BX40-CG39,IF(A40&lt;'Données projet'!$A$114,$BV$205^A40,IF(A40='Données projet'!$A$114,'Données projet'!$B$114,BY39+BX40-CG39)))</f>
        <v>76.8</v>
      </c>
      <c r="BZ40" s="13">
        <f>BY40*VLOOKUP('Données projet'!$B$12,Paramètres!$A$1:$I$89,3,0)*VLOOKUP('Données projet'!$B$12,Paramètres!$A$1:$I$89,5,0)</f>
        <v>73.082880000000003</v>
      </c>
      <c r="CA40" s="13">
        <f t="shared" si="39"/>
        <v>20.437114411232702</v>
      </c>
      <c r="CB40" s="20">
        <f t="shared" si="10"/>
        <v>162.88065693289695</v>
      </c>
      <c r="CC40" s="59">
        <f t="shared" si="11"/>
        <v>456.21399026623027</v>
      </c>
      <c r="CD40" s="59">
        <f ca="1">AVERAGE(OFFSET($CC$3,0,0,'Données projet'!$E$12+1,1))-AVERAGE(OFFSET($H$3,0,0,'Données projet'!$E$12+1,1))</f>
        <v>292.61712942007972</v>
      </c>
      <c r="CE40" s="59">
        <f t="shared" si="40"/>
        <v>152.23954167722536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5.4</v>
      </c>
      <c r="CT40" s="12">
        <f>IF('Données projet'!$A$140&gt;35,CT39+CS40-DB39,IF(A40&lt;'Données projet'!$A$140,$CQ$205^A40,IF(A40='Données projet'!$A$140,'Données projet'!$B$140,CT39+CS40-DB39)))</f>
        <v>76.8</v>
      </c>
      <c r="CU40" s="17">
        <f>CT40*VLOOKUP('Données projet'!$B$13,Paramètres!$A$1:$I$89,3,0)*VLOOKUP('Données projet'!$B$13,Paramètres!$A$1:$I$89,5,0)</f>
        <v>74.280960000000007</v>
      </c>
      <c r="CV40" s="13">
        <f t="shared" si="41"/>
        <v>20.732870299230971</v>
      </c>
      <c r="CW40" s="20">
        <f t="shared" si="13"/>
        <v>165.48242110449394</v>
      </c>
      <c r="CX40" s="59">
        <f t="shared" si="14"/>
        <v>458.81575443782725</v>
      </c>
      <c r="CY40" s="59">
        <f ca="1">AVERAGE(OFFSET($CX$3,0,0,'Données projet'!$E$13+1,1))-AVERAGE(OFFSET($H$3,0,0,'Données projet'!$E$13+1,1))</f>
        <v>296.78766823247003</v>
      </c>
      <c r="CZ40" s="59">
        <f t="shared" si="42"/>
        <v>154.08406475869634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</v>
      </c>
      <c r="N41" s="13">
        <f>IF('Données projet'!$A$36&gt;35,N40+M41-V40,IF(A41&lt;'Données projet'!$A$36,$K$205^A41,IF(A41='Données projet'!$A$36,'Données projet'!$B$36,N40+M41-V40)))</f>
        <v>272</v>
      </c>
      <c r="O41" s="13">
        <f>N41*VLOOKUP('Données projet'!$B$9,Paramètres!$A$1:$I$89,3,0)*VLOOKUP('Données projet'!$B$9,Paramètres!$A$1:$I$89,5,0)</f>
        <v>127.29600000000001</v>
      </c>
      <c r="P41" s="13">
        <f t="shared" si="33"/>
        <v>33.370782027774453</v>
      </c>
      <c r="Q41" s="20">
        <f t="shared" si="53"/>
        <v>279.82797869837384</v>
      </c>
      <c r="R41" s="59">
        <f t="shared" si="0"/>
        <v>573.16131203170721</v>
      </c>
      <c r="S41" s="59">
        <f ca="1">AVERAGE(OFFSET($R$3,0,0,'Données projet'!$E$9+1,1))-AVERAGE(OFFSET($H$3,0,0,'Données projet'!$E$9+1,1))</f>
        <v>229.61973863654862</v>
      </c>
      <c r="T41" s="59">
        <f t="shared" si="34"/>
        <v>254.08208375594052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2.9142717261264752</v>
      </c>
      <c r="AA41" s="21">
        <f>EXP(-LN(2)/25)*AA40+(1-EXP(-LN(2)/25))/(LN(2)/25)*Calculateur!V41*Calculateur!X41*VLOOKUP('Données projet'!$B$9,Paramètres!$A$1:$I$89,3,0)*0.475*44/12</f>
        <v>12.253919336212649</v>
      </c>
      <c r="AB41" s="21">
        <f>EXP(-LN(2)/2)*AB40+(1-EXP(-LN(2)/2))/(LN(2)/2)*V41*Y41*VLOOKUP('Données projet'!$B$9,Paramètres!$A$1:$I$89,3,0)*0.475*44/12</f>
        <v>0.59777619438281693</v>
      </c>
      <c r="AC41" s="22">
        <f t="shared" si="3"/>
        <v>15.765967256721941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21</v>
      </c>
      <c r="AI41" s="13">
        <f>IF('Données projet'!$A$62&gt;35,AI40+AH41-AQ40,IF(A41&lt;'Données projet'!$A$62,$AF$205^A41,IF(A41='Données projet'!$A$62,'Données projet'!$B$62,AI40+AH41-AQ40)))</f>
        <v>337</v>
      </c>
      <c r="AJ41" s="13">
        <f>AI41*VLOOKUP('Données projet'!$B$10,Paramètres!$A$1:$I$89,3,0)*VLOOKUP('Données projet'!$B$10,Paramètres!$A$1:$I$89,5,0)</f>
        <v>201.52600000000001</v>
      </c>
      <c r="AK41" s="13">
        <f t="shared" si="35"/>
        <v>50.079387833316794</v>
      </c>
      <c r="AL41" s="20">
        <f t="shared" si="4"/>
        <v>438.21271714302679</v>
      </c>
      <c r="AM41" s="59">
        <f t="shared" si="5"/>
        <v>731.54605047636005</v>
      </c>
      <c r="AN41" s="59">
        <f ca="1">AVERAGE(OFFSET($AM$3,0,0,'Données projet'!$E$10+1,1))-AVERAGE(OFFSET($H$3,0,0,'Données projet'!$E$10+1,1))</f>
        <v>348.76139845974495</v>
      </c>
      <c r="AO41" s="59">
        <f t="shared" si="36"/>
        <v>398.5142967182872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21.976100205809637</v>
      </c>
      <c r="AV41" s="21">
        <f>EXP(-LN(2)/25)*AV40+(1-EXP(-LN(2)/25))/(LN(2)/25)*Calculateur!AQ41*Calculateur!AS41*VLOOKUP('Données projet'!$B$10,Paramètres!$A$1:$I$89,3,0)*0.475*44/12</f>
        <v>22.846811226300552</v>
      </c>
      <c r="AW41" s="21">
        <f>EXP(-LN(2)/2)*AW40+(1-EXP(-LN(2)/2))/(LN(2)/2)*AQ41*AT41*VLOOKUP('Données projet'!$B$10,Paramètres!$A$1:$I$89,3,0)*0.475*44/12</f>
        <v>4.2576533669887491</v>
      </c>
      <c r="AX41" s="21">
        <f t="shared" si="6"/>
        <v>49.080564799098937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120.20000000000003</v>
      </c>
      <c r="BE41" s="13">
        <f>BD41*VLOOKUP('Données projet'!$B$11,Paramètres!$A$1:$I$89,3,0)*VLOOKUP('Données projet'!$B$11,Paramètres!$A$1:$I$89,5,0)</f>
        <v>121.88280000000005</v>
      </c>
      <c r="BF41" s="13">
        <f t="shared" si="37"/>
        <v>32.113732800054677</v>
      </c>
      <c r="BG41" s="20">
        <f t="shared" si="7"/>
        <v>268.21062796009528</v>
      </c>
      <c r="BH41" s="59">
        <f t="shared" si="8"/>
        <v>561.54396129342854</v>
      </c>
      <c r="BI41" s="59">
        <f ca="1">AVERAGE(OFFSET($BH$3,0,0,'Données projet'!$E$11+1,1))-AVERAGE(OFFSET($H$3,0,0,'Données projet'!$E$11+1,1))</f>
        <v>413.81510455446738</v>
      </c>
      <c r="BJ41" s="59">
        <f t="shared" si="38"/>
        <v>254.25036207346602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5.4</v>
      </c>
      <c r="BY41" s="12">
        <f>IF('Données projet'!$A$114&gt;35,BY40+BX41-CG40,IF(A41&lt;'Données projet'!$A$114,$BV$205^A41,IF(A41='Données projet'!$A$114,'Données projet'!$B$114,BY40+BX41-CG40)))</f>
        <v>82.2</v>
      </c>
      <c r="BZ41" s="13">
        <f>BY41*VLOOKUP('Données projet'!$B$12,Paramètres!$A$1:$I$89,3,0)*VLOOKUP('Données projet'!$B$12,Paramètres!$A$1:$I$89,5,0)</f>
        <v>78.221520000000012</v>
      </c>
      <c r="CA41" s="13">
        <f t="shared" si="39"/>
        <v>21.701769187765223</v>
      </c>
      <c r="CB41" s="20">
        <f t="shared" si="10"/>
        <v>174.03306200202442</v>
      </c>
      <c r="CC41" s="59">
        <f t="shared" si="11"/>
        <v>467.36639533535777</v>
      </c>
      <c r="CD41" s="59">
        <f ca="1">AVERAGE(OFFSET($CC$3,0,0,'Données projet'!$E$12+1,1))-AVERAGE(OFFSET($H$3,0,0,'Données projet'!$E$12+1,1))</f>
        <v>292.61712942007972</v>
      </c>
      <c r="CE41" s="59">
        <f t="shared" si="40"/>
        <v>152.23954167722536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5.4</v>
      </c>
      <c r="CT41" s="12">
        <f>IF('Données projet'!$A$140&gt;35,CT40+CS41-DB40,IF(A41&lt;'Données projet'!$A$140,$CQ$205^A41,IF(A41='Données projet'!$A$140,'Données projet'!$B$140,CT40+CS41-DB40)))</f>
        <v>82.2</v>
      </c>
      <c r="CU41" s="17">
        <f>CT41*VLOOKUP('Données projet'!$B$13,Paramètres!$A$1:$I$89,3,0)*VLOOKUP('Données projet'!$B$13,Paramètres!$A$1:$I$89,5,0)</f>
        <v>79.503839999999997</v>
      </c>
      <c r="CV41" s="13">
        <f t="shared" si="41"/>
        <v>22.015826538921051</v>
      </c>
      <c r="CW41" s="20">
        <f t="shared" si="13"/>
        <v>176.81341922195415</v>
      </c>
      <c r="CX41" s="59">
        <f t="shared" si="14"/>
        <v>470.14675255528743</v>
      </c>
      <c r="CY41" s="59">
        <f ca="1">AVERAGE(OFFSET($CX$3,0,0,'Données projet'!$E$13+1,1))-AVERAGE(OFFSET($H$3,0,0,'Données projet'!$E$13+1,1))</f>
        <v>296.78766823247003</v>
      </c>
      <c r="CZ41" s="59">
        <f t="shared" si="42"/>
        <v>154.08406475869634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</v>
      </c>
      <c r="N42" s="13">
        <f>IF('Données projet'!$A$36&gt;35,N41+M42-V41,IF(A42&lt;'Données projet'!$A$36,$K$205^A42,IF(A42='Données projet'!$A$36,'Données projet'!$B$36,N41+M42-V41)))</f>
        <v>286</v>
      </c>
      <c r="O42" s="13">
        <f>N42*VLOOKUP('Données projet'!$B$9,Paramètres!$A$1:$I$89,3,0)*VLOOKUP('Données projet'!$B$9,Paramètres!$A$1:$I$89,5,0)</f>
        <v>133.84799999999998</v>
      </c>
      <c r="P42" s="13">
        <f t="shared" si="33"/>
        <v>34.884003992121656</v>
      </c>
      <c r="Q42" s="20">
        <f t="shared" si="53"/>
        <v>293.8749069529452</v>
      </c>
      <c r="R42" s="59">
        <f t="shared" si="0"/>
        <v>587.20824028627851</v>
      </c>
      <c r="S42" s="59">
        <f ca="1">AVERAGE(OFFSET($R$3,0,0,'Données projet'!$E$9+1,1))-AVERAGE(OFFSET($H$3,0,0,'Données projet'!$E$9+1,1))</f>
        <v>229.61973863654862</v>
      </c>
      <c r="T42" s="59">
        <f t="shared" si="34"/>
        <v>254.08208375594052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2.8571246351073714</v>
      </c>
      <c r="AA42" s="21">
        <f>EXP(-LN(2)/25)*AA41+(1-EXP(-LN(2)/25))/(LN(2)/25)*Calculateur!V42*Calculateur!X42*VLOOKUP('Données projet'!$B$9,Paramètres!$A$1:$I$89,3,0)*0.475*44/12</f>
        <v>11.918835267558302</v>
      </c>
      <c r="AB42" s="21">
        <f>EXP(-LN(2)/2)*AB41+(1-EXP(-LN(2)/2))/(LN(2)/2)*V42*Y42*VLOOKUP('Données projet'!$B$9,Paramètres!$A$1:$I$89,3,0)*0.475*44/12</f>
        <v>0.42269160067997763</v>
      </c>
      <c r="AC42" s="22">
        <f t="shared" si="3"/>
        <v>15.198651503345651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21</v>
      </c>
      <c r="AI42" s="13">
        <f>IF('Données projet'!$A$62&gt;35,AI41+AH42-AQ41,IF(A42&lt;'Données projet'!$A$62,$AF$205^A42,IF(A42='Données projet'!$A$62,'Données projet'!$B$62,AI41+AH42-AQ41)))</f>
        <v>358</v>
      </c>
      <c r="AJ42" s="13">
        <f>AI42*VLOOKUP('Données projet'!$B$10,Paramètres!$A$1:$I$89,3,0)*VLOOKUP('Données projet'!$B$10,Paramètres!$A$1:$I$89,5,0)</f>
        <v>214.084</v>
      </c>
      <c r="AK42" s="13">
        <f t="shared" si="35"/>
        <v>52.827039557879814</v>
      </c>
      <c r="AL42" s="20">
        <f t="shared" si="4"/>
        <v>464.87006056330733</v>
      </c>
      <c r="AM42" s="59">
        <f t="shared" si="5"/>
        <v>758.20339389664059</v>
      </c>
      <c r="AN42" s="59">
        <f ca="1">AVERAGE(OFFSET($AM$3,0,0,'Données projet'!$E$10+1,1))-AVERAGE(OFFSET($H$3,0,0,'Données projet'!$E$10+1,1))</f>
        <v>348.76139845974495</v>
      </c>
      <c r="AO42" s="59">
        <f t="shared" si="36"/>
        <v>398.5142967182872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21.545162284871292</v>
      </c>
      <c r="AV42" s="21">
        <f>EXP(-LN(2)/25)*AV41+(1-EXP(-LN(2)/25))/(LN(2)/25)*Calculateur!AQ42*Calculateur!AS42*VLOOKUP('Données projet'!$B$10,Paramètres!$A$1:$I$89,3,0)*0.475*44/12</f>
        <v>22.222063971855778</v>
      </c>
      <c r="AW42" s="21">
        <f>EXP(-LN(2)/2)*AW41+(1-EXP(-LN(2)/2))/(LN(2)/2)*AQ42*AT42*VLOOKUP('Données projet'!$B$10,Paramètres!$A$1:$I$89,3,0)*0.475*44/12</f>
        <v>3.0106155677394808</v>
      </c>
      <c r="AX42" s="21">
        <f t="shared" si="6"/>
        <v>46.777841824466549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128.60000000000002</v>
      </c>
      <c r="BE42" s="13">
        <f>BD42*VLOOKUP('Données projet'!$B$11,Paramètres!$A$1:$I$89,3,0)*VLOOKUP('Données projet'!$B$11,Paramètres!$A$1:$I$89,5,0)</f>
        <v>130.40040000000002</v>
      </c>
      <c r="BF42" s="13">
        <f t="shared" si="37"/>
        <v>34.088863450406919</v>
      </c>
      <c r="BG42" s="20">
        <f t="shared" si="7"/>
        <v>286.48546717612544</v>
      </c>
      <c r="BH42" s="59">
        <f t="shared" si="8"/>
        <v>579.8188005094587</v>
      </c>
      <c r="BI42" s="59">
        <f ca="1">AVERAGE(OFFSET($BH$3,0,0,'Données projet'!$E$11+1,1))-AVERAGE(OFFSET($H$3,0,0,'Données projet'!$E$11+1,1))</f>
        <v>413.81510455446738</v>
      </c>
      <c r="BJ42" s="59">
        <f t="shared" si="38"/>
        <v>254.25036207346602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5.4</v>
      </c>
      <c r="BY42" s="12">
        <f>IF('Données projet'!$A$114&gt;35,BY41+BX42-CG41,IF(A42&lt;'Données projet'!$A$114,$BV$205^A42,IF(A42='Données projet'!$A$114,'Données projet'!$B$114,BY41+BX42-CG41)))</f>
        <v>87.600000000000009</v>
      </c>
      <c r="BZ42" s="13">
        <f>BY42*VLOOKUP('Données projet'!$B$12,Paramètres!$A$1:$I$89,3,0)*VLOOKUP('Données projet'!$B$12,Paramètres!$A$1:$I$89,5,0)</f>
        <v>83.360160000000008</v>
      </c>
      <c r="CA42" s="13">
        <f t="shared" si="39"/>
        <v>22.956783071137561</v>
      </c>
      <c r="CB42" s="20">
        <f t="shared" si="10"/>
        <v>185.16867584889792</v>
      </c>
      <c r="CC42" s="59">
        <f t="shared" si="11"/>
        <v>478.50200918223123</v>
      </c>
      <c r="CD42" s="59">
        <f ca="1">AVERAGE(OFFSET($CC$3,0,0,'Données projet'!$E$12+1,1))-AVERAGE(OFFSET($H$3,0,0,'Données projet'!$E$12+1,1))</f>
        <v>292.61712942007972</v>
      </c>
      <c r="CE42" s="59">
        <f t="shared" si="40"/>
        <v>152.23954167722536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5.4</v>
      </c>
      <c r="CT42" s="12">
        <f>IF('Données projet'!$A$140&gt;35,CT41+CS42-DB41,IF(A42&lt;'Données projet'!$A$140,$CQ$205^A42,IF(A42='Données projet'!$A$140,'Données projet'!$B$140,CT41+CS42-DB41)))</f>
        <v>87.600000000000009</v>
      </c>
      <c r="CU42" s="17">
        <f>CT42*VLOOKUP('Données projet'!$B$13,Paramètres!$A$1:$I$89,3,0)*VLOOKUP('Données projet'!$B$13,Paramètres!$A$1:$I$89,5,0)</f>
        <v>84.726720000000014</v>
      </c>
      <c r="CV42" s="13">
        <f t="shared" si="41"/>
        <v>23.289002367177517</v>
      </c>
      <c r="CW42" s="20">
        <f t="shared" si="13"/>
        <v>188.1273831228342</v>
      </c>
      <c r="CX42" s="59">
        <f t="shared" si="14"/>
        <v>481.46071645616752</v>
      </c>
      <c r="CY42" s="59">
        <f ca="1">AVERAGE(OFFSET($CX$3,0,0,'Données projet'!$E$13+1,1))-AVERAGE(OFFSET($H$3,0,0,'Données projet'!$E$13+1,1))</f>
        <v>296.78766823247003</v>
      </c>
      <c r="CZ42" s="59">
        <f t="shared" si="42"/>
        <v>154.08406475869634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300</v>
      </c>
      <c r="L43" s="12">
        <f>VLOOKUP(A43,'Données projet'!$A$35:$I$55,9,0)</f>
        <v>14</v>
      </c>
      <c r="M43" s="12">
        <f t="array" ref="M43">INDEX(L:L,MIN(IF(ISNUMBER(L43:L239),ROW(L43:L239),"")))</f>
        <v>14</v>
      </c>
      <c r="N43" s="13">
        <f>IF('Données projet'!$A$36&gt;35,N42+M43-V42,IF(A43&lt;'Données projet'!$A$36,$K$205^A43,IF(A43='Données projet'!$A$36,'Données projet'!$B$36,N42+M43-V42)))</f>
        <v>300</v>
      </c>
      <c r="O43" s="13">
        <f>N43*VLOOKUP('Données projet'!$B$9,Paramètres!$A$1:$I$89,3,0)*VLOOKUP('Données projet'!$B$9,Paramètres!$A$1:$I$89,5,0)</f>
        <v>140.4</v>
      </c>
      <c r="P43" s="13">
        <f t="shared" si="33"/>
        <v>36.388624656711201</v>
      </c>
      <c r="Q43" s="20">
        <f t="shared" si="53"/>
        <v>307.90685461043864</v>
      </c>
      <c r="R43" s="59">
        <f t="shared" si="0"/>
        <v>601.24018794377196</v>
      </c>
      <c r="S43" s="59">
        <f ca="1">AVERAGE(OFFSET($R$3,0,0,'Données projet'!$E$9+1,1))-AVERAGE(OFFSET($H$3,0,0,'Données projet'!$E$9+1,1))</f>
        <v>229.61973863654862</v>
      </c>
      <c r="T43" s="59">
        <f t="shared" si="34"/>
        <v>254.08208375594052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50</v>
      </c>
      <c r="W43" s="16">
        <f>IF(ISNA(VLOOKUP(A43,'Données projet'!$A$35:$I$55,5,0)),0%,VLOOKUP(A43,'Données projet'!$A$35:$I$55,5,0)*VLOOKUP('Données projet'!$B$9,Paramètres!$A$1:$I$89,7,0))</f>
        <v>0.16500000000000001</v>
      </c>
      <c r="X43" s="16">
        <f>IF(ISNA(VLOOKUP(A43,'Données projet'!$A$35:$I$55,6,0)),0%,VLOOKUP(A43,'Données projet'!$A$35:$I$55,6,0)*VLOOKUP('Données projet'!$B$9,Paramètres!$A$1:$I$89,7,0))</f>
        <v>0.21450000000000002</v>
      </c>
      <c r="Y43" s="16">
        <f>IF(ISNA(VLOOKUP(A43,'Données projet'!$A$35:$I$55,7,0)),0%,VLOOKUP(A43,'Données projet'!$A$35:$I$55,7,0))</f>
        <v>0.31</v>
      </c>
      <c r="Z43" s="21">
        <f>EXP(-LN(2)/35)*Z42+(1-EXP(-LN(2)/35))/(LN(2)/35)*V43*W43*VLOOKUP('Données projet'!$B$9,Paramètres!$A$1:$I$89,3,0)*0.475*44/12</f>
        <v>7.9229635261389344</v>
      </c>
      <c r="AA43" s="21">
        <f>EXP(-LN(2)/25)*AA42+(1-EXP(-LN(2)/25))/(LN(2)/25)*Calculateur!V43*Calculateur!X43*VLOOKUP('Données projet'!$B$9,Paramètres!$A$1:$I$89,3,0)*0.475*44/12</f>
        <v>18.225122305399918</v>
      </c>
      <c r="AB43" s="21">
        <f>EXP(-LN(2)/2)*AB42+(1-EXP(-LN(2)/2))/(LN(2)/2)*V43*Y43*VLOOKUP('Données projet'!$B$9,Paramètres!$A$1:$I$89,3,0)*0.475*44/12</f>
        <v>8.5121011834483884</v>
      </c>
      <c r="AC43" s="22">
        <f t="shared" si="3"/>
        <v>34.660187014987237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379</v>
      </c>
      <c r="AG43" s="12">
        <f>VLOOKUP(A43,'Données projet'!$A$61:$I$81,9,0)</f>
        <v>21</v>
      </c>
      <c r="AH43" s="12">
        <f t="array" ref="AH43">INDEX(AG:AG,MIN(IF(ISNUMBER(AG43:AG239),ROW(AG43:AG239),"")))</f>
        <v>21</v>
      </c>
      <c r="AI43" s="13">
        <f>IF('Données projet'!$A$62&gt;35,AI42+AH43-AQ42,IF(A43&lt;'Données projet'!$A$62,$AF$205^A43,IF(A43='Données projet'!$A$62,'Données projet'!$B$62,AI42+AH43-AQ42)))</f>
        <v>379</v>
      </c>
      <c r="AJ43" s="13">
        <f>AI43*VLOOKUP('Données projet'!$B$10,Paramètres!$A$1:$I$89,3,0)*VLOOKUP('Données projet'!$B$10,Paramètres!$A$1:$I$89,5,0)</f>
        <v>226.64200000000002</v>
      </c>
      <c r="AK43" s="13">
        <f t="shared" si="35"/>
        <v>55.555983079812862</v>
      </c>
      <c r="AL43" s="20">
        <f t="shared" si="4"/>
        <v>491.49482053067408</v>
      </c>
      <c r="AM43" s="59">
        <f t="shared" si="5"/>
        <v>784.82815386400739</v>
      </c>
      <c r="AN43" s="59">
        <f ca="1">AVERAGE(OFFSET($AM$3,0,0,'Données projet'!$E$10+1,1))-AVERAGE(OFFSET($H$3,0,0,'Données projet'!$E$10+1,1))</f>
        <v>348.76139845974495</v>
      </c>
      <c r="AO43" s="59">
        <f t="shared" si="36"/>
        <v>398.5142967182872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0.22500000000000001</v>
      </c>
      <c r="AS43" s="16">
        <f>IF(ISNA(VLOOKUP(A43,'Données projet'!$A$61:$I$81,6,0)),0%,VLOOKUP(A43,'Données projet'!$A$61:$I$81,6,0)*VLOOKUP('Données projet'!$B$10,Paramètres!$A$1:$I$89,7,0))</f>
        <v>0.12600000000000003</v>
      </c>
      <c r="AT43" s="16">
        <f>IF(ISNA(VLOOKUP(A43,'Données projet'!$A$61:$I$81,7,0)),0%,VLOOKUP(A43,'Données projet'!$A$61:$I$81,7,0))</f>
        <v>0.22</v>
      </c>
      <c r="AU43" s="21">
        <f>EXP(-LN(2)/35)*AU42+(1-EXP(-LN(2)/35))/(LN(2)/35)*AQ43*AR43*VLOOKUP('Données projet'!$B$10,Paramètres!$A$1:$I$89,3,0)*0.475*44/12</f>
        <v>31.118072652562219</v>
      </c>
      <c r="AV43" s="21">
        <f>EXP(-LN(2)/25)*AV42+(1-EXP(-LN(2)/25))/(LN(2)/25)*Calculateur!AQ43*Calculateur!AS43*VLOOKUP('Données projet'!$B$10,Paramètres!$A$1:$I$89,3,0)*0.475*44/12</f>
        <v>27.189784078538853</v>
      </c>
      <c r="AW43" s="21">
        <f>EXP(-LN(2)/2)*AW42+(1-EXP(-LN(2)/2))/(LN(2)/2)*AQ43*AT43*VLOOKUP('Données projet'!$B$10,Paramètres!$A$1:$I$89,3,0)*0.475*44/12</f>
        <v>10.470389622998958</v>
      </c>
      <c r="AX43" s="21">
        <f t="shared" si="6"/>
        <v>68.77824635410002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137.00000000000003</v>
      </c>
      <c r="BE43" s="13">
        <f>BD43*VLOOKUP('Données projet'!$B$11,Paramètres!$A$1:$I$89,3,0)*VLOOKUP('Données projet'!$B$11,Paramètres!$A$1:$I$89,5,0)</f>
        <v>138.91800000000003</v>
      </c>
      <c r="BF43" s="13">
        <f t="shared" si="37"/>
        <v>36.049022673886341</v>
      </c>
      <c r="BG43" s="20">
        <f t="shared" si="7"/>
        <v>304.73423115701877</v>
      </c>
      <c r="BH43" s="59">
        <f t="shared" si="8"/>
        <v>598.06756449035208</v>
      </c>
      <c r="BI43" s="59">
        <f ca="1">AVERAGE(OFFSET($BH$3,0,0,'Données projet'!$E$11+1,1))-AVERAGE(OFFSET($H$3,0,0,'Données projet'!$E$11+1,1))</f>
        <v>413.81510455446738</v>
      </c>
      <c r="BJ43" s="59">
        <f t="shared" si="38"/>
        <v>254.25036207346602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2.0244302185126197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2.0244302185126197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93</v>
      </c>
      <c r="BW43" s="12">
        <f>VLOOKUP(A43,'Données projet'!$A$113:$I$133,9,0)</f>
        <v>5.4</v>
      </c>
      <c r="BX43" s="12">
        <f t="array" ref="BX43">INDEX(BW:BW,MIN(IF(ISNUMBER(BW43:BW239),ROW(BW43:BW239),"")))</f>
        <v>5.4</v>
      </c>
      <c r="BY43" s="12">
        <f>IF('Données projet'!$A$114&gt;35,BY42+BX43-CG42,IF(A43&lt;'Données projet'!$A$114,$BV$205^A43,IF(A43='Données projet'!$A$114,'Données projet'!$B$114,BY42+BX43-CG42)))</f>
        <v>93.000000000000014</v>
      </c>
      <c r="BZ43" s="13">
        <f>BY43*VLOOKUP('Données projet'!$B$12,Paramètres!$A$1:$I$89,3,0)*VLOOKUP('Données projet'!$B$12,Paramètres!$A$1:$I$89,5,0)</f>
        <v>88.498800000000003</v>
      </c>
      <c r="CA43" s="13">
        <f t="shared" si="39"/>
        <v>24.202818028970764</v>
      </c>
      <c r="CB43" s="20">
        <f t="shared" si="10"/>
        <v>196.28865140045741</v>
      </c>
      <c r="CC43" s="59">
        <f t="shared" si="11"/>
        <v>489.62198473379073</v>
      </c>
      <c r="CD43" s="59">
        <f ca="1">AVERAGE(OFFSET($CC$3,0,0,'Données projet'!$E$12+1,1))-AVERAGE(OFFSET($H$3,0,0,'Données projet'!$E$12+1,1))</f>
        <v>292.61712942007972</v>
      </c>
      <c r="CE43" s="59">
        <f t="shared" si="40"/>
        <v>152.23954167722536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14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93</v>
      </c>
      <c r="CR43" s="12">
        <f>VLOOKUP(A43,'Données projet'!$A$139:$I$159,9,0)</f>
        <v>5.4</v>
      </c>
      <c r="CS43" s="12">
        <f t="array" ref="CS43">INDEX(CR:CR,MIN(IF(ISNUMBER(CR43:CR239),ROW(CR43:CR239),"")))</f>
        <v>5.4</v>
      </c>
      <c r="CT43" s="12">
        <f>IF('Données projet'!$A$140&gt;35,CT42+CS43-DB42,IF(A43&lt;'Données projet'!$A$140,$CQ$205^A43,IF(A43='Données projet'!$A$140,'Données projet'!$B$140,CT42+CS43-DB42)))</f>
        <v>93.000000000000014</v>
      </c>
      <c r="CU43" s="17">
        <f>CT43*VLOOKUP('Données projet'!$B$13,Paramètres!$A$1:$I$89,3,0)*VLOOKUP('Données projet'!$B$13,Paramètres!$A$1:$I$89,5,0)</f>
        <v>89.949600000000018</v>
      </c>
      <c r="CV43" s="13">
        <f t="shared" si="41"/>
        <v>24.553069331291834</v>
      </c>
      <c r="CW43" s="20">
        <f t="shared" si="13"/>
        <v>199.42548241866663</v>
      </c>
      <c r="CX43" s="59">
        <f t="shared" si="14"/>
        <v>492.75881575199992</v>
      </c>
      <c r="CY43" s="59">
        <f ca="1">AVERAGE(OFFSET($CX$3,0,0,'Données projet'!$E$13+1,1))-AVERAGE(OFFSET($H$3,0,0,'Données projet'!$E$13+1,1))</f>
        <v>296.78766823247003</v>
      </c>
      <c r="CZ43" s="59">
        <f t="shared" si="42"/>
        <v>154.08406475869634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14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</v>
      </c>
      <c r="N44" s="13">
        <f>IF('Données projet'!$A$36&gt;35,N43+M44-V43,IF(A44&lt;'Données projet'!$A$36,$K$205^A44,IF(A44='Données projet'!$A$36,'Données projet'!$B$36,N43+M44-V43)))</f>
        <v>264</v>
      </c>
      <c r="O44" s="13">
        <f>N44*VLOOKUP('Données projet'!$B$9,Paramètres!$A$1:$I$89,3,0)*VLOOKUP('Données projet'!$B$9,Paramètres!$A$1:$I$89,5,0)</f>
        <v>123.55199999999999</v>
      </c>
      <c r="P44" s="13">
        <f t="shared" si="33"/>
        <v>32.502033262579566</v>
      </c>
      <c r="Q44" s="20">
        <f t="shared" si="53"/>
        <v>271.79410793232609</v>
      </c>
      <c r="R44" s="59">
        <f t="shared" si="0"/>
        <v>565.1274412656594</v>
      </c>
      <c r="S44" s="59">
        <f ca="1">AVERAGE(OFFSET($R$3,0,0,'Données projet'!$E$9+1,1))-AVERAGE(OFFSET($H$3,0,0,'Données projet'!$E$9+1,1))</f>
        <v>229.61973863654862</v>
      </c>
      <c r="T44" s="59">
        <f t="shared" si="34"/>
        <v>254.08208375594052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7.767599043921928</v>
      </c>
      <c r="AA44" s="21">
        <f>EXP(-LN(2)/25)*AA43+(1-EXP(-LN(2)/25))/(LN(2)/25)*Calculateur!V44*Calculateur!X44*VLOOKUP('Données projet'!$B$9,Paramètres!$A$1:$I$89,3,0)*0.475*44/12</f>
        <v>17.726755377541227</v>
      </c>
      <c r="AB44" s="21">
        <f>EXP(-LN(2)/2)*AB43+(1-EXP(-LN(2)/2))/(LN(2)/2)*V44*Y44*VLOOKUP('Données projet'!$B$9,Paramètres!$A$1:$I$89,3,0)*0.475*44/12</f>
        <v>6.018964468962392</v>
      </c>
      <c r="AC44" s="22">
        <f t="shared" si="3"/>
        <v>31.513318890425548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19.600000000000001</v>
      </c>
      <c r="AI44" s="13">
        <f>IF('Données projet'!$A$62&gt;35,AI43+AH44-AQ43,IF(A44&lt;'Données projet'!$A$62,$AF$205^A44,IF(A44='Données projet'!$A$62,'Données projet'!$B$62,AI43+AH44-AQ43)))</f>
        <v>342.6</v>
      </c>
      <c r="AJ44" s="13">
        <f>AI44*VLOOKUP('Données projet'!$B$10,Paramètres!$A$1:$I$89,3,0)*VLOOKUP('Données projet'!$B$10,Paramètres!$A$1:$I$89,5,0)</f>
        <v>204.87480000000002</v>
      </c>
      <c r="AK44" s="13">
        <f t="shared" si="35"/>
        <v>50.813995071401308</v>
      </c>
      <c r="AL44" s="20">
        <f t="shared" si="4"/>
        <v>445.32465141602398</v>
      </c>
      <c r="AM44" s="59">
        <f t="shared" si="5"/>
        <v>738.6579847493573</v>
      </c>
      <c r="AN44" s="59">
        <f ca="1">AVERAGE(OFFSET($AM$3,0,0,'Données projet'!$E$10+1,1))-AVERAGE(OFFSET($H$3,0,0,'Données projet'!$E$10+1,1))</f>
        <v>348.76139845974495</v>
      </c>
      <c r="AO44" s="59">
        <f t="shared" si="36"/>
        <v>398.5142967182872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30.50786622799566</v>
      </c>
      <c r="AV44" s="21">
        <f>EXP(-LN(2)/25)*AV43+(1-EXP(-LN(2)/25))/(LN(2)/25)*Calculateur!AQ44*Calculateur!AS44*VLOOKUP('Données projet'!$B$10,Paramètres!$A$1:$I$89,3,0)*0.475*44/12</f>
        <v>26.446278003062606</v>
      </c>
      <c r="AW44" s="21">
        <f>EXP(-LN(2)/2)*AW43+(1-EXP(-LN(2)/2))/(LN(2)/2)*AQ44*AT44*VLOOKUP('Données projet'!$B$10,Paramètres!$A$1:$I$89,3,0)*0.475*44/12</f>
        <v>7.4036835040878231</v>
      </c>
      <c r="AX44" s="21">
        <f t="shared" si="6"/>
        <v>64.357827735146088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124.40000000000003</v>
      </c>
      <c r="BE44" s="13">
        <f>BD44*VLOOKUP('Données projet'!$B$11,Paramètres!$A$1:$I$89,3,0)*VLOOKUP('Données projet'!$B$11,Paramètres!$A$1:$I$89,5,0)</f>
        <v>126.14160000000005</v>
      </c>
      <c r="BF44" s="13">
        <f t="shared" si="37"/>
        <v>33.10323903126482</v>
      </c>
      <c r="BG44" s="20">
        <f t="shared" si="7"/>
        <v>277.35142797945298</v>
      </c>
      <c r="BH44" s="59">
        <f t="shared" si="8"/>
        <v>570.68476131278635</v>
      </c>
      <c r="BI44" s="59">
        <f ca="1">AVERAGE(OFFSET($BH$3,0,0,'Données projet'!$E$11+1,1))-AVERAGE(OFFSET($H$3,0,0,'Données projet'!$E$11+1,1))</f>
        <v>413.81510455446738</v>
      </c>
      <c r="BJ44" s="59">
        <f t="shared" si="38"/>
        <v>254.25036207346602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1.984732376708096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1.984732376708096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84.600000000000009</v>
      </c>
      <c r="BZ44" s="13">
        <f>BY44*VLOOKUP('Données projet'!$B$12,Paramètres!$A$1:$I$89,3,0)*VLOOKUP('Données projet'!$B$12,Paramètres!$A$1:$I$89,5,0)</f>
        <v>80.50536000000001</v>
      </c>
      <c r="CA44" s="13">
        <f t="shared" si="39"/>
        <v>22.260701954394872</v>
      </c>
      <c r="CB44" s="20">
        <f t="shared" si="10"/>
        <v>178.98422457057109</v>
      </c>
      <c r="CC44" s="59">
        <f t="shared" si="11"/>
        <v>472.3175579039044</v>
      </c>
      <c r="CD44" s="59">
        <f ca="1">AVERAGE(OFFSET($CC$3,0,0,'Données projet'!$E$12+1,1))-AVERAGE(OFFSET($H$3,0,0,'Données projet'!$E$12+1,1))</f>
        <v>292.61712942007972</v>
      </c>
      <c r="CE44" s="59">
        <f t="shared" si="40"/>
        <v>152.23954167722536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81.825120000000013</v>
      </c>
      <c r="CV44" s="13">
        <f t="shared" si="41"/>
        <v>22.58284790619167</v>
      </c>
      <c r="CW44" s="20">
        <f t="shared" si="13"/>
        <v>181.84387743661719</v>
      </c>
      <c r="CX44" s="59">
        <f t="shared" si="14"/>
        <v>475.17721076995053</v>
      </c>
      <c r="CY44" s="59">
        <f ca="1">AVERAGE(OFFSET($CX$3,0,0,'Données projet'!$E$13+1,1))-AVERAGE(OFFSET($H$3,0,0,'Données projet'!$E$13+1,1))</f>
        <v>296.78766823247003</v>
      </c>
      <c r="CZ44" s="59">
        <f t="shared" si="42"/>
        <v>154.08406475869634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</v>
      </c>
      <c r="N45" s="13">
        <f>IF('Données projet'!$A$36&gt;35,N44+M45-V44,IF(A45&lt;'Données projet'!$A$36,$K$205^A45,IF(A45='Données projet'!$A$36,'Données projet'!$B$36,N44+M45-V44)))</f>
        <v>278</v>
      </c>
      <c r="O45" s="13">
        <f>N45*VLOOKUP('Données projet'!$B$9,Paramètres!$A$1:$I$89,3,0)*VLOOKUP('Données projet'!$B$9,Paramètres!$A$1:$I$89,5,0)</f>
        <v>130.10400000000001</v>
      </c>
      <c r="P45" s="13">
        <f t="shared" si="33"/>
        <v>34.020389560268086</v>
      </c>
      <c r="Q45" s="20">
        <f t="shared" si="53"/>
        <v>285.8499784841336</v>
      </c>
      <c r="R45" s="59">
        <f t="shared" si="0"/>
        <v>579.18331181746692</v>
      </c>
      <c r="S45" s="59">
        <f ca="1">AVERAGE(OFFSET($R$3,0,0,'Données projet'!$E$9+1,1))-AVERAGE(OFFSET($H$3,0,0,'Données projet'!$E$9+1,1))</f>
        <v>229.61973863654862</v>
      </c>
      <c r="T45" s="59">
        <f t="shared" si="34"/>
        <v>254.08208375594052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7.6152811644382199</v>
      </c>
      <c r="AA45" s="21">
        <f>EXP(-LN(2)/25)*AA44+(1-EXP(-LN(2)/25))/(LN(2)/25)*Calculateur!V45*Calculateur!X45*VLOOKUP('Données projet'!$B$9,Paramètres!$A$1:$I$89,3,0)*0.475*44/12</f>
        <v>17.242016319532812</v>
      </c>
      <c r="AB45" s="21">
        <f>EXP(-LN(2)/2)*AB44+(1-EXP(-LN(2)/2))/(LN(2)/2)*V45*Y45*VLOOKUP('Données projet'!$B$9,Paramètres!$A$1:$I$89,3,0)*0.475*44/12</f>
        <v>4.2560505917241942</v>
      </c>
      <c r="AC45" s="22">
        <f t="shared" si="3"/>
        <v>29.113348075695225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19.600000000000001</v>
      </c>
      <c r="AI45" s="13">
        <f>IF('Données projet'!$A$62&gt;35,AI44+AH45-AQ44,IF(A45&lt;'Données projet'!$A$62,$AF$205^A45,IF(A45='Données projet'!$A$62,'Données projet'!$B$62,AI44+AH45-AQ44)))</f>
        <v>362.20000000000005</v>
      </c>
      <c r="AJ45" s="13">
        <f>AI45*VLOOKUP('Données projet'!$B$10,Paramètres!$A$1:$I$89,3,0)*VLOOKUP('Données projet'!$B$10,Paramètres!$A$1:$I$89,5,0)</f>
        <v>216.59560000000005</v>
      </c>
      <c r="AK45" s="13">
        <f t="shared" si="35"/>
        <v>53.374285937607603</v>
      </c>
      <c r="AL45" s="20">
        <f t="shared" si="4"/>
        <v>470.19755134133334</v>
      </c>
      <c r="AM45" s="59">
        <f t="shared" si="5"/>
        <v>763.53088467466659</v>
      </c>
      <c r="AN45" s="59">
        <f ca="1">AVERAGE(OFFSET($AM$3,0,0,'Données projet'!$E$10+1,1))-AVERAGE(OFFSET($H$3,0,0,'Données projet'!$E$10+1,1))</f>
        <v>348.76139845974495</v>
      </c>
      <c r="AO45" s="59">
        <f t="shared" si="36"/>
        <v>398.5142967182872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29.909625579225679</v>
      </c>
      <c r="AV45" s="21">
        <f>EXP(-LN(2)/25)*AV44+(1-EXP(-LN(2)/25))/(LN(2)/25)*Calculateur!AQ45*Calculateur!AS45*VLOOKUP('Données projet'!$B$10,Paramètres!$A$1:$I$89,3,0)*0.475*44/12</f>
        <v>25.723103140319541</v>
      </c>
      <c r="AW45" s="21">
        <f>EXP(-LN(2)/2)*AW44+(1-EXP(-LN(2)/2))/(LN(2)/2)*AQ45*AT45*VLOOKUP('Données projet'!$B$10,Paramètres!$A$1:$I$89,3,0)*0.475*44/12</f>
        <v>5.23519481149948</v>
      </c>
      <c r="AX45" s="21">
        <f t="shared" si="6"/>
        <v>60.867923531044703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132.80000000000004</v>
      </c>
      <c r="BE45" s="13">
        <f>BD45*VLOOKUP('Données projet'!$B$11,Paramètres!$A$1:$I$89,3,0)*VLOOKUP('Données projet'!$B$11,Paramètres!$A$1:$I$89,5,0)</f>
        <v>134.65920000000006</v>
      </c>
      <c r="BF45" s="13">
        <f t="shared" si="37"/>
        <v>35.07074737441733</v>
      </c>
      <c r="BG45" s="20">
        <f t="shared" si="7"/>
        <v>295.61299167711024</v>
      </c>
      <c r="BH45" s="59">
        <f t="shared" si="8"/>
        <v>588.94632501044362</v>
      </c>
      <c r="BI45" s="59">
        <f ca="1">AVERAGE(OFFSET($BH$3,0,0,'Données projet'!$E$11+1,1))-AVERAGE(OFFSET($H$3,0,0,'Données projet'!$E$11+1,1))</f>
        <v>413.81510455446738</v>
      </c>
      <c r="BJ45" s="59">
        <f t="shared" si="38"/>
        <v>254.25036207346602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1.9458129853680664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1.9458129853680664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</v>
      </c>
      <c r="BZ45" s="13">
        <f>BY45*VLOOKUP('Données projet'!$B$12,Paramètres!$A$1:$I$89,3,0)*VLOOKUP('Données projet'!$B$12,Paramètres!$A$1:$I$89,5,0)</f>
        <v>85.834320000000005</v>
      </c>
      <c r="CA45" s="13">
        <f t="shared" si="39"/>
        <v>23.557809132261784</v>
      </c>
      <c r="CB45" s="20">
        <f t="shared" si="10"/>
        <v>190.52462490535595</v>
      </c>
      <c r="CC45" s="59">
        <f t="shared" si="11"/>
        <v>483.85795823868926</v>
      </c>
      <c r="CD45" s="59">
        <f ca="1">AVERAGE(OFFSET($CC$3,0,0,'Données projet'!$E$12+1,1))-AVERAGE(OFFSET($H$3,0,0,'Données projet'!$E$12+1,1))</f>
        <v>292.61712942007972</v>
      </c>
      <c r="CE45" s="59">
        <f t="shared" si="40"/>
        <v>152.23954167722536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87.241439999999997</v>
      </c>
      <c r="CV45" s="13">
        <f t="shared" si="41"/>
        <v>23.898726182438701</v>
      </c>
      <c r="CW45" s="20">
        <f t="shared" si="13"/>
        <v>193.56912276774736</v>
      </c>
      <c r="CX45" s="59">
        <f t="shared" si="14"/>
        <v>486.9024561010807</v>
      </c>
      <c r="CY45" s="59">
        <f ca="1">AVERAGE(OFFSET($CX$3,0,0,'Données projet'!$E$13+1,1))-AVERAGE(OFFSET($H$3,0,0,'Données projet'!$E$13+1,1))</f>
        <v>296.78766823247003</v>
      </c>
      <c r="CZ45" s="59">
        <f t="shared" si="42"/>
        <v>154.08406475869634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</v>
      </c>
      <c r="N46" s="13">
        <f>IF('Données projet'!$A$36&gt;35,N45+M46-V45,IF(A46&lt;'Données projet'!$A$36,$K$205^A46,IF(A46='Données projet'!$A$36,'Données projet'!$B$36,N45+M46-V45)))</f>
        <v>292</v>
      </c>
      <c r="O46" s="13">
        <f>N46*VLOOKUP('Données projet'!$B$9,Paramètres!$A$1:$I$89,3,0)*VLOOKUP('Données projet'!$B$9,Paramètres!$A$1:$I$89,5,0)</f>
        <v>136.65600000000001</v>
      </c>
      <c r="P46" s="13">
        <f t="shared" si="33"/>
        <v>35.52986752364091</v>
      </c>
      <c r="Q46" s="20">
        <f t="shared" si="53"/>
        <v>299.89038593700792</v>
      </c>
      <c r="R46" s="59">
        <f t="shared" si="0"/>
        <v>593.22371927034123</v>
      </c>
      <c r="S46" s="59">
        <f ca="1">AVERAGE(OFFSET($R$3,0,0,'Données projet'!$E$9+1,1))-AVERAGE(OFFSET($H$3,0,0,'Données projet'!$E$9+1,1))</f>
        <v>229.61973863654862</v>
      </c>
      <c r="T46" s="59">
        <f t="shared" si="34"/>
        <v>254.08208375594052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7.4659501456664543</v>
      </c>
      <c r="AA46" s="21">
        <f>EXP(-LN(2)/25)*AA45+(1-EXP(-LN(2)/25))/(LN(2)/25)*Calculateur!V46*Calculateur!X46*VLOOKUP('Données projet'!$B$9,Paramètres!$A$1:$I$89,3,0)*0.475*44/12</f>
        <v>16.770532476556955</v>
      </c>
      <c r="AB46" s="21">
        <f>EXP(-LN(2)/2)*AB45+(1-EXP(-LN(2)/2))/(LN(2)/2)*V46*Y46*VLOOKUP('Données projet'!$B$9,Paramètres!$A$1:$I$89,3,0)*0.475*44/12</f>
        <v>3.009482234481196</v>
      </c>
      <c r="AC46" s="22">
        <f t="shared" si="3"/>
        <v>27.245964856704607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19.600000000000001</v>
      </c>
      <c r="AI46" s="13">
        <f>IF('Données projet'!$A$62&gt;35,AI45+AH46-AQ45,IF(A46&lt;'Données projet'!$A$62,$AF$205^A46,IF(A46='Données projet'!$A$62,'Données projet'!$B$62,AI45+AH46-AQ45)))</f>
        <v>381.80000000000007</v>
      </c>
      <c r="AJ46" s="13">
        <f>AI46*VLOOKUP('Données projet'!$B$10,Paramètres!$A$1:$I$89,3,0)*VLOOKUP('Données projet'!$B$10,Paramètres!$A$1:$I$89,5,0)</f>
        <v>228.31640000000007</v>
      </c>
      <c r="AK46" s="13">
        <f t="shared" si="35"/>
        <v>55.918492337377344</v>
      </c>
      <c r="AL46" s="20">
        <f t="shared" si="4"/>
        <v>495.04243748759899</v>
      </c>
      <c r="AM46" s="59">
        <f t="shared" si="5"/>
        <v>788.3757708209323</v>
      </c>
      <c r="AN46" s="59">
        <f ca="1">AVERAGE(OFFSET($AM$3,0,0,'Données projet'!$E$10+1,1))-AVERAGE(OFFSET($H$3,0,0,'Données projet'!$E$10+1,1))</f>
        <v>348.76139845974495</v>
      </c>
      <c r="AO46" s="59">
        <f t="shared" si="36"/>
        <v>398.5142967182872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29.323116064687312</v>
      </c>
      <c r="AV46" s="21">
        <f>EXP(-LN(2)/25)*AV45+(1-EXP(-LN(2)/25))/(LN(2)/25)*Calculateur!AQ46*Calculateur!AS46*VLOOKUP('Données projet'!$B$10,Paramètres!$A$1:$I$89,3,0)*0.475*44/12</f>
        <v>25.019703532228299</v>
      </c>
      <c r="AW46" s="21">
        <f>EXP(-LN(2)/2)*AW45+(1-EXP(-LN(2)/2))/(LN(2)/2)*AQ46*AT46*VLOOKUP('Données projet'!$B$10,Paramètres!$A$1:$I$89,3,0)*0.475*44/12</f>
        <v>3.701841752043912</v>
      </c>
      <c r="AX46" s="21">
        <f t="shared" si="6"/>
        <v>58.044661348959522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141.20000000000005</v>
      </c>
      <c r="BE46" s="13">
        <f>BD46*VLOOKUP('Données projet'!$B$11,Paramètres!$A$1:$I$89,3,0)*VLOOKUP('Données projet'!$B$11,Paramètres!$A$1:$I$89,5,0)</f>
        <v>143.17680000000004</v>
      </c>
      <c r="BF46" s="13">
        <f t="shared" si="37"/>
        <v>37.023812674521515</v>
      </c>
      <c r="BG46" s="20">
        <f t="shared" si="7"/>
        <v>313.84940040812506</v>
      </c>
      <c r="BH46" s="59">
        <f t="shared" si="8"/>
        <v>607.18273374145838</v>
      </c>
      <c r="BI46" s="59">
        <f ca="1">AVERAGE(OFFSET($BH$3,0,0,'Données projet'!$E$11+1,1))-AVERAGE(OFFSET($H$3,0,0,'Données projet'!$E$11+1,1))</f>
        <v>413.81510455446738</v>
      </c>
      <c r="BJ46" s="59">
        <f t="shared" si="38"/>
        <v>254.25036207346602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1.90765677955373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1.90765677955373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</v>
      </c>
      <c r="BZ46" s="13">
        <f>BY46*VLOOKUP('Données projet'!$B$12,Paramètres!$A$1:$I$89,3,0)*VLOOKUP('Données projet'!$B$12,Paramètres!$A$1:$I$89,5,0)</f>
        <v>91.16328</v>
      </c>
      <c r="CA46" s="13">
        <f t="shared" si="39"/>
        <v>24.84557007760694</v>
      </c>
      <c r="CB46" s="20">
        <f t="shared" si="10"/>
        <v>202.04874721849876</v>
      </c>
      <c r="CC46" s="59">
        <f t="shared" si="11"/>
        <v>495.38208055183208</v>
      </c>
      <c r="CD46" s="59">
        <f ca="1">AVERAGE(OFFSET($CC$3,0,0,'Données projet'!$E$12+1,1))-AVERAGE(OFFSET($H$3,0,0,'Données projet'!$E$12+1,1))</f>
        <v>292.61712942007972</v>
      </c>
      <c r="CE46" s="59">
        <f t="shared" si="40"/>
        <v>152.23954167722536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92.65776000000001</v>
      </c>
      <c r="CV46" s="13">
        <f t="shared" si="41"/>
        <v>25.205122972074609</v>
      </c>
      <c r="CW46" s="20">
        <f t="shared" si="13"/>
        <v>205.2778545096966</v>
      </c>
      <c r="CX46" s="59">
        <f t="shared" si="14"/>
        <v>498.61118784302994</v>
      </c>
      <c r="CY46" s="59">
        <f ca="1">AVERAGE(OFFSET($CX$3,0,0,'Données projet'!$E$13+1,1))-AVERAGE(OFFSET($H$3,0,0,'Données projet'!$E$13+1,1))</f>
        <v>296.78766823247003</v>
      </c>
      <c r="CZ46" s="59">
        <f t="shared" si="42"/>
        <v>154.08406475869634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</v>
      </c>
      <c r="N47" s="13">
        <f>IF('Données projet'!$A$36&gt;35,N46+M47-V46,IF(A47&lt;'Données projet'!$A$36,$K$205^A47,IF(A47='Données projet'!$A$36,'Données projet'!$B$36,N46+M47-V46)))</f>
        <v>306</v>
      </c>
      <c r="O47" s="13">
        <f>N47*VLOOKUP('Données projet'!$B$9,Paramètres!$A$1:$I$89,3,0)*VLOOKUP('Données projet'!$B$9,Paramètres!$A$1:$I$89,5,0)</f>
        <v>143.208</v>
      </c>
      <c r="P47" s="13">
        <f t="shared" si="33"/>
        <v>37.030941422835802</v>
      </c>
      <c r="Q47" s="20">
        <f t="shared" si="53"/>
        <v>313.91615631143901</v>
      </c>
      <c r="R47" s="59">
        <f t="shared" si="0"/>
        <v>607.24948964477232</v>
      </c>
      <c r="S47" s="59">
        <f ca="1">AVERAGE(OFFSET($R$3,0,0,'Données projet'!$E$9+1,1))-AVERAGE(OFFSET($H$3,0,0,'Données projet'!$E$9+1,1))</f>
        <v>229.61973863654862</v>
      </c>
      <c r="T47" s="59">
        <f t="shared" si="34"/>
        <v>254.08208375594052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7.3195474170898756</v>
      </c>
      <c r="AA47" s="21">
        <f>EXP(-LN(2)/25)*AA46+(1-EXP(-LN(2)/25))/(LN(2)/25)*Calculateur!V47*Calculateur!X47*VLOOKUP('Données projet'!$B$9,Paramètres!$A$1:$I$89,3,0)*0.475*44/12</f>
        <v>16.31194138406153</v>
      </c>
      <c r="AB47" s="21">
        <f>EXP(-LN(2)/2)*AB46+(1-EXP(-LN(2)/2))/(LN(2)/2)*V47*Y47*VLOOKUP('Données projet'!$B$9,Paramètres!$A$1:$I$89,3,0)*0.475*44/12</f>
        <v>2.1280252958620971</v>
      </c>
      <c r="AC47" s="22">
        <f t="shared" si="3"/>
        <v>25.759514097013504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19.600000000000001</v>
      </c>
      <c r="AI47" s="13">
        <f>IF('Données projet'!$A$62&gt;35,AI46+AH47-AQ46,IF(A47&lt;'Données projet'!$A$62,$AF$205^A47,IF(A47='Données projet'!$A$62,'Données projet'!$B$62,AI46+AH47-AQ46)))</f>
        <v>401.40000000000009</v>
      </c>
      <c r="AJ47" s="13">
        <f>AI47*VLOOKUP('Données projet'!$B$10,Paramètres!$A$1:$I$89,3,0)*VLOOKUP('Données projet'!$B$10,Paramètres!$A$1:$I$89,5,0)</f>
        <v>240.0372000000001</v>
      </c>
      <c r="AK47" s="13">
        <f t="shared" si="35"/>
        <v>58.447534171232547</v>
      </c>
      <c r="AL47" s="20">
        <f t="shared" si="4"/>
        <v>519.86091201489683</v>
      </c>
      <c r="AM47" s="59">
        <f t="shared" si="5"/>
        <v>813.1942453482302</v>
      </c>
      <c r="AN47" s="59">
        <f ca="1">AVERAGE(OFFSET($AM$3,0,0,'Données projet'!$E$10+1,1))-AVERAGE(OFFSET($H$3,0,0,'Données projet'!$E$10+1,1))</f>
        <v>348.76139845974495</v>
      </c>
      <c r="AO47" s="59">
        <f t="shared" si="36"/>
        <v>398.5142967182872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28.748107643993563</v>
      </c>
      <c r="AV47" s="21">
        <f>EXP(-LN(2)/25)*AV46+(1-EXP(-LN(2)/25))/(LN(2)/25)*Calculateur!AQ47*Calculateur!AS47*VLOOKUP('Données projet'!$B$10,Paramètres!$A$1:$I$89,3,0)*0.475*44/12</f>
        <v>24.33553842341049</v>
      </c>
      <c r="AW47" s="21">
        <f>EXP(-LN(2)/2)*AW46+(1-EXP(-LN(2)/2))/(LN(2)/2)*AQ47*AT47*VLOOKUP('Données projet'!$B$10,Paramètres!$A$1:$I$89,3,0)*0.475*44/12</f>
        <v>2.6175974057497404</v>
      </c>
      <c r="AX47" s="21">
        <f t="shared" si="6"/>
        <v>55.701243473153795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149.60000000000005</v>
      </c>
      <c r="BE47" s="13">
        <f>BD47*VLOOKUP('Données projet'!$B$11,Paramètres!$A$1:$I$89,3,0)*VLOOKUP('Données projet'!$B$11,Paramètres!$A$1:$I$89,5,0)</f>
        <v>151.69440000000006</v>
      </c>
      <c r="BF47" s="13">
        <f t="shared" si="37"/>
        <v>38.963392010880654</v>
      </c>
      <c r="BG47" s="20">
        <f t="shared" si="7"/>
        <v>332.06232108561721</v>
      </c>
      <c r="BH47" s="59">
        <f t="shared" si="8"/>
        <v>625.39565441895047</v>
      </c>
      <c r="BI47" s="59">
        <f ca="1">AVERAGE(OFFSET($BH$3,0,0,'Données projet'!$E$11+1,1))-AVERAGE(OFFSET($H$3,0,0,'Données projet'!$E$11+1,1))</f>
        <v>413.81510455446738</v>
      </c>
      <c r="BJ47" s="59">
        <f t="shared" si="38"/>
        <v>254.25036207346602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1.8702487936624252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1.8702487936624252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101.39999999999999</v>
      </c>
      <c r="BZ47" s="13">
        <f>BY47*VLOOKUP('Données projet'!$B$12,Paramètres!$A$1:$I$89,3,0)*VLOOKUP('Données projet'!$B$12,Paramètres!$A$1:$I$89,5,0)</f>
        <v>96.492239999999995</v>
      </c>
      <c r="CA47" s="13">
        <f t="shared" si="39"/>
        <v>26.124593361596208</v>
      </c>
      <c r="CB47" s="20">
        <f t="shared" si="10"/>
        <v>213.55765143811337</v>
      </c>
      <c r="CC47" s="59">
        <f t="shared" si="11"/>
        <v>506.89098477144671</v>
      </c>
      <c r="CD47" s="59">
        <f ca="1">AVERAGE(OFFSET($CC$3,0,0,'Données projet'!$E$12+1,1))-AVERAGE(OFFSET($H$3,0,0,'Données projet'!$E$12+1,1))</f>
        <v>292.61712942007972</v>
      </c>
      <c r="CE47" s="59">
        <f t="shared" si="40"/>
        <v>152.23954167722536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98.074079999999995</v>
      </c>
      <c r="CV47" s="13">
        <f t="shared" si="41"/>
        <v>26.502655653208453</v>
      </c>
      <c r="CW47" s="20">
        <f t="shared" si="13"/>
        <v>216.97114792933803</v>
      </c>
      <c r="CX47" s="59">
        <f t="shared" si="14"/>
        <v>510.30448126267135</v>
      </c>
      <c r="CY47" s="59">
        <f ca="1">AVERAGE(OFFSET($CX$3,0,0,'Données projet'!$E$13+1,1))-AVERAGE(OFFSET($H$3,0,0,'Données projet'!$E$13+1,1))</f>
        <v>296.78766823247003</v>
      </c>
      <c r="CZ47" s="59">
        <f t="shared" si="42"/>
        <v>154.08406475869634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</v>
      </c>
      <c r="N48" s="13">
        <f>IF('Données projet'!$A$36&gt;35,N47+M48-V47,IF(A48&lt;'Données projet'!$A$36,$K$205^A48,IF(A48='Données projet'!$A$36,'Données projet'!$B$36,N47+M48-V47)))</f>
        <v>320</v>
      </c>
      <c r="O48" s="13">
        <f>N48*VLOOKUP('Données projet'!$B$9,Paramètres!$A$1:$I$89,3,0)*VLOOKUP('Données projet'!$B$9,Paramètres!$A$1:$I$89,5,0)</f>
        <v>149.76</v>
      </c>
      <c r="P48" s="13">
        <f t="shared" si="33"/>
        <v>38.524039677774802</v>
      </c>
      <c r="Q48" s="20">
        <f t="shared" si="53"/>
        <v>327.92803577212442</v>
      </c>
      <c r="R48" s="59">
        <f t="shared" si="0"/>
        <v>621.26136910545779</v>
      </c>
      <c r="S48" s="59">
        <f ca="1">AVERAGE(OFFSET($R$3,0,0,'Données projet'!$E$9+1,1))-AVERAGE(OFFSET($H$3,0,0,'Données projet'!$E$9+1,1))</f>
        <v>229.61973863654862</v>
      </c>
      <c r="T48" s="59">
        <f t="shared" si="34"/>
        <v>254.08208375594052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7.1760155567238364</v>
      </c>
      <c r="AA48" s="21">
        <f>EXP(-LN(2)/25)*AA47+(1-EXP(-LN(2)/25))/(LN(2)/25)*Calculateur!V48*Calculateur!X48*VLOOKUP('Données projet'!$B$9,Paramètres!$A$1:$I$89,3,0)*0.475*44/12</f>
        <v>15.865890489106652</v>
      </c>
      <c r="AB48" s="21">
        <f>EXP(-LN(2)/2)*AB47+(1-EXP(-LN(2)/2))/(LN(2)/2)*V48*Y48*VLOOKUP('Données projet'!$B$9,Paramètres!$A$1:$I$89,3,0)*0.475*44/12</f>
        <v>1.504741117240598</v>
      </c>
      <c r="AC48" s="22">
        <f t="shared" si="3"/>
        <v>24.546647163071086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421</v>
      </c>
      <c r="AG48" s="12">
        <f>VLOOKUP(A48,'Données projet'!$A$61:$I$81,9,0)</f>
        <v>19.600000000000001</v>
      </c>
      <c r="AH48" s="12">
        <f t="array" ref="AH48">INDEX(AG:AG,MIN(IF(ISNUMBER(AG48:AG244),ROW(AG48:AG244),"")))</f>
        <v>19.600000000000001</v>
      </c>
      <c r="AI48" s="13">
        <f>IF('Données projet'!$A$62&gt;35,AI47+AH48-AQ47,IF(A48&lt;'Données projet'!$A$62,$AF$205^A48,IF(A48='Données projet'!$A$62,'Données projet'!$B$62,AI47+AH48-AQ47)))</f>
        <v>421.00000000000011</v>
      </c>
      <c r="AJ48" s="13">
        <f>AI48*VLOOKUP('Données projet'!$B$10,Paramètres!$A$1:$I$89,3,0)*VLOOKUP('Données projet'!$B$10,Paramètres!$A$1:$I$89,5,0)</f>
        <v>251.75800000000007</v>
      </c>
      <c r="AK48" s="13">
        <f t="shared" si="35"/>
        <v>60.962236428453878</v>
      </c>
      <c r="AL48" s="20">
        <f t="shared" si="4"/>
        <v>544.65441177955734</v>
      </c>
      <c r="AM48" s="59">
        <f t="shared" si="5"/>
        <v>837.98774511289071</v>
      </c>
      <c r="AN48" s="59">
        <f ca="1">AVERAGE(OFFSET($AM$3,0,0,'Données projet'!$E$10+1,1))-AVERAGE(OFFSET($H$3,0,0,'Données projet'!$E$10+1,1))</f>
        <v>348.76139845974495</v>
      </c>
      <c r="AO48" s="59">
        <f t="shared" si="36"/>
        <v>398.5142967182872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54</v>
      </c>
      <c r="AR48" s="16">
        <f>IF(ISNA(VLOOKUP(A48,'Données projet'!$A$61:$I$81,5,0)),0%,VLOOKUP(A48,'Données projet'!$A$61:$I$81,5,0)*VLOOKUP('Données projet'!$B$10,Paramètres!$A$1:$I$89,7,0))</f>
        <v>0.22500000000000001</v>
      </c>
      <c r="AS48" s="16">
        <f>IF(ISNA(VLOOKUP(A48,'Données projet'!$A$61:$I$81,6,0)),0%,VLOOKUP(A48,'Données projet'!$A$61:$I$81,6,0)*VLOOKUP('Données projet'!$B$10,Paramètres!$A$1:$I$89,7,0))</f>
        <v>0.12600000000000003</v>
      </c>
      <c r="AT48" s="16">
        <f>IF(ISNA(VLOOKUP(A48,'Données projet'!$A$61:$I$81,7,0)),0%,VLOOKUP(A48,'Données projet'!$A$61:$I$81,7,0))</f>
        <v>0.22</v>
      </c>
      <c r="AU48" s="21">
        <f>EXP(-LN(2)/35)*AU47+(1-EXP(-LN(2)/35))/(LN(2)/35)*AQ48*AR48*VLOOKUP('Données projet'!$B$10,Paramètres!$A$1:$I$89,3,0)*0.475*44/12</f>
        <v>37.822794151596185</v>
      </c>
      <c r="AV48" s="21">
        <f>EXP(-LN(2)/25)*AV47+(1-EXP(-LN(2)/25))/(LN(2)/25)*Calculateur!AQ48*Calculateur!AS48*VLOOKUP('Données projet'!$B$10,Paramètres!$A$1:$I$89,3,0)*0.475*44/12</f>
        <v>29.046344616694402</v>
      </c>
      <c r="AW48" s="21">
        <f>EXP(-LN(2)/2)*AW47+(1-EXP(-LN(2)/2))/(LN(2)/2)*AQ48*AT48*VLOOKUP('Données projet'!$B$10,Paramètres!$A$1:$I$89,3,0)*0.475*44/12</f>
        <v>9.8945708534013779</v>
      </c>
      <c r="AX48" s="21">
        <f t="shared" si="6"/>
        <v>76.763709621691959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158.00000000000006</v>
      </c>
      <c r="BE48" s="13">
        <f>BD48*VLOOKUP('Données projet'!$B$11,Paramètres!$A$1:$I$89,3,0)*VLOOKUP('Données projet'!$B$11,Paramètres!$A$1:$I$89,5,0)</f>
        <v>160.21200000000007</v>
      </c>
      <c r="BF48" s="13">
        <f t="shared" si="37"/>
        <v>40.890328912852731</v>
      </c>
      <c r="BG48" s="20">
        <f t="shared" si="7"/>
        <v>350.25322285655193</v>
      </c>
      <c r="BH48" s="59">
        <f t="shared" si="8"/>
        <v>643.58655618988519</v>
      </c>
      <c r="BI48" s="59">
        <f ca="1">AVERAGE(OFFSET($BH$3,0,0,'Données projet'!$E$11+1,1))-AVERAGE(OFFSET($H$3,0,0,'Données projet'!$E$11+1,1))</f>
        <v>413.81510455446738</v>
      </c>
      <c r="BJ48" s="59">
        <f t="shared" si="38"/>
        <v>254.25036207346602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3.8580045740704501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3.8580045740704501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107</v>
      </c>
      <c r="BW48" s="12">
        <f>VLOOKUP(A48,'Données projet'!$A$113:$I$133,9,0)</f>
        <v>5.6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106.99999999999999</v>
      </c>
      <c r="BZ48" s="13">
        <f>BY48*VLOOKUP('Données projet'!$B$12,Paramètres!$A$1:$I$89,3,0)*VLOOKUP('Données projet'!$B$12,Paramètres!$A$1:$I$89,5,0)</f>
        <v>101.82119999999999</v>
      </c>
      <c r="CA48" s="13">
        <f t="shared" si="39"/>
        <v>27.395416540066275</v>
      </c>
      <c r="CB48" s="20">
        <f t="shared" si="10"/>
        <v>225.05227380728206</v>
      </c>
      <c r="CC48" s="59">
        <f t="shared" si="11"/>
        <v>518.38560714061532</v>
      </c>
      <c r="CD48" s="59">
        <f ca="1">AVERAGE(OFFSET($CC$3,0,0,'Données projet'!$E$12+1,1))-AVERAGE(OFFSET($H$3,0,0,'Données projet'!$E$12+1,1))</f>
        <v>292.61712942007972</v>
      </c>
      <c r="CE48" s="59">
        <f t="shared" si="40"/>
        <v>152.23954167722536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14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107</v>
      </c>
      <c r="CR48" s="12">
        <f>VLOOKUP(A48,'Données projet'!$A$139:$I$159,9,0)</f>
        <v>5.6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103.49039999999998</v>
      </c>
      <c r="CV48" s="13">
        <f t="shared" si="41"/>
        <v>27.791869560921153</v>
      </c>
      <c r="CW48" s="20">
        <f t="shared" si="13"/>
        <v>228.64995281860425</v>
      </c>
      <c r="CX48" s="59">
        <f t="shared" si="14"/>
        <v>521.98328615193759</v>
      </c>
      <c r="CY48" s="59">
        <f ca="1">AVERAGE(OFFSET($CX$3,0,0,'Données projet'!$E$13+1,1))-AVERAGE(OFFSET($H$3,0,0,'Données projet'!$E$13+1,1))</f>
        <v>296.78766823247003</v>
      </c>
      <c r="CZ48" s="59">
        <f t="shared" si="42"/>
        <v>154.08406475869634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14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</v>
      </c>
      <c r="N49" s="13">
        <f>IF('Données projet'!$A$36&gt;35,N48+M49-V48,IF(A49&lt;'Données projet'!$A$36,$K$205^A49,IF(A49='Données projet'!$A$36,'Données projet'!$B$36,N48+M49-V48)))</f>
        <v>334</v>
      </c>
      <c r="O49" s="13">
        <f>N49*VLOOKUP('Données projet'!$B$9,Paramètres!$A$1:$I$89,3,0)*VLOOKUP('Données projet'!$B$9,Paramètres!$A$1:$I$89,5,0)</f>
        <v>156.31200000000001</v>
      </c>
      <c r="P49" s="13">
        <f t="shared" si="33"/>
        <v>40.009551101892576</v>
      </c>
      <c r="Q49" s="20">
        <f t="shared" si="53"/>
        <v>341.92670150246295</v>
      </c>
      <c r="R49" s="59">
        <f t="shared" si="0"/>
        <v>635.2600348357962</v>
      </c>
      <c r="S49" s="59">
        <f ca="1">AVERAGE(OFFSET($R$3,0,0,'Données projet'!$E$9+1,1))-AVERAGE(OFFSET($H$3,0,0,'Données projet'!$E$9+1,1))</f>
        <v>229.61973863654862</v>
      </c>
      <c r="T49" s="59">
        <f t="shared" si="34"/>
        <v>254.08208375594052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7.0352982685937846</v>
      </c>
      <c r="AA49" s="21">
        <f>EXP(-LN(2)/25)*AA48+(1-EXP(-LN(2)/25))/(LN(2)/25)*Calculateur!V49*Calculateur!X49*VLOOKUP('Données projet'!$B$9,Paramètres!$A$1:$I$89,3,0)*0.475*44/12</f>
        <v>15.432036879331113</v>
      </c>
      <c r="AB49" s="21">
        <f>EXP(-LN(2)/2)*AB48+(1-EXP(-LN(2)/2))/(LN(2)/2)*V49*Y49*VLOOKUP('Données projet'!$B$9,Paramètres!$A$1:$I$89,3,0)*0.475*44/12</f>
        <v>1.0640126479310485</v>
      </c>
      <c r="AC49" s="22">
        <f t="shared" si="3"/>
        <v>23.531347795855947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18.2</v>
      </c>
      <c r="AI49" s="13">
        <f>IF('Données projet'!$A$62&gt;35,AI48+AH49-AQ48,IF(A49&lt;'Données projet'!$A$62,$AF$205^A49,IF(A49='Données projet'!$A$62,'Données projet'!$B$62,AI48+AH49-AQ48)))</f>
        <v>385.2000000000001</v>
      </c>
      <c r="AJ49" s="13">
        <f>AI49*VLOOKUP('Données projet'!$B$10,Paramètres!$A$1:$I$89,3,0)*VLOOKUP('Données projet'!$B$10,Paramètres!$A$1:$I$89,5,0)</f>
        <v>230.34960000000009</v>
      </c>
      <c r="AK49" s="13">
        <f t="shared" si="35"/>
        <v>56.35826654142631</v>
      </c>
      <c r="AL49" s="20">
        <f t="shared" si="4"/>
        <v>499.34953422631764</v>
      </c>
      <c r="AM49" s="59">
        <f t="shared" si="5"/>
        <v>792.68286755965096</v>
      </c>
      <c r="AN49" s="59">
        <f ca="1">AVERAGE(OFFSET($AM$3,0,0,'Données projet'!$E$10+1,1))-AVERAGE(OFFSET($H$3,0,0,'Données projet'!$E$10+1,1))</f>
        <v>348.76139845974495</v>
      </c>
      <c r="AO49" s="59">
        <f t="shared" si="36"/>
        <v>398.5142967182872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37.081112227909877</v>
      </c>
      <c r="AV49" s="21">
        <f>EXP(-LN(2)/25)*AV48+(1-EXP(-LN(2)/25))/(LN(2)/25)*Calculateur!AQ49*Calculateur!AS49*VLOOKUP('Données projet'!$B$10,Paramètres!$A$1:$I$89,3,0)*0.475*44/12</f>
        <v>28.252070795670015</v>
      </c>
      <c r="AW49" s="21">
        <f>EXP(-LN(2)/2)*AW48+(1-EXP(-LN(2)/2))/(LN(2)/2)*AQ49*AT49*VLOOKUP('Données projet'!$B$10,Paramètres!$A$1:$I$89,3,0)*0.475*44/12</f>
        <v>6.9965181473708791</v>
      </c>
      <c r="AX49" s="21">
        <f t="shared" si="6"/>
        <v>72.32970117095077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145.20000000000005</v>
      </c>
      <c r="BE49" s="13">
        <f>BD49*VLOOKUP('Données projet'!$B$11,Paramètres!$A$1:$I$89,3,0)*VLOOKUP('Données projet'!$B$11,Paramètres!$A$1:$I$89,5,0)</f>
        <v>147.23280000000005</v>
      </c>
      <c r="BF49" s="13">
        <f t="shared" si="37"/>
        <v>37.949049623906205</v>
      </c>
      <c r="BG49" s="20">
        <f t="shared" si="7"/>
        <v>322.52505476163668</v>
      </c>
      <c r="BH49" s="59">
        <f t="shared" si="8"/>
        <v>615.85838809497</v>
      </c>
      <c r="BI49" s="59">
        <f ca="1">AVERAGE(OFFSET($BH$3,0,0,'Données projet'!$E$11+1,1))-AVERAGE(OFFSET($H$3,0,0,'Données projet'!$E$11+1,1))</f>
        <v>413.81510455446738</v>
      </c>
      <c r="BJ49" s="59">
        <f t="shared" si="38"/>
        <v>254.25036207346602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3.7823514575233643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3.7823514575233643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98.59999999999998</v>
      </c>
      <c r="BZ49" s="13">
        <f>BY49*VLOOKUP('Données projet'!$B$12,Paramètres!$A$1:$I$89,3,0)*VLOOKUP('Données projet'!$B$12,Paramètres!$A$1:$I$89,5,0)</f>
        <v>93.827759999999984</v>
      </c>
      <c r="CA49" s="13">
        <f t="shared" si="39"/>
        <v>25.486138814422123</v>
      </c>
      <c r="CB49" s="20">
        <f t="shared" si="10"/>
        <v>207.80504043511849</v>
      </c>
      <c r="CC49" s="59">
        <f t="shared" si="11"/>
        <v>501.1383737684518</v>
      </c>
      <c r="CD49" s="59">
        <f ca="1">AVERAGE(OFFSET($CC$3,0,0,'Données projet'!$E$12+1,1))-AVERAGE(OFFSET($H$3,0,0,'Données projet'!$E$12+1,1))</f>
        <v>292.61712942007972</v>
      </c>
      <c r="CE49" s="59">
        <f t="shared" si="40"/>
        <v>152.23954167722536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98.59999999999998</v>
      </c>
      <c r="CU49" s="17">
        <f>CT49*VLOOKUP('Données projet'!$B$13,Paramètres!$A$1:$I$89,3,0)*VLOOKUP('Données projet'!$B$13,Paramètres!$A$1:$I$89,5,0)</f>
        <v>95.365919999999974</v>
      </c>
      <c r="CV49" s="13">
        <f t="shared" si="41"/>
        <v>25.854961705219438</v>
      </c>
      <c r="CW49" s="20">
        <f t="shared" si="13"/>
        <v>211.12636896992379</v>
      </c>
      <c r="CX49" s="59">
        <f t="shared" si="14"/>
        <v>504.45970230325713</v>
      </c>
      <c r="CY49" s="59">
        <f ca="1">AVERAGE(OFFSET($CX$3,0,0,'Données projet'!$E$13+1,1))-AVERAGE(OFFSET($H$3,0,0,'Données projet'!$E$13+1,1))</f>
        <v>296.78766823247003</v>
      </c>
      <c r="CZ49" s="59">
        <f t="shared" si="42"/>
        <v>154.08406475869634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</v>
      </c>
      <c r="N50" s="13">
        <f>IF('Données projet'!$A$36&gt;35,N49+M50-V49,IF(A50&lt;'Données projet'!$A$36,$K$205^A50,IF(A50='Données projet'!$A$36,'Données projet'!$B$36,N49+M50-V49)))</f>
        <v>348</v>
      </c>
      <c r="O50" s="13">
        <f>N50*VLOOKUP('Données projet'!$B$9,Paramètres!$A$1:$I$89,3,0)*VLOOKUP('Données projet'!$B$9,Paramètres!$A$1:$I$89,5,0)</f>
        <v>162.864</v>
      </c>
      <c r="P50" s="13">
        <f t="shared" si="33"/>
        <v>41.487830069509123</v>
      </c>
      <c r="Q50" s="20">
        <f t="shared" si="53"/>
        <v>355.91277070439509</v>
      </c>
      <c r="R50" s="59">
        <f t="shared" si="0"/>
        <v>649.2461040377284</v>
      </c>
      <c r="S50" s="59">
        <f ca="1">AVERAGE(OFFSET($R$3,0,0,'Données projet'!$E$9+1,1))-AVERAGE(OFFSET($H$3,0,0,'Données projet'!$E$9+1,1))</f>
        <v>229.61973863654862</v>
      </c>
      <c r="T50" s="59">
        <f t="shared" si="34"/>
        <v>254.08208375594052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6.8973403606548924</v>
      </c>
      <c r="AA50" s="21">
        <f>EXP(-LN(2)/25)*AA49+(1-EXP(-LN(2)/25))/(LN(2)/25)*Calculateur!V50*Calculateur!X50*VLOOKUP('Données projet'!$B$9,Paramètres!$A$1:$I$89,3,0)*0.475*44/12</f>
        <v>15.010047019330255</v>
      </c>
      <c r="AB50" s="21">
        <f>EXP(-LN(2)/2)*AB49+(1-EXP(-LN(2)/2))/(LN(2)/2)*V50*Y50*VLOOKUP('Données projet'!$B$9,Paramètres!$A$1:$I$89,3,0)*0.475*44/12</f>
        <v>0.752370558620299</v>
      </c>
      <c r="AC50" s="22">
        <f t="shared" si="3"/>
        <v>22.659757938605445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18.2</v>
      </c>
      <c r="AI50" s="13">
        <f>IF('Données projet'!$A$62&gt;35,AI49+AH50-AQ49,IF(A50&lt;'Données projet'!$A$62,$AF$205^A50,IF(A50='Données projet'!$A$62,'Données projet'!$B$62,AI49+AH50-AQ49)))</f>
        <v>403.40000000000009</v>
      </c>
      <c r="AJ50" s="13">
        <f>AI50*VLOOKUP('Données projet'!$B$10,Paramètres!$A$1:$I$89,3,0)*VLOOKUP('Données projet'!$B$10,Paramètres!$A$1:$I$89,5,0)</f>
        <v>241.23320000000007</v>
      </c>
      <c r="AK50" s="13">
        <f t="shared" si="35"/>
        <v>58.704780274027783</v>
      </c>
      <c r="AL50" s="20">
        <f t="shared" si="4"/>
        <v>522.39198231059845</v>
      </c>
      <c r="AM50" s="59">
        <f t="shared" si="5"/>
        <v>815.72531564393171</v>
      </c>
      <c r="AN50" s="59">
        <f ca="1">AVERAGE(OFFSET($AM$3,0,0,'Données projet'!$E$10+1,1))-AVERAGE(OFFSET($H$3,0,0,'Données projet'!$E$10+1,1))</f>
        <v>348.76139845974495</v>
      </c>
      <c r="AO50" s="59">
        <f t="shared" si="36"/>
        <v>398.5142967182872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36.353974234365758</v>
      </c>
      <c r="AV50" s="21">
        <f>EXP(-LN(2)/25)*AV49+(1-EXP(-LN(2)/25))/(LN(2)/25)*Calculateur!AQ50*Calculateur!AS50*VLOOKUP('Données projet'!$B$10,Paramètres!$A$1:$I$89,3,0)*0.475*44/12</f>
        <v>27.479516434050588</v>
      </c>
      <c r="AW50" s="21">
        <f>EXP(-LN(2)/2)*AW49+(1-EXP(-LN(2)/2))/(LN(2)/2)*AQ50*AT50*VLOOKUP('Données projet'!$B$10,Paramètres!$A$1:$I$89,3,0)*0.475*44/12</f>
        <v>4.9472854267006898</v>
      </c>
      <c r="AX50" s="21">
        <f t="shared" si="6"/>
        <v>68.780776095117034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153.40000000000003</v>
      </c>
      <c r="BE50" s="13">
        <f>BD50*VLOOKUP('Données projet'!$B$11,Paramètres!$A$1:$I$89,3,0)*VLOOKUP('Données projet'!$B$11,Paramètres!$A$1:$I$89,5,0)</f>
        <v>155.54760000000005</v>
      </c>
      <c r="BF50" s="13">
        <f t="shared" si="37"/>
        <v>39.836620617816237</v>
      </c>
      <c r="BG50" s="20">
        <f t="shared" si="7"/>
        <v>340.29418424269664</v>
      </c>
      <c r="BH50" s="59">
        <f t="shared" si="8"/>
        <v>633.62751757602996</v>
      </c>
      <c r="BI50" s="59">
        <f ca="1">AVERAGE(OFFSET($BH$3,0,0,'Données projet'!$E$11+1,1))-AVERAGE(OFFSET($H$3,0,0,'Données projet'!$E$11+1,1))</f>
        <v>413.81510455446738</v>
      </c>
      <c r="BJ50" s="59">
        <f t="shared" si="38"/>
        <v>254.25036207346602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3.7081818524479222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3.7081818524479222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104.19999999999997</v>
      </c>
      <c r="BZ50" s="13">
        <f>BY50*VLOOKUP('Données projet'!$B$12,Paramètres!$A$1:$I$89,3,0)*VLOOKUP('Données projet'!$B$12,Paramètres!$A$1:$I$89,5,0)</f>
        <v>99.156719999999979</v>
      </c>
      <c r="CA50" s="13">
        <f t="shared" si="39"/>
        <v>26.7609988066732</v>
      </c>
      <c r="CB50" s="20">
        <f t="shared" si="10"/>
        <v>219.30669358828911</v>
      </c>
      <c r="CC50" s="59">
        <f t="shared" si="11"/>
        <v>512.64002692162239</v>
      </c>
      <c r="CD50" s="59">
        <f ca="1">AVERAGE(OFFSET($CC$3,0,0,'Données projet'!$E$12+1,1))-AVERAGE(OFFSET($H$3,0,0,'Données projet'!$E$12+1,1))</f>
        <v>292.61712942007972</v>
      </c>
      <c r="CE50" s="59">
        <f t="shared" si="40"/>
        <v>152.23954167722536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104.19999999999997</v>
      </c>
      <c r="CU50" s="17">
        <f>CT50*VLOOKUP('Données projet'!$B$13,Paramètres!$A$1:$I$89,3,0)*VLOOKUP('Données projet'!$B$13,Paramètres!$A$1:$I$89,5,0)</f>
        <v>100.78223999999997</v>
      </c>
      <c r="CV50" s="13">
        <f t="shared" si="41"/>
        <v>27.148270845500655</v>
      </c>
      <c r="CW50" s="20">
        <f t="shared" si="13"/>
        <v>222.81230638924691</v>
      </c>
      <c r="CX50" s="59">
        <f t="shared" si="14"/>
        <v>516.1456397225802</v>
      </c>
      <c r="CY50" s="59">
        <f ca="1">AVERAGE(OFFSET($CX$3,0,0,'Données projet'!$E$13+1,1))-AVERAGE(OFFSET($H$3,0,0,'Données projet'!$E$13+1,1))</f>
        <v>296.78766823247003</v>
      </c>
      <c r="CZ50" s="59">
        <f t="shared" si="42"/>
        <v>154.08406475869634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</v>
      </c>
      <c r="N51" s="13">
        <f>IF('Données projet'!$A$36&gt;35,N50+M51-V50,IF(A51&lt;'Données projet'!$A$36,$K$205^A51,IF(A51='Données projet'!$A$36,'Données projet'!$B$36,N50+M51-V50)))</f>
        <v>362</v>
      </c>
      <c r="O51" s="13">
        <f>N51*VLOOKUP('Données projet'!$B$9,Paramètres!$A$1:$I$89,3,0)*VLOOKUP('Données projet'!$B$9,Paramètres!$A$1:$I$89,5,0)</f>
        <v>169.416</v>
      </c>
      <c r="P51" s="13">
        <f t="shared" si="33"/>
        <v>42.959200828261054</v>
      </c>
      <c r="Q51" s="20">
        <f t="shared" si="53"/>
        <v>369.88680810922136</v>
      </c>
      <c r="R51" s="59">
        <f t="shared" si="0"/>
        <v>663.22014144255468</v>
      </c>
      <c r="S51" s="59">
        <f ca="1">AVERAGE(OFFSET($R$3,0,0,'Données projet'!$E$9+1,1))-AVERAGE(OFFSET($H$3,0,0,'Données projet'!$E$9+1,1))</f>
        <v>229.61973863654862</v>
      </c>
      <c r="T51" s="59">
        <f t="shared" si="34"/>
        <v>254.08208375594052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6.762087723144667</v>
      </c>
      <c r="AA51" s="21">
        <f>EXP(-LN(2)/25)*AA50+(1-EXP(-LN(2)/25))/(LN(2)/25)*Calculateur!V51*Calculateur!X51*VLOOKUP('Données projet'!$B$9,Paramètres!$A$1:$I$89,3,0)*0.475*44/12</f>
        <v>14.599596494242602</v>
      </c>
      <c r="AB51" s="21">
        <f>EXP(-LN(2)/2)*AB50+(1-EXP(-LN(2)/2))/(LN(2)/2)*V51*Y51*VLOOKUP('Données projet'!$B$9,Paramètres!$A$1:$I$89,3,0)*0.475*44/12</f>
        <v>0.53200632396552427</v>
      </c>
      <c r="AC51" s="22">
        <f t="shared" si="3"/>
        <v>21.893690541352797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18.2</v>
      </c>
      <c r="AI51" s="13">
        <f>IF('Données projet'!$A$62&gt;35,AI50+AH51-AQ50,IF(A51&lt;'Données projet'!$A$62,$AF$205^A51,IF(A51='Données projet'!$A$62,'Données projet'!$B$62,AI50+AH51-AQ50)))</f>
        <v>421.60000000000008</v>
      </c>
      <c r="AJ51" s="13">
        <f>AI51*VLOOKUP('Données projet'!$B$10,Paramètres!$A$1:$I$89,3,0)*VLOOKUP('Données projet'!$B$10,Paramètres!$A$1:$I$89,5,0)</f>
        <v>252.11680000000007</v>
      </c>
      <c r="AK51" s="13">
        <f t="shared" si="35"/>
        <v>61.038999041073623</v>
      </c>
      <c r="AL51" s="20">
        <f t="shared" si="4"/>
        <v>545.41301666320339</v>
      </c>
      <c r="AM51" s="59">
        <f t="shared" si="5"/>
        <v>838.74634999653676</v>
      </c>
      <c r="AN51" s="59">
        <f ca="1">AVERAGE(OFFSET($AM$3,0,0,'Données projet'!$E$10+1,1))-AVERAGE(OFFSET($H$3,0,0,'Données projet'!$E$10+1,1))</f>
        <v>348.76139845974495</v>
      </c>
      <c r="AO51" s="59">
        <f t="shared" si="36"/>
        <v>398.5142967182872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35.641094973364652</v>
      </c>
      <c r="AV51" s="21">
        <f>EXP(-LN(2)/25)*AV50+(1-EXP(-LN(2)/25))/(LN(2)/25)*Calculateur!AQ51*Calculateur!AS51*VLOOKUP('Données projet'!$B$10,Paramètres!$A$1:$I$89,3,0)*0.475*44/12</f>
        <v>26.728087612076511</v>
      </c>
      <c r="AW51" s="21">
        <f>EXP(-LN(2)/2)*AW50+(1-EXP(-LN(2)/2))/(LN(2)/2)*AQ51*AT51*VLOOKUP('Données projet'!$B$10,Paramètres!$A$1:$I$89,3,0)*0.475*44/12</f>
        <v>3.4982590736854404</v>
      </c>
      <c r="AX51" s="21">
        <f t="shared" si="6"/>
        <v>65.867441659126612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161.60000000000002</v>
      </c>
      <c r="BE51" s="13">
        <f>BD51*VLOOKUP('Données projet'!$B$11,Paramètres!$A$1:$I$89,3,0)*VLOOKUP('Données projet'!$B$11,Paramètres!$A$1:$I$89,5,0)</f>
        <v>163.86240000000004</v>
      </c>
      <c r="BF51" s="13">
        <f t="shared" si="37"/>
        <v>41.712477409029084</v>
      </c>
      <c r="BG51" s="20">
        <f t="shared" si="7"/>
        <v>358.0429114873923</v>
      </c>
      <c r="BH51" s="59">
        <f t="shared" si="8"/>
        <v>651.37624482072556</v>
      </c>
      <c r="BI51" s="59">
        <f ca="1">AVERAGE(OFFSET($BH$3,0,0,'Données projet'!$E$11+1,1))-AVERAGE(OFFSET($H$3,0,0,'Données projet'!$E$11+1,1))</f>
        <v>413.81510455446738</v>
      </c>
      <c r="BJ51" s="59">
        <f t="shared" si="38"/>
        <v>254.25036207346602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3.6354666680890175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3.6354666680890175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109.79999999999997</v>
      </c>
      <c r="BZ51" s="13">
        <f>BY51*VLOOKUP('Données projet'!$B$12,Paramètres!$A$1:$I$89,3,0)*VLOOKUP('Données projet'!$B$12,Paramètres!$A$1:$I$89,5,0)</f>
        <v>104.48567999999997</v>
      </c>
      <c r="CA51" s="13">
        <f t="shared" si="39"/>
        <v>28.027904556241349</v>
      </c>
      <c r="CB51" s="20">
        <f t="shared" si="10"/>
        <v>230.7944931021203</v>
      </c>
      <c r="CC51" s="59">
        <f t="shared" si="11"/>
        <v>524.12782643545358</v>
      </c>
      <c r="CD51" s="59">
        <f ca="1">AVERAGE(OFFSET($CC$3,0,0,'Données projet'!$E$12+1,1))-AVERAGE(OFFSET($H$3,0,0,'Données projet'!$E$12+1,1))</f>
        <v>292.61712942007972</v>
      </c>
      <c r="CE51" s="59">
        <f t="shared" si="40"/>
        <v>152.23954167722536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109.79999999999997</v>
      </c>
      <c r="CU51" s="17">
        <f>CT51*VLOOKUP('Données projet'!$B$13,Paramètres!$A$1:$I$89,3,0)*VLOOKUP('Données projet'!$B$13,Paramètres!$A$1:$I$89,5,0)</f>
        <v>106.19855999999997</v>
      </c>
      <c r="CV51" s="13">
        <f t="shared" si="41"/>
        <v>28.433510633203252</v>
      </c>
      <c r="CW51" s="20">
        <f t="shared" si="13"/>
        <v>234.48418968616227</v>
      </c>
      <c r="CX51" s="59">
        <f t="shared" si="14"/>
        <v>527.81752301949564</v>
      </c>
      <c r="CY51" s="59">
        <f ca="1">AVERAGE(OFFSET($CX$3,0,0,'Données projet'!$E$13+1,1))-AVERAGE(OFFSET($H$3,0,0,'Données projet'!$E$13+1,1))</f>
        <v>296.78766823247003</v>
      </c>
      <c r="CZ51" s="59">
        <f t="shared" si="42"/>
        <v>154.08406475869634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</v>
      </c>
      <c r="N52" s="13">
        <f>IF('Données projet'!$A$36&gt;35,N51+M52-V51,IF(A52&lt;'Données projet'!$A$36,$K$205^A52,IF(A52='Données projet'!$A$36,'Données projet'!$B$36,N51+M52-V51)))</f>
        <v>376</v>
      </c>
      <c r="O52" s="13">
        <f>N52*VLOOKUP('Données projet'!$B$9,Paramètres!$A$1:$I$89,3,0)*VLOOKUP('Données projet'!$B$9,Paramètres!$A$1:$I$89,5,0)</f>
        <v>175.96799999999999</v>
      </c>
      <c r="P52" s="13">
        <f t="shared" si="33"/>
        <v>44.423961125650585</v>
      </c>
      <c r="Q52" s="20">
        <f t="shared" si="53"/>
        <v>383.84933229384137</v>
      </c>
      <c r="R52" s="59">
        <f t="shared" si="0"/>
        <v>677.18266562717463</v>
      </c>
      <c r="S52" s="59">
        <f ca="1">AVERAGE(OFFSET($R$3,0,0,'Données projet'!$E$9+1,1))-AVERAGE(OFFSET($H$3,0,0,'Données projet'!$E$9+1,1))</f>
        <v>229.61973863654862</v>
      </c>
      <c r="T52" s="59">
        <f t="shared" si="34"/>
        <v>254.08208375594052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6.629487307360054</v>
      </c>
      <c r="AA52" s="21">
        <f>EXP(-LN(2)/25)*AA51+(1-EXP(-LN(2)/25))/(LN(2)/25)*Calculateur!V52*Calculateur!X52*VLOOKUP('Données projet'!$B$9,Paramètres!$A$1:$I$89,3,0)*0.475*44/12</f>
        <v>14.200369760348126</v>
      </c>
      <c r="AB52" s="21">
        <f>EXP(-LN(2)/2)*AB51+(1-EXP(-LN(2)/2))/(LN(2)/2)*V52*Y52*VLOOKUP('Données projet'!$B$9,Paramètres!$A$1:$I$89,3,0)*0.475*44/12</f>
        <v>0.3761852793101495</v>
      </c>
      <c r="AC52" s="22">
        <f t="shared" si="3"/>
        <v>21.206042347018329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18.2</v>
      </c>
      <c r="AI52" s="13">
        <f>IF('Données projet'!$A$62&gt;35,AI51+AH52-AQ51,IF(A52&lt;'Données projet'!$A$62,$AF$205^A52,IF(A52='Données projet'!$A$62,'Données projet'!$B$62,AI51+AH52-AQ51)))</f>
        <v>439.80000000000007</v>
      </c>
      <c r="AJ52" s="13">
        <f>AI52*VLOOKUP('Données projet'!$B$10,Paramètres!$A$1:$I$89,3,0)*VLOOKUP('Données projet'!$B$10,Paramètres!$A$1:$I$89,5,0)</f>
        <v>263.00040000000007</v>
      </c>
      <c r="AK52" s="13">
        <f t="shared" si="35"/>
        <v>63.36151427162276</v>
      </c>
      <c r="AL52" s="20">
        <f t="shared" si="4"/>
        <v>568.41366735640975</v>
      </c>
      <c r="AM52" s="59">
        <f t="shared" si="5"/>
        <v>861.74700068974312</v>
      </c>
      <c r="AN52" s="59">
        <f ca="1">AVERAGE(OFFSET($AM$3,0,0,'Données projet'!$E$10+1,1))-AVERAGE(OFFSET($H$3,0,0,'Données projet'!$E$10+1,1))</f>
        <v>348.76139845974495</v>
      </c>
      <c r="AO52" s="59">
        <f t="shared" si="36"/>
        <v>398.5142967182872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34.942194839858367</v>
      </c>
      <c r="AV52" s="21">
        <f>EXP(-LN(2)/25)*AV51+(1-EXP(-LN(2)/25))/(LN(2)/25)*Calculateur!AQ52*Calculateur!AS52*VLOOKUP('Données projet'!$B$10,Paramètres!$A$1:$I$89,3,0)*0.475*44/12</f>
        <v>25.997206650755238</v>
      </c>
      <c r="AW52" s="21">
        <f>EXP(-LN(2)/2)*AW51+(1-EXP(-LN(2)/2))/(LN(2)/2)*AQ52*AT52*VLOOKUP('Données projet'!$B$10,Paramètres!$A$1:$I$89,3,0)*0.475*44/12</f>
        <v>2.4736427133503454</v>
      </c>
      <c r="AX52" s="21">
        <f t="shared" si="6"/>
        <v>63.413044203963949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</v>
      </c>
      <c r="BE52" s="13">
        <f>BD52*VLOOKUP('Données projet'!$B$11,Paramètres!$A$1:$I$89,3,0)*VLOOKUP('Données projet'!$B$11,Paramètres!$A$1:$I$89,5,0)</f>
        <v>172.1772</v>
      </c>
      <c r="BF52" s="13">
        <f t="shared" si="37"/>
        <v>43.577282221917017</v>
      </c>
      <c r="BG52" s="20">
        <f t="shared" si="7"/>
        <v>375.77238986983883</v>
      </c>
      <c r="BH52" s="59">
        <f t="shared" si="8"/>
        <v>669.10572320317215</v>
      </c>
      <c r="BI52" s="59">
        <f ca="1">AVERAGE(OFFSET($BH$3,0,0,'Données projet'!$E$11+1,1))-AVERAGE(OFFSET($H$3,0,0,'Données projet'!$E$11+1,1))</f>
        <v>413.81510455446738</v>
      </c>
      <c r="BJ52" s="59">
        <f t="shared" si="38"/>
        <v>254.25036207346602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3.5641773841435076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3.5641773841435076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115.39999999999996</v>
      </c>
      <c r="BZ52" s="13">
        <f>BY52*VLOOKUP('Données projet'!$B$12,Paramètres!$A$1:$I$89,3,0)*VLOOKUP('Données projet'!$B$12,Paramètres!$A$1:$I$89,5,0)</f>
        <v>109.81463999999997</v>
      </c>
      <c r="CA52" s="13">
        <f t="shared" si="39"/>
        <v>29.287308025077461</v>
      </c>
      <c r="CB52" s="20">
        <f t="shared" si="10"/>
        <v>242.26922614367652</v>
      </c>
      <c r="CC52" s="59">
        <f t="shared" si="11"/>
        <v>535.60255947700989</v>
      </c>
      <c r="CD52" s="59">
        <f ca="1">AVERAGE(OFFSET($CC$3,0,0,'Données projet'!$E$12+1,1))-AVERAGE(OFFSET($H$3,0,0,'Données projet'!$E$12+1,1))</f>
        <v>292.61712942007972</v>
      </c>
      <c r="CE52" s="59">
        <f t="shared" si="40"/>
        <v>152.23954167722536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115.39999999999996</v>
      </c>
      <c r="CU52" s="17">
        <f>CT52*VLOOKUP('Données projet'!$B$13,Paramètres!$A$1:$I$89,3,0)*VLOOKUP('Données projet'!$B$13,Paramètres!$A$1:$I$89,5,0)</f>
        <v>111.61487999999996</v>
      </c>
      <c r="CV52" s="13">
        <f t="shared" si="41"/>
        <v>29.711139570849625</v>
      </c>
      <c r="CW52" s="20">
        <f t="shared" si="13"/>
        <v>246.14281741922969</v>
      </c>
      <c r="CX52" s="59">
        <f t="shared" si="14"/>
        <v>539.47615075256294</v>
      </c>
      <c r="CY52" s="59">
        <f ca="1">AVERAGE(OFFSET($CX$3,0,0,'Données projet'!$E$13+1,1))-AVERAGE(OFFSET($H$3,0,0,'Données projet'!$E$13+1,1))</f>
        <v>296.78766823247003</v>
      </c>
      <c r="CZ52" s="59">
        <f t="shared" si="42"/>
        <v>154.08406475869634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390</v>
      </c>
      <c r="L53" s="12">
        <f>VLOOKUP(A53,'Données projet'!$A$35:$I$55,9,0)</f>
        <v>14</v>
      </c>
      <c r="M53" s="12">
        <f t="array" ref="M53">INDEX(L:L,MIN(IF(ISNUMBER(L53:L249),ROW(L53:L249),"")))</f>
        <v>14</v>
      </c>
      <c r="N53" s="13">
        <f>IF('Données projet'!$A$36&gt;35,N52+M53-V52,IF(A53&lt;'Données projet'!$A$36,$K$205^A53,IF(A53='Données projet'!$A$36,'Données projet'!$B$36,N52+M53-V52)))</f>
        <v>390</v>
      </c>
      <c r="O53" s="13">
        <f>N53*VLOOKUP('Données projet'!$B$9,Paramètres!$A$1:$I$89,3,0)*VLOOKUP('Données projet'!$B$9,Paramètres!$A$1:$I$89,5,0)</f>
        <v>182.52</v>
      </c>
      <c r="P53" s="13">
        <f t="shared" si="33"/>
        <v>45.882385280285632</v>
      </c>
      <c r="Q53" s="20">
        <f t="shared" si="53"/>
        <v>397.80082102983079</v>
      </c>
      <c r="R53" s="59">
        <f t="shared" si="0"/>
        <v>691.13415436316404</v>
      </c>
      <c r="S53" s="59">
        <f ca="1">AVERAGE(OFFSET($R$3,0,0,'Données projet'!$E$9+1,1))-AVERAGE(OFFSET($H$3,0,0,'Données projet'!$E$9+1,1))</f>
        <v>229.61973863654862</v>
      </c>
      <c r="T53" s="59">
        <f t="shared" si="34"/>
        <v>254.08208375594052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50</v>
      </c>
      <c r="W53" s="16">
        <f>IF(ISNA(VLOOKUP(A53,'Données projet'!$A$35:$I$55,5,0)),0%,VLOOKUP(A53,'Données projet'!$A$35:$I$55,5,0)*VLOOKUP('Données projet'!$B$9,Paramètres!$A$1:$I$89,7,0))</f>
        <v>0.22000000000000003</v>
      </c>
      <c r="X53" s="16">
        <f>IF(ISNA(VLOOKUP(A53,'Données projet'!$A$35:$I$55,6,0)),0%,VLOOKUP(A53,'Données projet'!$A$35:$I$55,6,0)*VLOOKUP('Données projet'!$B$9,Paramètres!$A$1:$I$89,7,0))</f>
        <v>0.18700000000000003</v>
      </c>
      <c r="Y53" s="16">
        <f>IF(ISNA(VLOOKUP(A53,'Données projet'!$A$35:$I$55,7,0)),0%,VLOOKUP(A53,'Données projet'!$A$35:$I$55,7,0))</f>
        <v>0.26</v>
      </c>
      <c r="Z53" s="21">
        <f>EXP(-LN(2)/35)*Z52+(1-EXP(-LN(2)/35))/(LN(2)/35)*V53*W53*VLOOKUP('Données projet'!$B$9,Paramètres!$A$1:$I$89,3,0)*0.475*44/12</f>
        <v>13.328640921453463</v>
      </c>
      <c r="AA53" s="21">
        <f>EXP(-LN(2)/25)*AA52+(1-EXP(-LN(2)/25))/(LN(2)/25)*Calculateur!V53*Calculateur!X53*VLOOKUP('Données projet'!$B$9,Paramètres!$A$1:$I$89,3,0)*0.475*44/12</f>
        <v>19.593985013014318</v>
      </c>
      <c r="AB53" s="21">
        <f>EXP(-LN(2)/2)*AB52+(1-EXP(-LN(2)/2))/(LN(2)/2)*V53*Y53*VLOOKUP('Données projet'!$B$9,Paramètres!$A$1:$I$89,3,0)*0.475*44/12</f>
        <v>7.1545044601337793</v>
      </c>
      <c r="AC53" s="22">
        <f t="shared" si="3"/>
        <v>40.077130394601561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458</v>
      </c>
      <c r="AG53" s="12">
        <f>VLOOKUP(A53,'Données projet'!$A$61:$I$81,9,0)</f>
        <v>18.2</v>
      </c>
      <c r="AH53" s="12">
        <f t="array" ref="AH53">INDEX(AG:AG,MIN(IF(ISNUMBER(AG53:AG249),ROW(AG53:AG249),"")))</f>
        <v>18.2</v>
      </c>
      <c r="AI53" s="13">
        <f>IF('Données projet'!$A$62&gt;35,AI52+AH53-AQ52,IF(A53&lt;'Données projet'!$A$62,$AF$205^A53,IF(A53='Données projet'!$A$62,'Données projet'!$B$62,AI52+AH53-AQ52)))</f>
        <v>458.00000000000006</v>
      </c>
      <c r="AJ53" s="13">
        <f>AI53*VLOOKUP('Données projet'!$B$10,Paramètres!$A$1:$I$89,3,0)*VLOOKUP('Données projet'!$B$10,Paramètres!$A$1:$I$89,5,0)</f>
        <v>273.88400000000007</v>
      </c>
      <c r="AK53" s="13">
        <f t="shared" si="35"/>
        <v>65.672865675587943</v>
      </c>
      <c r="AL53" s="20">
        <f t="shared" si="4"/>
        <v>591.39487438498247</v>
      </c>
      <c r="AM53" s="59">
        <f t="shared" si="5"/>
        <v>884.72820771831584</v>
      </c>
      <c r="AN53" s="59">
        <f ca="1">AVERAGE(OFFSET($AM$3,0,0,'Données projet'!$E$10+1,1))-AVERAGE(OFFSET($H$3,0,0,'Données projet'!$E$10+1,1))</f>
        <v>348.76139845974495</v>
      </c>
      <c r="AO53" s="59">
        <f t="shared" si="36"/>
        <v>398.5142967182872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49</v>
      </c>
      <c r="AR53" s="16">
        <f>IF(ISNA(VLOOKUP(A53,'Données projet'!$A$61:$I$81,5,0)),0%,VLOOKUP(A53,'Données projet'!$A$61:$I$81,5,0)*VLOOKUP('Données projet'!$B$10,Paramètres!$A$1:$I$89,7,0))</f>
        <v>0.27</v>
      </c>
      <c r="AS53" s="16">
        <f>IF(ISNA(VLOOKUP(A53,'Données projet'!$A$61:$I$81,6,0)),0%,VLOOKUP(A53,'Données projet'!$A$61:$I$81,6,0)*VLOOKUP('Données projet'!$B$10,Paramètres!$A$1:$I$89,7,0))</f>
        <v>9.9000000000000005E-2</v>
      </c>
      <c r="AT53" s="16">
        <f>IF(ISNA(VLOOKUP(A53,'Données projet'!$A$61:$I$81,7,0)),0%,VLOOKUP(A53,'Données projet'!$A$61:$I$81,7,0))</f>
        <v>0.18</v>
      </c>
      <c r="AU53" s="21">
        <f>EXP(-LN(2)/35)*AU52+(1-EXP(-LN(2)/35))/(LN(2)/35)*AQ53*AR53*VLOOKUP('Données projet'!$B$10,Paramètres!$A$1:$I$89,3,0)*0.475*44/12</f>
        <v>44.752167463471288</v>
      </c>
      <c r="AV53" s="21">
        <f>EXP(-LN(2)/25)*AV52+(1-EXP(-LN(2)/25))/(LN(2)/25)*Calculateur!AQ53*Calculateur!AS53*VLOOKUP('Données projet'!$B$10,Paramètres!$A$1:$I$89,3,0)*0.475*44/12</f>
        <v>29.119387902794863</v>
      </c>
      <c r="AW53" s="21">
        <f>EXP(-LN(2)/2)*AW52+(1-EXP(-LN(2)/2))/(LN(2)/2)*AQ53*AT53*VLOOKUP('Données projet'!$B$10,Paramètres!$A$1:$I$89,3,0)*0.475*44/12</f>
        <v>7.7209302776244115</v>
      </c>
      <c r="AX53" s="21">
        <f t="shared" si="6"/>
        <v>81.592485643890569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</v>
      </c>
      <c r="BE53" s="13">
        <f>BD53*VLOOKUP('Données projet'!$B$11,Paramètres!$A$1:$I$89,3,0)*VLOOKUP('Données projet'!$B$11,Paramètres!$A$1:$I$89,5,0)</f>
        <v>180.49200000000002</v>
      </c>
      <c r="BF53" s="13">
        <f t="shared" si="37"/>
        <v>45.431629706642653</v>
      </c>
      <c r="BG53" s="20">
        <f t="shared" si="7"/>
        <v>393.4836550724026</v>
      </c>
      <c r="BH53" s="59">
        <f t="shared" si="8"/>
        <v>686.81698840573586</v>
      </c>
      <c r="BI53" s="59">
        <f ca="1">AVERAGE(OFFSET($BH$3,0,0,'Données projet'!$E$11+1,1))-AVERAGE(OFFSET($H$3,0,0,'Données projet'!$E$11+1,1))</f>
        <v>413.81510455446738</v>
      </c>
      <c r="BJ53" s="59">
        <f t="shared" si="38"/>
        <v>254.25036207346602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6.5309313673429283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6.5309313673429283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121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120.99999999999996</v>
      </c>
      <c r="BZ53" s="13">
        <f>BY53*VLOOKUP('Données projet'!$B$12,Paramètres!$A$1:$I$89,3,0)*VLOOKUP('Données projet'!$B$12,Paramètres!$A$1:$I$89,5,0)</f>
        <v>115.14359999999996</v>
      </c>
      <c r="CA53" s="13">
        <f t="shared" si="39"/>
        <v>30.539614832250223</v>
      </c>
      <c r="CB53" s="20">
        <f t="shared" si="10"/>
        <v>253.7315991661691</v>
      </c>
      <c r="CC53" s="59">
        <f t="shared" si="11"/>
        <v>547.06493249950245</v>
      </c>
      <c r="CD53" s="59">
        <f ca="1">AVERAGE(OFFSET($CC$3,0,0,'Données projet'!$E$12+1,1))-AVERAGE(OFFSET($H$3,0,0,'Données projet'!$E$12+1,1))</f>
        <v>292.61712942007972</v>
      </c>
      <c r="CE53" s="59">
        <f t="shared" si="40"/>
        <v>152.23954167722536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14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121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120.99999999999996</v>
      </c>
      <c r="CU53" s="17">
        <f>CT53*VLOOKUP('Données projet'!$B$13,Paramètres!$A$1:$I$89,3,0)*VLOOKUP('Données projet'!$B$13,Paramètres!$A$1:$I$89,5,0)</f>
        <v>117.03119999999996</v>
      </c>
      <c r="CV53" s="13">
        <f t="shared" si="41"/>
        <v>30.981569147428527</v>
      </c>
      <c r="CW53" s="20">
        <f t="shared" si="13"/>
        <v>257.78890626510457</v>
      </c>
      <c r="CX53" s="59">
        <f t="shared" si="14"/>
        <v>551.12223959843789</v>
      </c>
      <c r="CY53" s="59">
        <f ca="1">AVERAGE(OFFSET($CX$3,0,0,'Données projet'!$E$13+1,1))-AVERAGE(OFFSET($H$3,0,0,'Données projet'!$E$13+1,1))</f>
        <v>296.78766823247003</v>
      </c>
      <c r="CZ53" s="59">
        <f t="shared" si="42"/>
        <v>154.08406475869634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14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</v>
      </c>
      <c r="N54" s="13">
        <f>IF('Données projet'!$A$36&gt;35,N53+M54-V53,IF(A54&lt;'Données projet'!$A$36,$K$205^A54,IF(A54='Données projet'!$A$36,'Données projet'!$B$36,N53+M54-V53)))</f>
        <v>353</v>
      </c>
      <c r="O54" s="13">
        <f>N54*VLOOKUP('Données projet'!$B$9,Paramètres!$A$1:$I$89,3,0)*VLOOKUP('Données projet'!$B$9,Paramètres!$A$1:$I$89,5,0)</f>
        <v>165.20400000000001</v>
      </c>
      <c r="P54" s="13">
        <f t="shared" si="33"/>
        <v>42.01409666579589</v>
      </c>
      <c r="Q54" s="20">
        <f t="shared" si="53"/>
        <v>360.90485169292782</v>
      </c>
      <c r="R54" s="59">
        <f t="shared" si="0"/>
        <v>654.23818502626114</v>
      </c>
      <c r="S54" s="59">
        <f ca="1">AVERAGE(OFFSET($R$3,0,0,'Données projet'!$E$9+1,1))-AVERAGE(OFFSET($H$3,0,0,'Données projet'!$E$9+1,1))</f>
        <v>229.61973863654862</v>
      </c>
      <c r="T54" s="59">
        <f t="shared" si="34"/>
        <v>254.08208375594052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13.067274402651984</v>
      </c>
      <c r="AA54" s="21">
        <f>EXP(-LN(2)/25)*AA53+(1-EXP(-LN(2)/25))/(LN(2)/25)*Calculateur!V54*Calculateur!X54*VLOOKUP('Données projet'!$B$9,Paramètres!$A$1:$I$89,3,0)*0.475*44/12</f>
        <v>19.058186462430552</v>
      </c>
      <c r="AB54" s="21">
        <f>EXP(-LN(2)/2)*AB53+(1-EXP(-LN(2)/2))/(LN(2)/2)*V54*Y54*VLOOKUP('Données projet'!$B$9,Paramètres!$A$1:$I$89,3,0)*0.475*44/12</f>
        <v>5.0589986197899952</v>
      </c>
      <c r="AC54" s="22">
        <f t="shared" si="3"/>
        <v>37.184459484872534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16.600000000000001</v>
      </c>
      <c r="AI54" s="13">
        <f>IF('Données projet'!$A$62&gt;35,AI53+AH54-AQ53,IF(A54&lt;'Données projet'!$A$62,$AF$205^A54,IF(A54='Données projet'!$A$62,'Données projet'!$B$62,AI53+AH54-AQ53)))</f>
        <v>425.60000000000008</v>
      </c>
      <c r="AJ54" s="13">
        <f>AI54*VLOOKUP('Données projet'!$B$10,Paramètres!$A$1:$I$89,3,0)*VLOOKUP('Données projet'!$B$10,Paramètres!$A$1:$I$89,5,0)</f>
        <v>254.50880000000006</v>
      </c>
      <c r="AK54" s="13">
        <f t="shared" si="35"/>
        <v>61.550425822391155</v>
      </c>
      <c r="AL54" s="20">
        <f t="shared" si="4"/>
        <v>550.46981830733137</v>
      </c>
      <c r="AM54" s="59">
        <f t="shared" si="5"/>
        <v>843.80315164066474</v>
      </c>
      <c r="AN54" s="59">
        <f ca="1">AVERAGE(OFFSET($AM$3,0,0,'Données projet'!$E$10+1,1))-AVERAGE(OFFSET($H$3,0,0,'Données projet'!$E$10+1,1))</f>
        <v>348.76139845974495</v>
      </c>
      <c r="AO54" s="59">
        <f t="shared" si="36"/>
        <v>398.5142967182872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43.874604755639503</v>
      </c>
      <c r="AV54" s="21">
        <f>EXP(-LN(2)/25)*AV53+(1-EXP(-LN(2)/25))/(LN(2)/25)*Calculateur!AQ54*Calculateur!AS54*VLOOKUP('Données projet'!$B$10,Paramètres!$A$1:$I$89,3,0)*0.475*44/12</f>
        <v>28.323116709270881</v>
      </c>
      <c r="AW54" s="21">
        <f>EXP(-LN(2)/2)*AW53+(1-EXP(-LN(2)/2))/(LN(2)/2)*AQ54*AT54*VLOOKUP('Données projet'!$B$10,Paramètres!$A$1:$I$89,3,0)*0.475*44/12</f>
        <v>5.4595221563767549</v>
      </c>
      <c r="AX54" s="21">
        <f t="shared" si="6"/>
        <v>77.657243621287137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</v>
      </c>
      <c r="BE54" s="13">
        <f>BD54*VLOOKUP('Données projet'!$B$11,Paramètres!$A$1:$I$89,3,0)*VLOOKUP('Données projet'!$B$11,Paramètres!$A$1:$I$89,5,0)</f>
        <v>167.31</v>
      </c>
      <c r="BF54" s="13">
        <f t="shared" si="37"/>
        <v>42.486994942347515</v>
      </c>
      <c r="BG54" s="20">
        <f t="shared" si="7"/>
        <v>365.39643285792187</v>
      </c>
      <c r="BH54" s="59">
        <f t="shared" si="8"/>
        <v>658.72976619125518</v>
      </c>
      <c r="BI54" s="59">
        <f ca="1">AVERAGE(OFFSET($BH$3,0,0,'Données projet'!$E$11+1,1))-AVERAGE(OFFSET($H$3,0,0,'Données projet'!$E$11+1,1))</f>
        <v>413.81510455446738</v>
      </c>
      <c r="BJ54" s="59">
        <f t="shared" si="38"/>
        <v>254.25036207346602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6.402863786704132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6.402863786704132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112.59999999999995</v>
      </c>
      <c r="BZ54" s="13">
        <f>BY54*VLOOKUP('Données projet'!$B$12,Paramètres!$A$1:$I$89,3,0)*VLOOKUP('Données projet'!$B$12,Paramètres!$A$1:$I$89,5,0)</f>
        <v>107.15015999999994</v>
      </c>
      <c r="CA54" s="13">
        <f t="shared" si="39"/>
        <v>28.658517723314318</v>
      </c>
      <c r="CB54" s="20">
        <f t="shared" si="10"/>
        <v>236.53344703477231</v>
      </c>
      <c r="CC54" s="59">
        <f t="shared" si="11"/>
        <v>529.86678036810565</v>
      </c>
      <c r="CD54" s="59">
        <f ca="1">AVERAGE(OFFSET($CC$3,0,0,'Données projet'!$E$12+1,1))-AVERAGE(OFFSET($H$3,0,0,'Données projet'!$E$12+1,1))</f>
        <v>292.61712942007972</v>
      </c>
      <c r="CE54" s="59">
        <f t="shared" si="40"/>
        <v>152.23954167722536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112.59999999999995</v>
      </c>
      <c r="CU54" s="17">
        <f>CT54*VLOOKUP('Données projet'!$B$13,Paramètres!$A$1:$I$89,3,0)*VLOOKUP('Données projet'!$B$13,Paramètres!$A$1:$I$89,5,0)</f>
        <v>108.90671999999995</v>
      </c>
      <c r="CV54" s="13">
        <f t="shared" si="41"/>
        <v>29.073249724487347</v>
      </c>
      <c r="CW54" s="20">
        <f t="shared" si="13"/>
        <v>240.31511393681535</v>
      </c>
      <c r="CX54" s="59">
        <f t="shared" si="14"/>
        <v>533.64844727014861</v>
      </c>
      <c r="CY54" s="59">
        <f ca="1">AVERAGE(OFFSET($CX$3,0,0,'Données projet'!$E$13+1,1))-AVERAGE(OFFSET($H$3,0,0,'Données projet'!$E$13+1,1))</f>
        <v>296.78766823247003</v>
      </c>
      <c r="CZ54" s="59">
        <f t="shared" si="42"/>
        <v>154.08406475869634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</v>
      </c>
      <c r="N55" s="13">
        <f>IF('Données projet'!$A$36&gt;35,N54+M55-V54,IF(A55&lt;'Données projet'!$A$36,$K$205^A55,IF(A55='Données projet'!$A$36,'Données projet'!$B$36,N54+M55-V54)))</f>
        <v>366</v>
      </c>
      <c r="O55" s="13">
        <f>N55*VLOOKUP('Données projet'!$B$9,Paramètres!$A$1:$I$89,3,0)*VLOOKUP('Données projet'!$B$9,Paramètres!$A$1:$I$89,5,0)</f>
        <v>171.28799999999998</v>
      </c>
      <c r="P55" s="13">
        <f t="shared" si="33"/>
        <v>43.37836589572138</v>
      </c>
      <c r="Q55" s="20">
        <f t="shared" si="53"/>
        <v>373.87725393504803</v>
      </c>
      <c r="R55" s="59">
        <f t="shared" si="0"/>
        <v>667.21058726838135</v>
      </c>
      <c r="S55" s="59">
        <f ca="1">AVERAGE(OFFSET($R$3,0,0,'Données projet'!$E$9+1,1))-AVERAGE(OFFSET($H$3,0,0,'Données projet'!$E$9+1,1))</f>
        <v>229.61973863654862</v>
      </c>
      <c r="T55" s="59">
        <f t="shared" si="34"/>
        <v>254.08208375594052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12.811033121866368</v>
      </c>
      <c r="AA55" s="21">
        <f>EXP(-LN(2)/25)*AA54+(1-EXP(-LN(2)/25))/(LN(2)/25)*Calculateur!V55*Calculateur!X55*VLOOKUP('Données projet'!$B$9,Paramètres!$A$1:$I$89,3,0)*0.475*44/12</f>
        <v>18.53703935138892</v>
      </c>
      <c r="AB55" s="21">
        <f>EXP(-LN(2)/2)*AB54+(1-EXP(-LN(2)/2))/(LN(2)/2)*V55*Y55*VLOOKUP('Données projet'!$B$9,Paramètres!$A$1:$I$89,3,0)*0.475*44/12</f>
        <v>3.5772522300668905</v>
      </c>
      <c r="AC55" s="22">
        <f t="shared" si="3"/>
        <v>34.925324703322175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16.600000000000001</v>
      </c>
      <c r="AI55" s="13">
        <f>IF('Données projet'!$A$62&gt;35,AI54+AH55-AQ54,IF(A55&lt;'Données projet'!$A$62,$AF$205^A55,IF(A55='Données projet'!$A$62,'Données projet'!$B$62,AI54+AH55-AQ54)))</f>
        <v>442.2000000000001</v>
      </c>
      <c r="AJ55" s="13">
        <f>AI55*VLOOKUP('Données projet'!$B$10,Paramètres!$A$1:$I$89,3,0)*VLOOKUP('Données projet'!$B$10,Paramètres!$A$1:$I$89,5,0)</f>
        <v>264.43560000000008</v>
      </c>
      <c r="AK55" s="13">
        <f t="shared" si="35"/>
        <v>63.666935766021915</v>
      </c>
      <c r="AL55" s="20">
        <f t="shared" si="4"/>
        <v>571.44524979248831</v>
      </c>
      <c r="AM55" s="59">
        <f t="shared" si="5"/>
        <v>864.77858312582157</v>
      </c>
      <c r="AN55" s="59">
        <f ca="1">AVERAGE(OFFSET($AM$3,0,0,'Données projet'!$E$10+1,1))-AVERAGE(OFFSET($H$3,0,0,'Données projet'!$E$10+1,1))</f>
        <v>348.76139845974495</v>
      </c>
      <c r="AO55" s="59">
        <f t="shared" si="36"/>
        <v>398.5142967182872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43.014250517247895</v>
      </c>
      <c r="AV55" s="21">
        <f>EXP(-LN(2)/25)*AV54+(1-EXP(-LN(2)/25))/(LN(2)/25)*Calculateur!AQ55*Calculateur!AS55*VLOOKUP('Données projet'!$B$10,Paramètres!$A$1:$I$89,3,0)*0.475*44/12</f>
        <v>27.548619593407896</v>
      </c>
      <c r="AW55" s="21">
        <f>EXP(-LN(2)/2)*AW54+(1-EXP(-LN(2)/2))/(LN(2)/2)*AQ55*AT55*VLOOKUP('Données projet'!$B$10,Paramètres!$A$1:$I$89,3,0)*0.475*44/12</f>
        <v>3.8604651388122062</v>
      </c>
      <c r="AX55" s="21">
        <f t="shared" si="6"/>
        <v>74.423335249467996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</v>
      </c>
      <c r="BE55" s="13">
        <f>BD55*VLOOKUP('Données projet'!$B$11,Paramètres!$A$1:$I$89,3,0)*VLOOKUP('Données projet'!$B$11,Paramètres!$A$1:$I$89,5,0)</f>
        <v>175.422</v>
      </c>
      <c r="BF55" s="13">
        <f t="shared" si="37"/>
        <v>44.302143412304737</v>
      </c>
      <c r="BG55" s="20">
        <f t="shared" si="7"/>
        <v>382.68621644309741</v>
      </c>
      <c r="BH55" s="59">
        <f t="shared" si="8"/>
        <v>676.01954977643072</v>
      </c>
      <c r="BI55" s="59">
        <f ca="1">AVERAGE(OFFSET($BH$3,0,0,'Données projet'!$E$11+1,1))-AVERAGE(OFFSET($H$3,0,0,'Données projet'!$E$11+1,1))</f>
        <v>413.81510455446738</v>
      </c>
      <c r="BJ55" s="59">
        <f t="shared" si="38"/>
        <v>254.25036207346602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6.2773075332081518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6.2773075332081518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118.19999999999995</v>
      </c>
      <c r="BZ55" s="13">
        <f>BY55*VLOOKUP('Données projet'!$B$12,Paramètres!$A$1:$I$89,3,0)*VLOOKUP('Données projet'!$B$12,Paramètres!$A$1:$I$89,5,0)</f>
        <v>112.47911999999994</v>
      </c>
      <c r="CA55" s="13">
        <f t="shared" si="39"/>
        <v>29.914324778874605</v>
      </c>
      <c r="CB55" s="20">
        <f t="shared" si="10"/>
        <v>248.00191632320647</v>
      </c>
      <c r="CC55" s="59">
        <f t="shared" si="11"/>
        <v>541.33524965653976</v>
      </c>
      <c r="CD55" s="59">
        <f ca="1">AVERAGE(OFFSET($CC$3,0,0,'Données projet'!$E$12+1,1))-AVERAGE(OFFSET($H$3,0,0,'Données projet'!$E$12+1,1))</f>
        <v>292.61712942007972</v>
      </c>
      <c r="CE55" s="59">
        <f t="shared" si="40"/>
        <v>152.23954167722536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118.19999999999995</v>
      </c>
      <c r="CU55" s="17">
        <f>CT55*VLOOKUP('Données projet'!$B$13,Paramètres!$A$1:$I$89,3,0)*VLOOKUP('Données projet'!$B$13,Paramètres!$A$1:$I$89,5,0)</f>
        <v>114.32303999999995</v>
      </c>
      <c r="CV55" s="13">
        <f t="shared" si="41"/>
        <v>30.347230203330305</v>
      </c>
      <c r="CW55" s="20">
        <f t="shared" si="13"/>
        <v>251.96738727080017</v>
      </c>
      <c r="CX55" s="59">
        <f t="shared" si="14"/>
        <v>545.30072060413352</v>
      </c>
      <c r="CY55" s="59">
        <f ca="1">AVERAGE(OFFSET($CX$3,0,0,'Données projet'!$E$13+1,1))-AVERAGE(OFFSET($H$3,0,0,'Données projet'!$E$13+1,1))</f>
        <v>296.78766823247003</v>
      </c>
      <c r="CZ55" s="59">
        <f t="shared" si="42"/>
        <v>154.08406475869634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</v>
      </c>
      <c r="N56" s="13">
        <f>IF('Données projet'!$A$36&gt;35,N55+M56-V55,IF(A56&lt;'Données projet'!$A$36,$K$205^A56,IF(A56='Données projet'!$A$36,'Données projet'!$B$36,N55+M56-V55)))</f>
        <v>379</v>
      </c>
      <c r="O56" s="13">
        <f>N56*VLOOKUP('Données projet'!$B$9,Paramètres!$A$1:$I$89,3,0)*VLOOKUP('Données projet'!$B$9,Paramètres!$A$1:$I$89,5,0)</f>
        <v>177.37200000000001</v>
      </c>
      <c r="P56" s="13">
        <f t="shared" si="33"/>
        <v>44.737005048641883</v>
      </c>
      <c r="Q56" s="20">
        <f t="shared" si="53"/>
        <v>386.83985045971798</v>
      </c>
      <c r="R56" s="59">
        <f t="shared" si="0"/>
        <v>680.17318379305129</v>
      </c>
      <c r="S56" s="59">
        <f ca="1">AVERAGE(OFFSET($R$3,0,0,'Données projet'!$E$9+1,1))-AVERAGE(OFFSET($H$3,0,0,'Données projet'!$E$9+1,1))</f>
        <v>229.61973863654862</v>
      </c>
      <c r="T56" s="59">
        <f t="shared" si="34"/>
        <v>254.08208375594052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12.559816576305208</v>
      </c>
      <c r="AA56" s="21">
        <f>EXP(-LN(2)/25)*AA55+(1-EXP(-LN(2)/25))/(LN(2)/25)*Calculateur!V56*Calculateur!X56*VLOOKUP('Données projet'!$B$9,Paramètres!$A$1:$I$89,3,0)*0.475*44/12</f>
        <v>18.030143035504658</v>
      </c>
      <c r="AB56" s="21">
        <f>EXP(-LN(2)/2)*AB55+(1-EXP(-LN(2)/2))/(LN(2)/2)*V56*Y56*VLOOKUP('Données projet'!$B$9,Paramètres!$A$1:$I$89,3,0)*0.475*44/12</f>
        <v>2.529499309894998</v>
      </c>
      <c r="AC56" s="22">
        <f t="shared" si="3"/>
        <v>33.119458921704862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16.600000000000001</v>
      </c>
      <c r="AI56" s="13">
        <f>IF('Données projet'!$A$62&gt;35,AI55+AH56-AQ55,IF(A56&lt;'Données projet'!$A$62,$AF$205^A56,IF(A56='Données projet'!$A$62,'Données projet'!$B$62,AI55+AH56-AQ55)))</f>
        <v>458.80000000000013</v>
      </c>
      <c r="AJ56" s="13">
        <f>AI56*VLOOKUP('Données projet'!$B$10,Paramètres!$A$1:$I$89,3,0)*VLOOKUP('Données projet'!$B$10,Paramètres!$A$1:$I$89,5,0)</f>
        <v>274.36240000000009</v>
      </c>
      <c r="AK56" s="13">
        <f t="shared" si="35"/>
        <v>65.774215280471154</v>
      </c>
      <c r="AL56" s="20">
        <f t="shared" si="4"/>
        <v>592.40460494682077</v>
      </c>
      <c r="AM56" s="59">
        <f t="shared" si="5"/>
        <v>885.73793828015414</v>
      </c>
      <c r="AN56" s="59">
        <f ca="1">AVERAGE(OFFSET($AM$3,0,0,'Données projet'!$E$10+1,1))-AVERAGE(OFFSET($H$3,0,0,'Données projet'!$E$10+1,1))</f>
        <v>348.76139845974495</v>
      </c>
      <c r="AO56" s="59">
        <f t="shared" si="36"/>
        <v>398.5142967182872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42.170767300706878</v>
      </c>
      <c r="AV56" s="21">
        <f>EXP(-LN(2)/25)*AV55+(1-EXP(-LN(2)/25))/(LN(2)/25)*Calculateur!AQ56*Calculateur!AS56*VLOOKUP('Données projet'!$B$10,Paramètres!$A$1:$I$89,3,0)*0.475*44/12</f>
        <v>26.795301141907217</v>
      </c>
      <c r="AW56" s="21">
        <f>EXP(-LN(2)/2)*AW55+(1-EXP(-LN(2)/2))/(LN(2)/2)*AQ56*AT56*VLOOKUP('Données projet'!$B$10,Paramètres!$A$1:$I$89,3,0)*0.475*44/12</f>
        <v>2.7297610781883779</v>
      </c>
      <c r="AX56" s="21">
        <f t="shared" si="6"/>
        <v>71.695829520802477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</v>
      </c>
      <c r="BE56" s="13">
        <f>BD56*VLOOKUP('Données projet'!$B$11,Paramètres!$A$1:$I$89,3,0)*VLOOKUP('Données projet'!$B$11,Paramètres!$A$1:$I$89,5,0)</f>
        <v>183.53400000000002</v>
      </c>
      <c r="BF56" s="13">
        <f t="shared" si="37"/>
        <v>46.107544136839593</v>
      </c>
      <c r="BG56" s="20">
        <f t="shared" si="7"/>
        <v>399.95902270499568</v>
      </c>
      <c r="BH56" s="59">
        <f t="shared" si="8"/>
        <v>693.29235603832899</v>
      </c>
      <c r="BI56" s="59">
        <f ca="1">AVERAGE(OFFSET($BH$3,0,0,'Données projet'!$E$11+1,1))-AVERAGE(OFFSET($H$3,0,0,'Données projet'!$E$11+1,1))</f>
        <v>413.81510455446738</v>
      </c>
      <c r="BJ56" s="59">
        <f t="shared" si="38"/>
        <v>254.25036207346602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6.1542133612614744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6.1542133612614744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123.79999999999994</v>
      </c>
      <c r="BZ56" s="13">
        <f>BY56*VLOOKUP('Données projet'!$B$12,Paramètres!$A$1:$I$89,3,0)*VLOOKUP('Données projet'!$B$12,Paramètres!$A$1:$I$89,5,0)</f>
        <v>117.80807999999993</v>
      </c>
      <c r="CA56" s="13">
        <f t="shared" si="39"/>
        <v>31.163222740883338</v>
      </c>
      <c r="CB56" s="20">
        <f t="shared" si="10"/>
        <v>259.45835227370497</v>
      </c>
      <c r="CC56" s="59">
        <f t="shared" si="11"/>
        <v>552.79168560703829</v>
      </c>
      <c r="CD56" s="59">
        <f ca="1">AVERAGE(OFFSET($CC$3,0,0,'Données projet'!$E$12+1,1))-AVERAGE(OFFSET($H$3,0,0,'Données projet'!$E$12+1,1))</f>
        <v>292.61712942007972</v>
      </c>
      <c r="CE56" s="59">
        <f t="shared" si="40"/>
        <v>152.23954167722536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123.79999999999994</v>
      </c>
      <c r="CU56" s="17">
        <f>CT56*VLOOKUP('Données projet'!$B$13,Paramètres!$A$1:$I$89,3,0)*VLOOKUP('Données projet'!$B$13,Paramètres!$A$1:$I$89,5,0)</f>
        <v>119.73935999999993</v>
      </c>
      <c r="CV56" s="13">
        <f t="shared" si="41"/>
        <v>31.614201603611228</v>
      </c>
      <c r="CW56" s="20">
        <f t="shared" si="13"/>
        <v>263.60745312628939</v>
      </c>
      <c r="CX56" s="59">
        <f t="shared" si="14"/>
        <v>556.9407864596227</v>
      </c>
      <c r="CY56" s="59">
        <f ca="1">AVERAGE(OFFSET($CX$3,0,0,'Données projet'!$E$13+1,1))-AVERAGE(OFFSET($H$3,0,0,'Données projet'!$E$13+1,1))</f>
        <v>296.78766823247003</v>
      </c>
      <c r="CZ56" s="59">
        <f t="shared" si="42"/>
        <v>154.08406475869634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</v>
      </c>
      <c r="N57" s="13">
        <f>IF('Données projet'!$A$36&gt;35,N56+M57-V56,IF(A57&lt;'Données projet'!$A$36,$K$205^A57,IF(A57='Données projet'!$A$36,'Données projet'!$B$36,N56+M57-V56)))</f>
        <v>392</v>
      </c>
      <c r="O57" s="13">
        <f>N57*VLOOKUP('Données projet'!$B$9,Paramètres!$A$1:$I$89,3,0)*VLOOKUP('Données projet'!$B$9,Paramètres!$A$1:$I$89,5,0)</f>
        <v>183.45600000000002</v>
      </c>
      <c r="P57" s="13">
        <f t="shared" si="33"/>
        <v>46.090229375321144</v>
      </c>
      <c r="Q57" s="20">
        <f t="shared" si="53"/>
        <v>399.79301616201769</v>
      </c>
      <c r="R57" s="59">
        <f t="shared" si="0"/>
        <v>693.12634949535095</v>
      </c>
      <c r="S57" s="59">
        <f ca="1">AVERAGE(OFFSET($R$3,0,0,'Données projet'!$E$9+1,1))-AVERAGE(OFFSET($H$3,0,0,'Données projet'!$E$9+1,1))</f>
        <v>229.61973863654862</v>
      </c>
      <c r="T57" s="59">
        <f t="shared" si="34"/>
        <v>254.08208375594052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12.313526233975539</v>
      </c>
      <c r="AA57" s="21">
        <f>EXP(-LN(2)/25)*AA56+(1-EXP(-LN(2)/25))/(LN(2)/25)*Calculateur!V57*Calculateur!X57*VLOOKUP('Données projet'!$B$9,Paramètres!$A$1:$I$89,3,0)*0.475*44/12</f>
        <v>17.53710782603477</v>
      </c>
      <c r="AB57" s="21">
        <f>EXP(-LN(2)/2)*AB56+(1-EXP(-LN(2)/2))/(LN(2)/2)*V57*Y57*VLOOKUP('Données projet'!$B$9,Paramètres!$A$1:$I$89,3,0)*0.475*44/12</f>
        <v>1.7886261150334455</v>
      </c>
      <c r="AC57" s="22">
        <f t="shared" si="3"/>
        <v>31.639260175043752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16.600000000000001</v>
      </c>
      <c r="AI57" s="13">
        <f>IF('Données projet'!$A$62&gt;35,AI56+AH57-AQ56,IF(A57&lt;'Données projet'!$A$62,$AF$205^A57,IF(A57='Données projet'!$A$62,'Données projet'!$B$62,AI56+AH57-AQ56)))</f>
        <v>475.40000000000015</v>
      </c>
      <c r="AJ57" s="13">
        <f>AI57*VLOOKUP('Données projet'!$B$10,Paramètres!$A$1:$I$89,3,0)*VLOOKUP('Données projet'!$B$10,Paramètres!$A$1:$I$89,5,0)</f>
        <v>284.28920000000011</v>
      </c>
      <c r="AK57" s="13">
        <f t="shared" si="35"/>
        <v>67.872636590259475</v>
      </c>
      <c r="AL57" s="20">
        <f t="shared" si="4"/>
        <v>613.3485320613687</v>
      </c>
      <c r="AM57" s="59">
        <f t="shared" si="5"/>
        <v>906.68186539470207</v>
      </c>
      <c r="AN57" s="59">
        <f ca="1">AVERAGE(OFFSET($AM$3,0,0,'Données projet'!$E$10+1,1))-AVERAGE(OFFSET($H$3,0,0,'Données projet'!$E$10+1,1))</f>
        <v>348.76139845974495</v>
      </c>
      <c r="AO57" s="59">
        <f t="shared" si="36"/>
        <v>398.5142967182872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41.343824275568267</v>
      </c>
      <c r="AV57" s="21">
        <f>EXP(-LN(2)/25)*AV56+(1-EXP(-LN(2)/25))/(LN(2)/25)*Calculateur!AQ57*Calculateur!AS57*VLOOKUP('Données projet'!$B$10,Paramètres!$A$1:$I$89,3,0)*0.475*44/12</f>
        <v>26.062582223078117</v>
      </c>
      <c r="AW57" s="21">
        <f>EXP(-LN(2)/2)*AW56+(1-EXP(-LN(2)/2))/(LN(2)/2)*AQ57*AT57*VLOOKUP('Données projet'!$B$10,Paramètres!$A$1:$I$89,3,0)*0.475*44/12</f>
        <v>1.9302325694061035</v>
      </c>
      <c r="AX57" s="21">
        <f t="shared" si="6"/>
        <v>69.336639068052492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</v>
      </c>
      <c r="BE57" s="13">
        <f>BD57*VLOOKUP('Données projet'!$B$11,Paramètres!$A$1:$I$89,3,0)*VLOOKUP('Données projet'!$B$11,Paramètres!$A$1:$I$89,5,0)</f>
        <v>191.64600000000002</v>
      </c>
      <c r="BF57" s="13">
        <f t="shared" si="37"/>
        <v>47.903677189291635</v>
      </c>
      <c r="BG57" s="20">
        <f t="shared" si="7"/>
        <v>417.21568777134962</v>
      </c>
      <c r="BH57" s="59">
        <f t="shared" si="8"/>
        <v>710.54902110468288</v>
      </c>
      <c r="BI57" s="59">
        <f ca="1">AVERAGE(OFFSET($BH$3,0,0,'Données projet'!$E$11+1,1))-AVERAGE(OFFSET($H$3,0,0,'Données projet'!$E$11+1,1))</f>
        <v>413.81510455446738</v>
      </c>
      <c r="BJ57" s="59">
        <f t="shared" si="38"/>
        <v>254.25036207346602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6.0335329909466404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6.0335329909466404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129.39999999999995</v>
      </c>
      <c r="BZ57" s="13">
        <f>BY57*VLOOKUP('Données projet'!$B$12,Paramètres!$A$1:$I$89,3,0)*VLOOKUP('Données projet'!$B$12,Paramètres!$A$1:$I$89,5,0)</f>
        <v>123.13703999999996</v>
      </c>
      <c r="CA57" s="13">
        <f t="shared" si="39"/>
        <v>32.40555984092714</v>
      </c>
      <c r="CB57" s="20">
        <f t="shared" si="10"/>
        <v>270.9033613896147</v>
      </c>
      <c r="CC57" s="59">
        <f t="shared" si="11"/>
        <v>564.23669472294796</v>
      </c>
      <c r="CD57" s="59">
        <f ca="1">AVERAGE(OFFSET($CC$3,0,0,'Données projet'!$E$12+1,1))-AVERAGE(OFFSET($H$3,0,0,'Données projet'!$E$12+1,1))</f>
        <v>292.61712942007972</v>
      </c>
      <c r="CE57" s="59">
        <f t="shared" si="40"/>
        <v>152.23954167722536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129.39999999999995</v>
      </c>
      <c r="CU57" s="17">
        <f>CT57*VLOOKUP('Données projet'!$B$13,Paramètres!$A$1:$I$89,3,0)*VLOOKUP('Données projet'!$B$13,Paramètres!$A$1:$I$89,5,0)</f>
        <v>125.15567999999995</v>
      </c>
      <c r="CV57" s="13">
        <f t="shared" si="41"/>
        <v>32.874517196353331</v>
      </c>
      <c r="CW57" s="20">
        <f t="shared" si="13"/>
        <v>275.23592678364861</v>
      </c>
      <c r="CX57" s="59">
        <f t="shared" si="14"/>
        <v>568.56926011698192</v>
      </c>
      <c r="CY57" s="59">
        <f ca="1">AVERAGE(OFFSET($CX$3,0,0,'Données projet'!$E$13+1,1))-AVERAGE(OFFSET($H$3,0,0,'Données projet'!$E$13+1,1))</f>
        <v>296.78766823247003</v>
      </c>
      <c r="CZ57" s="59">
        <f t="shared" si="42"/>
        <v>154.08406475869634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</v>
      </c>
      <c r="N58" s="13">
        <f>IF('Données projet'!$A$36&gt;35,N57+M58-V57,IF(A58&lt;'Données projet'!$A$36,$K$205^A58,IF(A58='Données projet'!$A$36,'Données projet'!$B$36,N57+M58-V57)))</f>
        <v>405</v>
      </c>
      <c r="O58" s="13">
        <f>N58*VLOOKUP('Données projet'!$B$9,Paramètres!$A$1:$I$89,3,0)*VLOOKUP('Données projet'!$B$9,Paramètres!$A$1:$I$89,5,0)</f>
        <v>189.54</v>
      </c>
      <c r="P58" s="13">
        <f t="shared" si="33"/>
        <v>47.438239039488813</v>
      </c>
      <c r="Q58" s="20">
        <f t="shared" si="53"/>
        <v>412.73709966044299</v>
      </c>
      <c r="R58" s="59">
        <f t="shared" si="0"/>
        <v>706.07043299377631</v>
      </c>
      <c r="S58" s="59">
        <f ca="1">AVERAGE(OFFSET($R$3,0,0,'Données projet'!$E$9+1,1))-AVERAGE(OFFSET($H$3,0,0,'Données projet'!$E$9+1,1))</f>
        <v>229.61973863654862</v>
      </c>
      <c r="T58" s="59">
        <f t="shared" si="34"/>
        <v>254.08208375594052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12.07206549503668</v>
      </c>
      <c r="AA58" s="21">
        <f>EXP(-LN(2)/25)*AA57+(1-EXP(-LN(2)/25))/(LN(2)/25)*Calculateur!V58*Calculateur!X58*VLOOKUP('Données projet'!$B$9,Paramètres!$A$1:$I$89,3,0)*0.475*44/12</f>
        <v>17.057554690295429</v>
      </c>
      <c r="AB58" s="21">
        <f>EXP(-LN(2)/2)*AB57+(1-EXP(-LN(2)/2))/(LN(2)/2)*V58*Y58*VLOOKUP('Données projet'!$B$9,Paramètres!$A$1:$I$89,3,0)*0.475*44/12</f>
        <v>1.2647496549474992</v>
      </c>
      <c r="AC58" s="22">
        <f t="shared" si="3"/>
        <v>30.394369840279609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492</v>
      </c>
      <c r="AG58" s="12">
        <f>VLOOKUP(A58,'Données projet'!$A$61:$I$81,9,0)</f>
        <v>16.600000000000001</v>
      </c>
      <c r="AH58" s="12">
        <f t="array" ref="AH58">INDEX(AG:AG,MIN(IF(ISNUMBER(AG58:AG254),ROW(AG58:AG254),"")))</f>
        <v>16.600000000000001</v>
      </c>
      <c r="AI58" s="13">
        <f>IF('Données projet'!$A$62&gt;35,AI57+AH58-AQ57,IF(A58&lt;'Données projet'!$A$62,$AF$205^A58,IF(A58='Données projet'!$A$62,'Données projet'!$B$62,AI57+AH58-AQ57)))</f>
        <v>492.00000000000017</v>
      </c>
      <c r="AJ58" s="13">
        <f>AI58*VLOOKUP('Données projet'!$B$10,Paramètres!$A$1:$I$89,3,0)*VLOOKUP('Données projet'!$B$10,Paramètres!$A$1:$I$89,5,0)</f>
        <v>294.21600000000012</v>
      </c>
      <c r="AK58" s="13">
        <f t="shared" si="35"/>
        <v>69.962544451198369</v>
      </c>
      <c r="AL58" s="20">
        <f t="shared" si="4"/>
        <v>634.2776315858373</v>
      </c>
      <c r="AM58" s="59">
        <f t="shared" si="5"/>
        <v>927.61096491917056</v>
      </c>
      <c r="AN58" s="59">
        <f ca="1">AVERAGE(OFFSET($AM$3,0,0,'Données projet'!$E$10+1,1))-AVERAGE(OFFSET($H$3,0,0,'Données projet'!$E$10+1,1))</f>
        <v>348.76139845974495</v>
      </c>
      <c r="AO58" s="59">
        <f t="shared" si="36"/>
        <v>398.5142967182872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42</v>
      </c>
      <c r="AR58" s="16">
        <f>IF(ISNA(VLOOKUP(A58,'Données projet'!$A$61:$I$81,5,0)),0%,VLOOKUP(A58,'Données projet'!$A$61:$I$81,5,0)*VLOOKUP('Données projet'!$B$10,Paramètres!$A$1:$I$89,7,0))</f>
        <v>0.27</v>
      </c>
      <c r="AS58" s="16">
        <f>IF(ISNA(VLOOKUP(A58,'Données projet'!$A$61:$I$81,6,0)),0%,VLOOKUP(A58,'Données projet'!$A$61:$I$81,6,0)*VLOOKUP('Données projet'!$B$10,Paramètres!$A$1:$I$89,7,0))</f>
        <v>9.9000000000000005E-2</v>
      </c>
      <c r="AT58" s="16">
        <f>IF(ISNA(VLOOKUP(A58,'Données projet'!$A$61:$I$81,7,0)),0%,VLOOKUP(A58,'Données projet'!$A$61:$I$81,7,0))</f>
        <v>0.18</v>
      </c>
      <c r="AU58" s="21">
        <f>EXP(-LN(2)/35)*AU57+(1-EXP(-LN(2)/35))/(LN(2)/35)*AQ58*AR58*VLOOKUP('Données projet'!$B$10,Paramètres!$A$1:$I$89,3,0)*0.475*44/12</f>
        <v>49.528955171728448</v>
      </c>
      <c r="AV58" s="21">
        <f>EXP(-LN(2)/25)*AV57+(1-EXP(-LN(2)/25))/(LN(2)/25)*Calculateur!AQ58*Calculateur!AS58*VLOOKUP('Données projet'!$B$10,Paramètres!$A$1:$I$89,3,0)*0.475*44/12</f>
        <v>28.635393457363445</v>
      </c>
      <c r="AW58" s="21">
        <f>EXP(-LN(2)/2)*AW57+(1-EXP(-LN(2)/2))/(LN(2)/2)*AQ58*AT58*VLOOKUP('Données projet'!$B$10,Paramètres!$A$1:$I$89,3,0)*0.475*44/12</f>
        <v>6.4835668883356377</v>
      </c>
      <c r="AX58" s="21">
        <f t="shared" si="6"/>
        <v>84.647915517427521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</v>
      </c>
      <c r="BE58" s="13">
        <f>BD58*VLOOKUP('Données projet'!$B$11,Paramètres!$A$1:$I$89,3,0)*VLOOKUP('Données projet'!$B$11,Paramètres!$A$1:$I$89,5,0)</f>
        <v>199.75800000000004</v>
      </c>
      <c r="BF58" s="13">
        <f t="shared" si="37"/>
        <v>49.690979702964015</v>
      </c>
      <c r="BG58" s="20">
        <f t="shared" si="7"/>
        <v>434.45697298266236</v>
      </c>
      <c r="BH58" s="59">
        <f t="shared" si="8"/>
        <v>727.79030631599562</v>
      </c>
      <c r="BI58" s="59">
        <f ca="1">AVERAGE(OFFSET($BH$3,0,0,'Données projet'!$E$11+1,1))-AVERAGE(OFFSET($H$3,0,0,'Données projet'!$E$11+1,1))</f>
        <v>413.81510455446738</v>
      </c>
      <c r="BJ58" s="59">
        <f t="shared" si="38"/>
        <v>254.25036207346602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8.9518644168548498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8.9518644168548498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135</v>
      </c>
      <c r="BW58" s="12">
        <f>VLOOKUP(A58,'Données projet'!$A$113:$I$133,9,0)</f>
        <v>5.6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134.99999999999994</v>
      </c>
      <c r="BZ58" s="13">
        <f>BY58*VLOOKUP('Données projet'!$B$12,Paramètres!$A$1:$I$89,3,0)*VLOOKUP('Données projet'!$B$12,Paramètres!$A$1:$I$89,5,0)</f>
        <v>128.46599999999995</v>
      </c>
      <c r="CA58" s="13">
        <f t="shared" si="39"/>
        <v>33.64165246545825</v>
      </c>
      <c r="CB58" s="20">
        <f t="shared" si="10"/>
        <v>282.33749471067301</v>
      </c>
      <c r="CC58" s="59">
        <f t="shared" si="11"/>
        <v>575.67082804400638</v>
      </c>
      <c r="CD58" s="59">
        <f ca="1">AVERAGE(OFFSET($CC$3,0,0,'Données projet'!$E$12+1,1))-AVERAGE(OFFSET($H$3,0,0,'Données projet'!$E$12+1,1))</f>
        <v>292.61712942007972</v>
      </c>
      <c r="CE58" s="59">
        <f t="shared" si="40"/>
        <v>152.23954167722536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14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135</v>
      </c>
      <c r="CR58" s="12">
        <f>VLOOKUP(A58,'Données projet'!$A$139:$I$159,9,0)</f>
        <v>5.6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134.99999999999994</v>
      </c>
      <c r="CU58" s="17">
        <f>CT58*VLOOKUP('Données projet'!$B$13,Paramètres!$A$1:$I$89,3,0)*VLOOKUP('Données projet'!$B$13,Paramètres!$A$1:$I$89,5,0)</f>
        <v>130.57199999999995</v>
      </c>
      <c r="CV58" s="13">
        <f t="shared" si="41"/>
        <v>34.12849794659828</v>
      </c>
      <c r="CW58" s="20">
        <f t="shared" si="13"/>
        <v>286.85336725699193</v>
      </c>
      <c r="CX58" s="59">
        <f t="shared" si="14"/>
        <v>580.18670059032524</v>
      </c>
      <c r="CY58" s="59">
        <f ca="1">AVERAGE(OFFSET($CX$3,0,0,'Données projet'!$E$13+1,1))-AVERAGE(OFFSET($H$3,0,0,'Données projet'!$E$13+1,1))</f>
        <v>296.78766823247003</v>
      </c>
      <c r="CZ58" s="59">
        <f t="shared" si="42"/>
        <v>154.08406475869634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14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</v>
      </c>
      <c r="N59" s="13">
        <f>IF('Données projet'!$A$36&gt;35,N58+M59-V58,IF(A59&lt;'Données projet'!$A$36,$K$205^A59,IF(A59='Données projet'!$A$36,'Données projet'!$B$36,N58+M59-V58)))</f>
        <v>418</v>
      </c>
      <c r="O59" s="13">
        <f>N59*VLOOKUP('Données projet'!$B$9,Paramètres!$A$1:$I$89,3,0)*VLOOKUP('Données projet'!$B$9,Paramètres!$A$1:$I$89,5,0)</f>
        <v>195.624</v>
      </c>
      <c r="P59" s="13">
        <f t="shared" si="33"/>
        <v>48.781220625276006</v>
      </c>
      <c r="Q59" s="20">
        <f t="shared" si="53"/>
        <v>425.67242592235567</v>
      </c>
      <c r="R59" s="59">
        <f t="shared" si="0"/>
        <v>719.00575925568899</v>
      </c>
      <c r="S59" s="59">
        <f ca="1">AVERAGE(OFFSET($R$3,0,0,'Données projet'!$E$9+1,1))-AVERAGE(OFFSET($H$3,0,0,'Données projet'!$E$9+1,1))</f>
        <v>229.61973863654862</v>
      </c>
      <c r="T59" s="59">
        <f t="shared" si="34"/>
        <v>254.08208375594052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11.835339653911904</v>
      </c>
      <c r="AA59" s="21">
        <f>EXP(-LN(2)/25)*AA58+(1-EXP(-LN(2)/25))/(LN(2)/25)*Calculateur!V59*Calculateur!X59*VLOOKUP('Données projet'!$B$9,Paramètres!$A$1:$I$89,3,0)*0.475*44/12</f>
        <v>16.591114960271486</v>
      </c>
      <c r="AB59" s="21">
        <f>EXP(-LN(2)/2)*AB58+(1-EXP(-LN(2)/2))/(LN(2)/2)*V59*Y59*VLOOKUP('Données projet'!$B$9,Paramètres!$A$1:$I$89,3,0)*0.475*44/12</f>
        <v>0.89431305751672285</v>
      </c>
      <c r="AC59" s="22">
        <f t="shared" si="3"/>
        <v>29.320767671700114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15.6</v>
      </c>
      <c r="AI59" s="13">
        <f>IF('Données projet'!$A$62&gt;35,AI58+AH59-AQ58,IF(A59&lt;'Données projet'!$A$62,$AF$205^A59,IF(A59='Données projet'!$A$62,'Données projet'!$B$62,AI58+AH59-AQ58)))</f>
        <v>465.60000000000019</v>
      </c>
      <c r="AJ59" s="13">
        <f>AI59*VLOOKUP('Données projet'!$B$10,Paramètres!$A$1:$I$89,3,0)*VLOOKUP('Données projet'!$B$10,Paramètres!$A$1:$I$89,5,0)</f>
        <v>278.42880000000014</v>
      </c>
      <c r="AK59" s="13">
        <f t="shared" si="35"/>
        <v>66.634860488094731</v>
      </c>
      <c r="AL59" s="20">
        <f t="shared" si="4"/>
        <v>600.98587535009858</v>
      </c>
      <c r="AM59" s="59">
        <f t="shared" si="5"/>
        <v>894.31920868343195</v>
      </c>
      <c r="AN59" s="59">
        <f ca="1">AVERAGE(OFFSET($AM$3,0,0,'Données projet'!$E$10+1,1))-AVERAGE(OFFSET($H$3,0,0,'Données projet'!$E$10+1,1))</f>
        <v>348.76139845974495</v>
      </c>
      <c r="AO59" s="59">
        <f t="shared" si="36"/>
        <v>398.5142967182872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48.557722570490547</v>
      </c>
      <c r="AV59" s="21">
        <f>EXP(-LN(2)/25)*AV58+(1-EXP(-LN(2)/25))/(LN(2)/25)*Calculateur!AQ59*Calculateur!AS59*VLOOKUP('Données projet'!$B$10,Paramètres!$A$1:$I$89,3,0)*0.475*44/12</f>
        <v>27.852357117401947</v>
      </c>
      <c r="AW59" s="21">
        <f>EXP(-LN(2)/2)*AW58+(1-EXP(-LN(2)/2))/(LN(2)/2)*AQ59*AT59*VLOOKUP('Données projet'!$B$10,Paramètres!$A$1:$I$89,3,0)*0.475*44/12</f>
        <v>4.584574113018693</v>
      </c>
      <c r="AX59" s="21">
        <f t="shared" si="6"/>
        <v>80.99465380091118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</v>
      </c>
      <c r="BE59" s="13">
        <f>BD59*VLOOKUP('Données projet'!$B$11,Paramètres!$A$1:$I$89,3,0)*VLOOKUP('Données projet'!$B$11,Paramètres!$A$1:$I$89,5,0)</f>
        <v>186.1704</v>
      </c>
      <c r="BF59" s="13">
        <f t="shared" si="37"/>
        <v>46.692281933796018</v>
      </c>
      <c r="BG59" s="20">
        <f t="shared" si="7"/>
        <v>405.56917103469476</v>
      </c>
      <c r="BH59" s="59">
        <f t="shared" si="8"/>
        <v>698.90250436802808</v>
      </c>
      <c r="BI59" s="59">
        <f ca="1">AVERAGE(OFFSET($BH$3,0,0,'Données projet'!$E$11+1,1))-AVERAGE(OFFSET($H$3,0,0,'Données projet'!$E$11+1,1))</f>
        <v>413.81510455446738</v>
      </c>
      <c r="BJ59" s="59">
        <f t="shared" si="38"/>
        <v>254.25036207346602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8.7763238157384809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8.7763238157384809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5.4</v>
      </c>
      <c r="BY59" s="12">
        <f>IF('Données projet'!$A$114&gt;35,BY58+BX59-CG58,IF(A59&lt;'Données projet'!$A$114,$BV$205^A59,IF(A59='Données projet'!$A$114,'Données projet'!$B$114,BY58+BX59-CG58)))</f>
        <v>126.39999999999995</v>
      </c>
      <c r="BZ59" s="13">
        <f>BY59*VLOOKUP('Données projet'!$B$12,Paramètres!$A$1:$I$89,3,0)*VLOOKUP('Données projet'!$B$12,Paramètres!$A$1:$I$89,5,0)</f>
        <v>120.28223999999996</v>
      </c>
      <c r="CA59" s="13">
        <f t="shared" si="39"/>
        <v>31.74081813615641</v>
      </c>
      <c r="CB59" s="20">
        <f t="shared" si="10"/>
        <v>264.77349292047239</v>
      </c>
      <c r="CC59" s="59">
        <f t="shared" si="11"/>
        <v>558.10682625380571</v>
      </c>
      <c r="CD59" s="59">
        <f ca="1">AVERAGE(OFFSET($CC$3,0,0,'Données projet'!$E$12+1,1))-AVERAGE(OFFSET($H$3,0,0,'Données projet'!$E$12+1,1))</f>
        <v>292.61712942007972</v>
      </c>
      <c r="CE59" s="59">
        <f t="shared" si="40"/>
        <v>152.23954167722536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5.4</v>
      </c>
      <c r="CT59" s="12">
        <f>IF('Données projet'!$A$140&gt;35,CT58+CS59-DB58,IF(A59&lt;'Données projet'!$A$140,$CQ$205^A59,IF(A59='Données projet'!$A$140,'Données projet'!$B$140,CT58+CS59-DB58)))</f>
        <v>126.39999999999995</v>
      </c>
      <c r="CU59" s="17">
        <f>CT59*VLOOKUP('Données projet'!$B$13,Paramètres!$A$1:$I$89,3,0)*VLOOKUP('Données projet'!$B$13,Paramètres!$A$1:$I$89,5,0)</f>
        <v>122.25407999999995</v>
      </c>
      <c r="CV59" s="13">
        <f t="shared" si="41"/>
        <v>32.20015567592624</v>
      </c>
      <c r="CW59" s="20">
        <f t="shared" si="13"/>
        <v>269.0077938022381</v>
      </c>
      <c r="CX59" s="59">
        <f t="shared" si="14"/>
        <v>562.34112713557147</v>
      </c>
      <c r="CY59" s="59">
        <f ca="1">AVERAGE(OFFSET($CX$3,0,0,'Données projet'!$E$13+1,1))-AVERAGE(OFFSET($H$3,0,0,'Données projet'!$E$13+1,1))</f>
        <v>296.78766823247003</v>
      </c>
      <c r="CZ59" s="59">
        <f t="shared" si="42"/>
        <v>154.08406475869634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</v>
      </c>
      <c r="N60" s="13">
        <f>IF('Données projet'!$A$36&gt;35,N59+M60-V59,IF(A60&lt;'Données projet'!$A$36,$K$205^A60,IF(A60='Données projet'!$A$36,'Données projet'!$B$36,N59+M60-V59)))</f>
        <v>431</v>
      </c>
      <c r="O60" s="13">
        <f>N60*VLOOKUP('Données projet'!$B$9,Paramètres!$A$1:$I$89,3,0)*VLOOKUP('Données projet'!$B$9,Paramètres!$A$1:$I$89,5,0)</f>
        <v>201.708</v>
      </c>
      <c r="P60" s="13">
        <f t="shared" si="33"/>
        <v>50.119348451854286</v>
      </c>
      <c r="Q60" s="20">
        <f t="shared" si="53"/>
        <v>438.59929855364618</v>
      </c>
      <c r="R60" s="59">
        <f t="shared" si="0"/>
        <v>731.93263188697949</v>
      </c>
      <c r="S60" s="59">
        <f ca="1">AVERAGE(OFFSET($R$3,0,0,'Données projet'!$E$9+1,1))-AVERAGE(OFFSET($H$3,0,0,'Données projet'!$E$9+1,1))</f>
        <v>229.61973863654862</v>
      </c>
      <c r="T60" s="59">
        <f t="shared" si="34"/>
        <v>254.08208375594052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11.603255862143078</v>
      </c>
      <c r="AA60" s="21">
        <f>EXP(-LN(2)/25)*AA59+(1-EXP(-LN(2)/25))/(LN(2)/25)*Calculateur!V60*Calculateur!X60*VLOOKUP('Données projet'!$B$9,Paramètres!$A$1:$I$89,3,0)*0.475*44/12</f>
        <v>16.137430049194048</v>
      </c>
      <c r="AB60" s="21">
        <f>EXP(-LN(2)/2)*AB59+(1-EXP(-LN(2)/2))/(LN(2)/2)*V60*Y60*VLOOKUP('Données projet'!$B$9,Paramètres!$A$1:$I$89,3,0)*0.475*44/12</f>
        <v>0.63237482747374973</v>
      </c>
      <c r="AC60" s="22">
        <f t="shared" si="3"/>
        <v>28.373060738810874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15.6</v>
      </c>
      <c r="AI60" s="13">
        <f>IF('Données projet'!$A$62&gt;35,AI59+AH60-AQ59,IF(A60&lt;'Données projet'!$A$62,$AF$205^A60,IF(A60='Données projet'!$A$62,'Données projet'!$B$62,AI59+AH60-AQ59)))</f>
        <v>481.20000000000022</v>
      </c>
      <c r="AJ60" s="13">
        <f>AI60*VLOOKUP('Données projet'!$B$10,Paramètres!$A$1:$I$89,3,0)*VLOOKUP('Données projet'!$B$10,Paramètres!$A$1:$I$89,5,0)</f>
        <v>287.75760000000014</v>
      </c>
      <c r="AK60" s="13">
        <f t="shared" si="35"/>
        <v>68.603796134155942</v>
      </c>
      <c r="AL60" s="20">
        <f t="shared" si="4"/>
        <v>620.66276493365513</v>
      </c>
      <c r="AM60" s="59">
        <f t="shared" si="5"/>
        <v>913.99609826698838</v>
      </c>
      <c r="AN60" s="59">
        <f ca="1">AVERAGE(OFFSET($AM$3,0,0,'Données projet'!$E$10+1,1))-AVERAGE(OFFSET($H$3,0,0,'Données projet'!$E$10+1,1))</f>
        <v>348.76139845974495</v>
      </c>
      <c r="AO60" s="59">
        <f t="shared" si="36"/>
        <v>398.5142967182872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47.605535248169531</v>
      </c>
      <c r="AV60" s="21">
        <f>EXP(-LN(2)/25)*AV59+(1-EXP(-LN(2)/25))/(LN(2)/25)*Calculateur!AQ60*Calculateur!AS60*VLOOKUP('Données projet'!$B$10,Paramètres!$A$1:$I$89,3,0)*0.475*44/12</f>
        <v>27.090732947334789</v>
      </c>
      <c r="AW60" s="21">
        <f>EXP(-LN(2)/2)*AW59+(1-EXP(-LN(2)/2))/(LN(2)/2)*AQ60*AT60*VLOOKUP('Données projet'!$B$10,Paramètres!$A$1:$I$89,3,0)*0.475*44/12</f>
        <v>3.2417834441678193</v>
      </c>
      <c r="AX60" s="21">
        <f t="shared" si="6"/>
        <v>77.938051639672139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</v>
      </c>
      <c r="BE60" s="13">
        <f>BD60*VLOOKUP('Données projet'!$B$11,Paramètres!$A$1:$I$89,3,0)*VLOOKUP('Données projet'!$B$11,Paramètres!$A$1:$I$89,5,0)</f>
        <v>193.8768</v>
      </c>
      <c r="BF60" s="13">
        <f t="shared" si="37"/>
        <v>48.396048099527611</v>
      </c>
      <c r="BG60" s="20">
        <f t="shared" si="7"/>
        <v>421.95854377334393</v>
      </c>
      <c r="BH60" s="59">
        <f t="shared" si="8"/>
        <v>715.29187710667725</v>
      </c>
      <c r="BI60" s="59">
        <f ca="1">AVERAGE(OFFSET($BH$3,0,0,'Données projet'!$E$11+1,1))-AVERAGE(OFFSET($H$3,0,0,'Données projet'!$E$11+1,1))</f>
        <v>413.81510455446738</v>
      </c>
      <c r="BJ60" s="59">
        <f t="shared" si="38"/>
        <v>254.25036207346602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8.6042254587408085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8.6042254587408085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5.4</v>
      </c>
      <c r="BY60" s="12">
        <f>IF('Données projet'!$A$114&gt;35,BY59+BX60-CG59,IF(A60&lt;'Données projet'!$A$114,$BV$205^A60,IF(A60='Données projet'!$A$114,'Données projet'!$B$114,BY59+BX60-CG59)))</f>
        <v>131.79999999999995</v>
      </c>
      <c r="BZ60" s="13">
        <f>BY60*VLOOKUP('Données projet'!$B$12,Paramètres!$A$1:$I$89,3,0)*VLOOKUP('Données projet'!$B$12,Paramètres!$A$1:$I$89,5,0)</f>
        <v>125.42087999999995</v>
      </c>
      <c r="CA60" s="13">
        <f t="shared" si="39"/>
        <v>32.936061027273531</v>
      </c>
      <c r="CB60" s="20">
        <f t="shared" si="10"/>
        <v>275.80500562250131</v>
      </c>
      <c r="CC60" s="59">
        <f t="shared" si="11"/>
        <v>569.13833895583457</v>
      </c>
      <c r="CD60" s="59">
        <f ca="1">AVERAGE(OFFSET($CC$3,0,0,'Données projet'!$E$12+1,1))-AVERAGE(OFFSET($H$3,0,0,'Données projet'!$E$12+1,1))</f>
        <v>292.61712942007972</v>
      </c>
      <c r="CE60" s="59">
        <f t="shared" si="40"/>
        <v>152.23954167722536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5.4</v>
      </c>
      <c r="CT60" s="12">
        <f>IF('Données projet'!$A$140&gt;35,CT59+CS60-DB59,IF(A60&lt;'Données projet'!$A$140,$CQ$205^A60,IF(A60='Données projet'!$A$140,'Données projet'!$B$140,CT59+CS60-DB59)))</f>
        <v>131.79999999999995</v>
      </c>
      <c r="CU60" s="17">
        <f>CT60*VLOOKUP('Données projet'!$B$13,Paramètres!$A$1:$I$89,3,0)*VLOOKUP('Données projet'!$B$13,Paramètres!$A$1:$I$89,5,0)</f>
        <v>127.47695999999995</v>
      </c>
      <c r="CV60" s="13">
        <f t="shared" si="41"/>
        <v>33.412695535466739</v>
      </c>
      <c r="CW60" s="20">
        <f t="shared" si="13"/>
        <v>280.21615005760447</v>
      </c>
      <c r="CX60" s="59">
        <f t="shared" si="14"/>
        <v>573.54948339093778</v>
      </c>
      <c r="CY60" s="59">
        <f ca="1">AVERAGE(OFFSET($CX$3,0,0,'Données projet'!$E$13+1,1))-AVERAGE(OFFSET($H$3,0,0,'Données projet'!$E$13+1,1))</f>
        <v>296.78766823247003</v>
      </c>
      <c r="CZ60" s="59">
        <f t="shared" si="42"/>
        <v>154.08406475869634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</v>
      </c>
      <c r="N61" s="13">
        <f>IF('Données projet'!$A$36&gt;35,N60+M61-V60,IF(A61&lt;'Données projet'!$A$36,$K$205^A61,IF(A61='Données projet'!$A$36,'Données projet'!$B$36,N60+M61-V60)))</f>
        <v>444</v>
      </c>
      <c r="O61" s="13">
        <f>N61*VLOOKUP('Données projet'!$B$9,Paramètres!$A$1:$I$89,3,0)*VLOOKUP('Données projet'!$B$9,Paramètres!$A$1:$I$89,5,0)</f>
        <v>207.792</v>
      </c>
      <c r="P61" s="13">
        <f t="shared" si="33"/>
        <v>51.452785725007864</v>
      </c>
      <c r="Q61" s="20">
        <f t="shared" si="53"/>
        <v>451.51800180438869</v>
      </c>
      <c r="R61" s="59">
        <f t="shared" si="0"/>
        <v>744.851335137722</v>
      </c>
      <c r="S61" s="59">
        <f ca="1">AVERAGE(OFFSET($R$3,0,0,'Données projet'!$E$9+1,1))-AVERAGE(OFFSET($H$3,0,0,'Données projet'!$E$9+1,1))</f>
        <v>229.61973863654862</v>
      </c>
      <c r="T61" s="59">
        <f t="shared" si="34"/>
        <v>254.08208375594052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11.375723091973704</v>
      </c>
      <c r="AA61" s="21">
        <f>EXP(-LN(2)/25)*AA60+(1-EXP(-LN(2)/25))/(LN(2)/25)*Calculateur!V61*Calculateur!X61*VLOOKUP('Données projet'!$B$9,Paramètres!$A$1:$I$89,3,0)*0.475*44/12</f>
        <v>15.696151175868273</v>
      </c>
      <c r="AB61" s="21">
        <f>EXP(-LN(2)/2)*AB60+(1-EXP(-LN(2)/2))/(LN(2)/2)*V61*Y61*VLOOKUP('Données projet'!$B$9,Paramètres!$A$1:$I$89,3,0)*0.475*44/12</f>
        <v>0.44715652875836154</v>
      </c>
      <c r="AC61" s="22">
        <f t="shared" si="3"/>
        <v>27.51903079660034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15.6</v>
      </c>
      <c r="AI61" s="13">
        <f>IF('Données projet'!$A$62&gt;35,AI60+AH61-AQ60,IF(A61&lt;'Données projet'!$A$62,$AF$205^A61,IF(A61='Données projet'!$A$62,'Données projet'!$B$62,AI60+AH61-AQ60)))</f>
        <v>496.80000000000024</v>
      </c>
      <c r="AJ61" s="13">
        <f>AI61*VLOOKUP('Données projet'!$B$10,Paramètres!$A$1:$I$89,3,0)*VLOOKUP('Données projet'!$B$10,Paramètres!$A$1:$I$89,5,0)</f>
        <v>297.0864000000002</v>
      </c>
      <c r="AK61" s="13">
        <f t="shared" si="35"/>
        <v>70.565314499829654</v>
      </c>
      <c r="AL61" s="20">
        <f t="shared" si="4"/>
        <v>640.32673608720359</v>
      </c>
      <c r="AM61" s="59">
        <f t="shared" si="5"/>
        <v>933.66006942053696</v>
      </c>
      <c r="AN61" s="59">
        <f ca="1">AVERAGE(OFFSET($AM$3,0,0,'Données projet'!$E$10+1,1))-AVERAGE(OFFSET($H$3,0,0,'Données projet'!$E$10+1,1))</f>
        <v>348.76139845974495</v>
      </c>
      <c r="AO61" s="59">
        <f t="shared" si="36"/>
        <v>398.5142967182872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46.672019738462311</v>
      </c>
      <c r="AV61" s="21">
        <f>EXP(-LN(2)/25)*AV60+(1-EXP(-LN(2)/25))/(LN(2)/25)*Calculateur!AQ61*Calculateur!AS61*VLOOKUP('Données projet'!$B$10,Paramètres!$A$1:$I$89,3,0)*0.475*44/12</f>
        <v>26.349935430250191</v>
      </c>
      <c r="AW61" s="21">
        <f>EXP(-LN(2)/2)*AW60+(1-EXP(-LN(2)/2))/(LN(2)/2)*AQ61*AT61*VLOOKUP('Données projet'!$B$10,Paramètres!$A$1:$I$89,3,0)*0.475*44/12</f>
        <v>2.2922870565093469</v>
      </c>
      <c r="AX61" s="21">
        <f t="shared" si="6"/>
        <v>75.314242225221861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198.79999999999998</v>
      </c>
      <c r="BE61" s="13">
        <f>BD61*VLOOKUP('Données projet'!$B$11,Paramètres!$A$1:$I$89,3,0)*VLOOKUP('Données projet'!$B$11,Paramètres!$A$1:$I$89,5,0)</f>
        <v>201.58320000000001</v>
      </c>
      <c r="BF61" s="13">
        <f t="shared" si="37"/>
        <v>50.091947337331924</v>
      </c>
      <c r="BG61" s="20">
        <f t="shared" si="7"/>
        <v>438.33421494585309</v>
      </c>
      <c r="BH61" s="59">
        <f t="shared" si="8"/>
        <v>731.66754827918635</v>
      </c>
      <c r="BI61" s="59">
        <f ca="1">AVERAGE(OFFSET($BH$3,0,0,'Données projet'!$E$11+1,1))-AVERAGE(OFFSET($H$3,0,0,'Données projet'!$E$11+1,1))</f>
        <v>413.81510455446738</v>
      </c>
      <c r="BJ61" s="59">
        <f t="shared" si="38"/>
        <v>254.25036207346602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8.4355018455542279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8.4355018455542279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5.4</v>
      </c>
      <c r="BY61" s="12">
        <f>IF('Données projet'!$A$114&gt;35,BY60+BX61-CG60,IF(A61&lt;'Données projet'!$A$114,$BV$205^A61,IF(A61='Données projet'!$A$114,'Données projet'!$B$114,BY60+BX61-CG60)))</f>
        <v>137.19999999999996</v>
      </c>
      <c r="BZ61" s="13">
        <f>BY61*VLOOKUP('Données projet'!$B$12,Paramètres!$A$1:$I$89,3,0)*VLOOKUP('Données projet'!$B$12,Paramètres!$A$1:$I$89,5,0)</f>
        <v>130.55951999999996</v>
      </c>
      <c r="CA61" s="13">
        <f t="shared" si="39"/>
        <v>34.125615642317207</v>
      </c>
      <c r="CB61" s="20">
        <f t="shared" si="10"/>
        <v>286.82661124370242</v>
      </c>
      <c r="CC61" s="59">
        <f t="shared" si="11"/>
        <v>580.15994457703573</v>
      </c>
      <c r="CD61" s="59">
        <f ca="1">AVERAGE(OFFSET($CC$3,0,0,'Données projet'!$E$12+1,1))-AVERAGE(OFFSET($H$3,0,0,'Données projet'!$E$12+1,1))</f>
        <v>292.61712942007972</v>
      </c>
      <c r="CE61" s="59">
        <f t="shared" si="40"/>
        <v>152.23954167722536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5.4</v>
      </c>
      <c r="CT61" s="12">
        <f>IF('Données projet'!$A$140&gt;35,CT60+CS61-DB60,IF(A61&lt;'Données projet'!$A$140,$CQ$205^A61,IF(A61='Données projet'!$A$140,'Données projet'!$B$140,CT60+CS61-DB60)))</f>
        <v>137.19999999999996</v>
      </c>
      <c r="CU61" s="17">
        <f>CT61*VLOOKUP('Données projet'!$B$13,Paramètres!$A$1:$I$89,3,0)*VLOOKUP('Données projet'!$B$13,Paramètres!$A$1:$I$89,5,0)</f>
        <v>132.69983999999997</v>
      </c>
      <c r="CV61" s="13">
        <f t="shared" si="41"/>
        <v>34.619464800994599</v>
      </c>
      <c r="CW61" s="20">
        <f t="shared" si="13"/>
        <v>291.41445586173216</v>
      </c>
      <c r="CX61" s="59">
        <f t="shared" si="14"/>
        <v>584.74778919506548</v>
      </c>
      <c r="CY61" s="59">
        <f ca="1">AVERAGE(OFFSET($CX$3,0,0,'Données projet'!$E$13+1,1))-AVERAGE(OFFSET($H$3,0,0,'Données projet'!$E$13+1,1))</f>
        <v>296.78766823247003</v>
      </c>
      <c r="CZ61" s="59">
        <f t="shared" si="42"/>
        <v>154.08406475869634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</v>
      </c>
      <c r="N62" s="13">
        <f>IF('Données projet'!$A$36&gt;35,N61+M62-V61,IF(A62&lt;'Données projet'!$A$36,$K$205^A62,IF(A62='Données projet'!$A$36,'Données projet'!$B$36,N61+M62-V61)))</f>
        <v>457</v>
      </c>
      <c r="O62" s="13">
        <f>N62*VLOOKUP('Données projet'!$B$9,Paramètres!$A$1:$I$89,3,0)*VLOOKUP('Données projet'!$B$9,Paramètres!$A$1:$I$89,5,0)</f>
        <v>213.87599999999998</v>
      </c>
      <c r="P62" s="13">
        <f t="shared" si="33"/>
        <v>52.781685550046873</v>
      </c>
      <c r="Q62" s="20">
        <f t="shared" si="53"/>
        <v>464.4288023329982</v>
      </c>
      <c r="R62" s="59">
        <f t="shared" si="0"/>
        <v>757.76213566633146</v>
      </c>
      <c r="S62" s="59">
        <f ca="1">AVERAGE(OFFSET($R$3,0,0,'Données projet'!$E$9+1,1))-AVERAGE(OFFSET($H$3,0,0,'Données projet'!$E$9+1,1))</f>
        <v>229.61973863654862</v>
      </c>
      <c r="T62" s="59">
        <f t="shared" si="34"/>
        <v>254.08208375594052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11.152652100646065</v>
      </c>
      <c r="AA62" s="21">
        <f>EXP(-LN(2)/25)*AA61+(1-EXP(-LN(2)/25))/(LN(2)/25)*Calculateur!V62*Calculateur!X62*VLOOKUP('Données projet'!$B$9,Paramètres!$A$1:$I$89,3,0)*0.475*44/12</f>
        <v>15.266939096539438</v>
      </c>
      <c r="AB62" s="21">
        <f>EXP(-LN(2)/2)*AB61+(1-EXP(-LN(2)/2))/(LN(2)/2)*V62*Y62*VLOOKUP('Données projet'!$B$9,Paramètres!$A$1:$I$89,3,0)*0.475*44/12</f>
        <v>0.31618741373687492</v>
      </c>
      <c r="AC62" s="22">
        <f t="shared" si="3"/>
        <v>26.735778610922377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15.6</v>
      </c>
      <c r="AI62" s="13">
        <f>IF('Données projet'!$A$62&gt;35,AI61+AH62-AQ61,IF(A62&lt;'Données projet'!$A$62,$AF$205^A62,IF(A62='Données projet'!$A$62,'Données projet'!$B$62,AI61+AH62-AQ61)))</f>
        <v>512.4000000000002</v>
      </c>
      <c r="AJ62" s="13">
        <f>AI62*VLOOKUP('Données projet'!$B$10,Paramètres!$A$1:$I$89,3,0)*VLOOKUP('Données projet'!$B$10,Paramètres!$A$1:$I$89,5,0)</f>
        <v>306.41520000000014</v>
      </c>
      <c r="AK62" s="13">
        <f t="shared" si="35"/>
        <v>72.519675217547672</v>
      </c>
      <c r="AL62" s="20">
        <f t="shared" si="4"/>
        <v>659.97824100389573</v>
      </c>
      <c r="AM62" s="59">
        <f t="shared" si="5"/>
        <v>953.3115743372291</v>
      </c>
      <c r="AN62" s="59">
        <f ca="1">AVERAGE(OFFSET($AM$3,0,0,'Données projet'!$E$10+1,1))-AVERAGE(OFFSET($H$3,0,0,'Données projet'!$E$10+1,1))</f>
        <v>348.76139845974495</v>
      </c>
      <c r="AO62" s="59">
        <f t="shared" si="36"/>
        <v>398.5142967182872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45.756809898512209</v>
      </c>
      <c r="AV62" s="21">
        <f>EXP(-LN(2)/25)*AV61+(1-EXP(-LN(2)/25))/(LN(2)/25)*Calculateur!AQ62*Calculateur!AS62*VLOOKUP('Données projet'!$B$10,Paramètres!$A$1:$I$89,3,0)*0.475*44/12</f>
        <v>25.629395060227118</v>
      </c>
      <c r="AW62" s="21">
        <f>EXP(-LN(2)/2)*AW61+(1-EXP(-LN(2)/2))/(LN(2)/2)*AQ62*AT62*VLOOKUP('Données projet'!$B$10,Paramètres!$A$1:$I$89,3,0)*0.475*44/12</f>
        <v>1.6208917220839101</v>
      </c>
      <c r="AX62" s="21">
        <f t="shared" si="6"/>
        <v>73.007096680823238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206.39999999999998</v>
      </c>
      <c r="BE62" s="13">
        <f>BD62*VLOOKUP('Données projet'!$B$11,Paramètres!$A$1:$I$89,3,0)*VLOOKUP('Données projet'!$B$11,Paramètres!$A$1:$I$89,5,0)</f>
        <v>209.28960000000001</v>
      </c>
      <c r="BF62" s="13">
        <f t="shared" si="37"/>
        <v>51.780314822292169</v>
      </c>
      <c r="BG62" s="20">
        <f t="shared" si="7"/>
        <v>454.69676831549214</v>
      </c>
      <c r="BH62" s="59">
        <f t="shared" si="8"/>
        <v>748.03010164882539</v>
      </c>
      <c r="BI62" s="59">
        <f ca="1">AVERAGE(OFFSET($BH$3,0,0,'Données projet'!$E$11+1,1))-AVERAGE(OFFSET($H$3,0,0,'Données projet'!$E$11+1,1))</f>
        <v>413.81510455446738</v>
      </c>
      <c r="BJ62" s="59">
        <f t="shared" si="38"/>
        <v>254.25036207346602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8.2700867995109935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8.2700867995109935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5.4</v>
      </c>
      <c r="BY62" s="12">
        <f>IF('Données projet'!$A$114&gt;35,BY61+BX62-CG61,IF(A62&lt;'Données projet'!$A$114,$BV$205^A62,IF(A62='Données projet'!$A$114,'Données projet'!$B$114,BY61+BX62-CG61)))</f>
        <v>142.59999999999997</v>
      </c>
      <c r="BZ62" s="13">
        <f>BY62*VLOOKUP('Données projet'!$B$12,Paramètres!$A$1:$I$89,3,0)*VLOOKUP('Données projet'!$B$12,Paramètres!$A$1:$I$89,5,0)</f>
        <v>135.69815999999997</v>
      </c>
      <c r="CA62" s="13">
        <f t="shared" si="39"/>
        <v>35.309731483374598</v>
      </c>
      <c r="CB62" s="20">
        <f t="shared" si="10"/>
        <v>297.83874433354407</v>
      </c>
      <c r="CC62" s="59">
        <f t="shared" si="11"/>
        <v>591.17207766687739</v>
      </c>
      <c r="CD62" s="59">
        <f ca="1">AVERAGE(OFFSET($CC$3,0,0,'Données projet'!$E$12+1,1))-AVERAGE(OFFSET($H$3,0,0,'Données projet'!$E$12+1,1))</f>
        <v>292.61712942007972</v>
      </c>
      <c r="CE62" s="59">
        <f t="shared" si="40"/>
        <v>152.23954167722536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5.4</v>
      </c>
      <c r="CT62" s="12">
        <f>IF('Données projet'!$A$140&gt;35,CT61+CS62-DB61,IF(A62&lt;'Données projet'!$A$140,$CQ$205^A62,IF(A62='Données projet'!$A$140,'Données projet'!$B$140,CT61+CS62-DB61)))</f>
        <v>142.59999999999997</v>
      </c>
      <c r="CU62" s="17">
        <f>CT62*VLOOKUP('Données projet'!$B$13,Paramètres!$A$1:$I$89,3,0)*VLOOKUP('Données projet'!$B$13,Paramètres!$A$1:$I$89,5,0)</f>
        <v>137.92271999999997</v>
      </c>
      <c r="CV62" s="13">
        <f t="shared" si="41"/>
        <v>35.82071658526872</v>
      </c>
      <c r="CW62" s="20">
        <f t="shared" si="13"/>
        <v>302.60315205267631</v>
      </c>
      <c r="CX62" s="59">
        <f t="shared" si="14"/>
        <v>595.93648538600962</v>
      </c>
      <c r="CY62" s="59">
        <f ca="1">AVERAGE(OFFSET($CX$3,0,0,'Données projet'!$E$13+1,1))-AVERAGE(OFFSET($H$3,0,0,'Données projet'!$E$13+1,1))</f>
        <v>296.78766823247003</v>
      </c>
      <c r="CZ62" s="59">
        <f t="shared" si="42"/>
        <v>154.08406475869634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470</v>
      </c>
      <c r="L63" s="12">
        <f>VLOOKUP(A63,'Données projet'!$A$35:$I$55,9,0)</f>
        <v>13</v>
      </c>
      <c r="M63" s="12">
        <f t="array" ref="M63">INDEX(L:L,MIN(IF(ISNUMBER(L63:L259),ROW(L63:L259),"")))</f>
        <v>13</v>
      </c>
      <c r="N63" s="13">
        <f>IF('Données projet'!$A$36&gt;35,N62+M63-V62,IF(A63&lt;'Données projet'!$A$36,$K$205^A63,IF(A63='Données projet'!$A$36,'Données projet'!$B$36,N62+M63-V62)))</f>
        <v>470</v>
      </c>
      <c r="O63" s="13">
        <f>N63*VLOOKUP('Données projet'!$B$9,Paramètres!$A$1:$I$89,3,0)*VLOOKUP('Données projet'!$B$9,Paramètres!$A$1:$I$89,5,0)</f>
        <v>219.95999999999998</v>
      </c>
      <c r="P63" s="13">
        <f t="shared" si="33"/>
        <v>54.106191826225746</v>
      </c>
      <c r="Q63" s="20">
        <f t="shared" si="53"/>
        <v>477.33195076400972</v>
      </c>
      <c r="R63" s="59">
        <f t="shared" si="0"/>
        <v>770.66528409734303</v>
      </c>
      <c r="S63" s="59">
        <f ca="1">AVERAGE(OFFSET($R$3,0,0,'Données projet'!$E$9+1,1))-AVERAGE(OFFSET($H$3,0,0,'Données projet'!$E$9+1,1))</f>
        <v>229.61973863654862</v>
      </c>
      <c r="T63" s="59">
        <f t="shared" si="34"/>
        <v>254.08208375594052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470</v>
      </c>
      <c r="W63" s="16">
        <f>IF(ISNA(VLOOKUP(A63,'Données projet'!$A$35:$I$55,5,0)),0%,VLOOKUP(A63,'Données projet'!$A$35:$I$55,5,0)*VLOOKUP('Données projet'!$B$9,Paramètres!$A$1:$I$89,7,0))</f>
        <v>0.27500000000000002</v>
      </c>
      <c r="X63" s="16">
        <f>IF(ISNA(VLOOKUP(A63,'Données projet'!$A$35:$I$55,6,0)),0%,VLOOKUP(A63,'Données projet'!$A$35:$I$55,6,0)*VLOOKUP('Données projet'!$B$9,Paramètres!$A$1:$I$89,7,0))</f>
        <v>0.15400000000000003</v>
      </c>
      <c r="Y63" s="16">
        <f>IF(ISNA(VLOOKUP(A63,'Données projet'!$A$35:$I$55,7,0)),0%,VLOOKUP(A63,'Données projet'!$A$35:$I$55,7,0))</f>
        <v>0.22</v>
      </c>
      <c r="Z63" s="21">
        <f>EXP(-LN(2)/35)*Z62+(1-EXP(-LN(2)/35))/(LN(2)/35)*V63*W63*VLOOKUP('Données projet'!$B$9,Paramètres!$A$1:$I$89,3,0)*0.475*44/12</f>
        <v>91.176512740480831</v>
      </c>
      <c r="AA63" s="21">
        <f>EXP(-LN(2)/25)*AA62+(1-EXP(-LN(2)/25))/(LN(2)/25)*Calculateur!V63*Calculateur!X63*VLOOKUP('Données projet'!$B$9,Paramètres!$A$1:$I$89,3,0)*0.475*44/12</f>
        <v>59.608366464413031</v>
      </c>
      <c r="AB63" s="21">
        <f>EXP(-LN(2)/2)*AB62+(1-EXP(-LN(2)/2))/(LN(2)/2)*V63*Y63*VLOOKUP('Données projet'!$B$9,Paramètres!$A$1:$I$89,3,0)*0.475*44/12</f>
        <v>55.013657820441892</v>
      </c>
      <c r="AC63" s="22">
        <f t="shared" si="3"/>
        <v>205.79853702533575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528</v>
      </c>
      <c r="AG63" s="12">
        <f>VLOOKUP(A63,'Données projet'!$A$61:$I$81,9,0)</f>
        <v>15.6</v>
      </c>
      <c r="AH63" s="12">
        <f t="array" ref="AH63">INDEX(AG:AG,MIN(IF(ISNUMBER(AG63:AG259),ROW(AG63:AG259),"")))</f>
        <v>15.6</v>
      </c>
      <c r="AI63" s="13">
        <f>IF('Données projet'!$A$62&gt;35,AI62+AH63-AQ62,IF(A63&lt;'Données projet'!$A$62,$AF$205^A63,IF(A63='Données projet'!$A$62,'Données projet'!$B$62,AI62+AH63-AQ62)))</f>
        <v>528.00000000000023</v>
      </c>
      <c r="AJ63" s="13">
        <f>AI63*VLOOKUP('Données projet'!$B$10,Paramètres!$A$1:$I$89,3,0)*VLOOKUP('Données projet'!$B$10,Paramètres!$A$1:$I$89,5,0)</f>
        <v>315.74400000000014</v>
      </c>
      <c r="AK63" s="13">
        <f t="shared" si="35"/>
        <v>74.467121212440205</v>
      </c>
      <c r="AL63" s="20">
        <f t="shared" si="4"/>
        <v>679.61770277833352</v>
      </c>
      <c r="AM63" s="59">
        <f t="shared" si="5"/>
        <v>972.95103611166678</v>
      </c>
      <c r="AN63" s="59">
        <f ca="1">AVERAGE(OFFSET($AM$3,0,0,'Données projet'!$E$10+1,1))-AVERAGE(OFFSET($H$3,0,0,'Données projet'!$E$10+1,1))</f>
        <v>348.76139845974495</v>
      </c>
      <c r="AO63" s="59">
        <f t="shared" si="36"/>
        <v>398.5142967182872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528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7.6500000000000012E-2</v>
      </c>
      <c r="AT63" s="16">
        <f>IF(ISNA(VLOOKUP(A63,'Données projet'!$A$61:$I$81,7,0)),0%,VLOOKUP(A63,'Données projet'!$A$61:$I$81,7,0))</f>
        <v>0.13</v>
      </c>
      <c r="AU63" s="21">
        <f>EXP(-LN(2)/35)*AU62+(1-EXP(-LN(2)/35))/(LN(2)/35)*AQ63*AR63*VLOOKUP('Données projet'!$B$10,Paramètres!$A$1:$I$89,3,0)*0.475*44/12</f>
        <v>176.79879850206586</v>
      </c>
      <c r="AV63" s="21">
        <f>EXP(-LN(2)/25)*AV62+(1-EXP(-LN(2)/25))/(LN(2)/25)*Calculateur!AQ63*Calculateur!AS63*VLOOKUP('Données projet'!$B$10,Paramètres!$A$1:$I$89,3,0)*0.475*44/12</f>
        <v>56.844784514627932</v>
      </c>
      <c r="AW63" s="21">
        <f>EXP(-LN(2)/2)*AW62+(1-EXP(-LN(2)/2))/(LN(2)/2)*AQ63*AT63*VLOOKUP('Données projet'!$B$10,Paramètres!$A$1:$I$89,3,0)*0.475*44/12</f>
        <v>47.620565619780209</v>
      </c>
      <c r="AX63" s="21">
        <f t="shared" si="6"/>
        <v>281.26414863647403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213.99999999999997</v>
      </c>
      <c r="BE63" s="13">
        <f>BD63*VLOOKUP('Données projet'!$B$11,Paramètres!$A$1:$I$89,3,0)*VLOOKUP('Données projet'!$B$11,Paramètres!$A$1:$I$89,5,0)</f>
        <v>216.99600000000001</v>
      </c>
      <c r="BF63" s="13">
        <f t="shared" si="37"/>
        <v>53.461459647386917</v>
      </c>
      <c r="BG63" s="20">
        <f t="shared" si="7"/>
        <v>471.04674221919896</v>
      </c>
      <c r="BH63" s="59">
        <f t="shared" si="8"/>
        <v>764.38007555253228</v>
      </c>
      <c r="BI63" s="59">
        <f ca="1">AVERAGE(OFFSET($BH$3,0,0,'Données projet'!$E$11+1,1))-AVERAGE(OFFSET($H$3,0,0,'Données projet'!$E$11+1,1))</f>
        <v>413.81510455446738</v>
      </c>
      <c r="BJ63" s="59">
        <f t="shared" si="38"/>
        <v>254.25036207346602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12.156775878652692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12.156775878652692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148</v>
      </c>
      <c r="BW63" s="12">
        <f>VLOOKUP(A63,'Données projet'!$A$113:$I$133,9,0)</f>
        <v>5.4</v>
      </c>
      <c r="BX63" s="12">
        <f t="array" ref="BX63">INDEX(BW:BW,MIN(IF(ISNUMBER(BW63:BW259),ROW(BW63:BW259),"")))</f>
        <v>5.4</v>
      </c>
      <c r="BY63" s="12">
        <f>IF('Données projet'!$A$114&gt;35,BY62+BX63-CG62,IF(A63&lt;'Données projet'!$A$114,$BV$205^A63,IF(A63='Données projet'!$A$114,'Données projet'!$B$114,BY62+BX63-CG62)))</f>
        <v>147.99999999999997</v>
      </c>
      <c r="BZ63" s="13">
        <f>BY63*VLOOKUP('Données projet'!$B$12,Paramètres!$A$1:$I$89,3,0)*VLOOKUP('Données projet'!$B$12,Paramètres!$A$1:$I$89,5,0)</f>
        <v>140.83679999999998</v>
      </c>
      <c r="CA63" s="13">
        <f t="shared" si="39"/>
        <v>36.48863808581752</v>
      </c>
      <c r="CB63" s="20">
        <f t="shared" si="10"/>
        <v>308.84180466613213</v>
      </c>
      <c r="CC63" s="59">
        <f t="shared" si="11"/>
        <v>602.17513799946551</v>
      </c>
      <c r="CD63" s="59">
        <f ca="1">AVERAGE(OFFSET($CC$3,0,0,'Données projet'!$E$12+1,1))-AVERAGE(OFFSET($H$3,0,0,'Données projet'!$E$12+1,1))</f>
        <v>292.61712942007972</v>
      </c>
      <c r="CE63" s="59">
        <f t="shared" si="40"/>
        <v>152.23954167722536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4.3000000000000003E-2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0.63328329912446046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0.63328329912446046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148</v>
      </c>
      <c r="CR63" s="12">
        <f>VLOOKUP(A63,'Données projet'!$A$139:$I$159,9,0)</f>
        <v>5.4</v>
      </c>
      <c r="CS63" s="12">
        <f t="array" ref="CS63">INDEX(CR:CR,MIN(IF(ISNUMBER(CR63:CR259),ROW(CR63:CR259),"")))</f>
        <v>5.4</v>
      </c>
      <c r="CT63" s="12">
        <f>IF('Données projet'!$A$140&gt;35,CT62+CS63-DB62,IF(A63&lt;'Données projet'!$A$140,$CQ$205^A63,IF(A63='Données projet'!$A$140,'Données projet'!$B$140,CT62+CS63-DB62)))</f>
        <v>147.99999999999997</v>
      </c>
      <c r="CU63" s="17">
        <f>CT63*VLOOKUP('Données projet'!$B$13,Paramètres!$A$1:$I$89,3,0)*VLOOKUP('Données projet'!$B$13,Paramètres!$A$1:$I$89,5,0)</f>
        <v>143.14559999999997</v>
      </c>
      <c r="CV63" s="13">
        <f t="shared" si="41"/>
        <v>37.01668374538415</v>
      </c>
      <c r="CW63" s="20">
        <f t="shared" si="13"/>
        <v>313.78264418987732</v>
      </c>
      <c r="CX63" s="59">
        <f t="shared" si="14"/>
        <v>607.11597752321063</v>
      </c>
      <c r="CY63" s="59">
        <f ca="1">AVERAGE(OFFSET($CX$3,0,0,'Données projet'!$E$13+1,1))-AVERAGE(OFFSET($H$3,0,0,'Données projet'!$E$13+1,1))</f>
        <v>296.78766823247003</v>
      </c>
      <c r="CZ63" s="59">
        <f t="shared" si="42"/>
        <v>154.08406475869634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229.61973863654862</v>
      </c>
      <c r="T64" s="59">
        <f t="shared" si="34"/>
        <v>254.08208375594052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89.388596937821532</v>
      </c>
      <c r="AA64" s="21">
        <f>EXP(-LN(2)/25)*AA63+(1-EXP(-LN(2)/25))/(LN(2)/25)*Calculateur!V64*Calculateur!X64*VLOOKUP('Données projet'!$B$9,Paramètres!$A$1:$I$89,3,0)*0.475*44/12</f>
        <v>57.978372548775901</v>
      </c>
      <c r="AB64" s="21">
        <f>EXP(-LN(2)/2)*AB63+(1-EXP(-LN(2)/2))/(LN(2)/2)*V64*Y64*VLOOKUP('Données projet'!$B$9,Paramètres!$A$1:$I$89,3,0)*0.475*44/12</f>
        <v>38.900530502710808</v>
      </c>
      <c r="AC64" s="22">
        <f t="shared" si="3"/>
        <v>186.26749998930825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2.2737367544323206E-13</v>
      </c>
      <c r="AJ64" s="13">
        <f>AI64*VLOOKUP('Données projet'!$B$10,Paramètres!$A$1:$I$89,3,0)*VLOOKUP('Données projet'!$B$10,Paramètres!$A$1:$I$89,5,0)</f>
        <v>1.3596945791505279E-13</v>
      </c>
      <c r="AK64" s="13">
        <f t="shared" si="35"/>
        <v>1.9708830566360721E-12</v>
      </c>
      <c r="AL64" s="20">
        <f t="shared" si="4"/>
        <v>3.669434796176543E-12</v>
      </c>
      <c r="AM64" s="59">
        <f t="shared" si="5"/>
        <v>293.33333333333701</v>
      </c>
      <c r="AN64" s="59">
        <f ca="1">AVERAGE(OFFSET($AM$3,0,0,'Données projet'!$E$10+1,1))-AVERAGE(OFFSET($H$3,0,0,'Données projet'!$E$10+1,1))</f>
        <v>348.76139845974495</v>
      </c>
      <c r="AO64" s="59">
        <f t="shared" si="36"/>
        <v>398.5142967182872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173.33188190005944</v>
      </c>
      <c r="AV64" s="21">
        <f>EXP(-LN(2)/25)*AV63+(1-EXP(-LN(2)/25))/(LN(2)/25)*Calculateur!AQ64*Calculateur!AS64*VLOOKUP('Données projet'!$B$10,Paramètres!$A$1:$I$89,3,0)*0.475*44/12</f>
        <v>55.290360892738136</v>
      </c>
      <c r="AW64" s="21">
        <f>EXP(-LN(2)/2)*AW63+(1-EXP(-LN(2)/2))/(LN(2)/2)*AQ64*AT64*VLOOKUP('Données projet'!$B$10,Paramètres!$A$1:$I$89,3,0)*0.475*44/12</f>
        <v>33.672824873685556</v>
      </c>
      <c r="AX64" s="21">
        <f t="shared" si="6"/>
        <v>262.29506766648313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200.19999999999996</v>
      </c>
      <c r="BE64" s="13">
        <f>BD64*VLOOKUP('Données projet'!$B$11,Paramètres!$A$1:$I$89,3,0)*VLOOKUP('Données projet'!$B$11,Paramètres!$A$1:$I$89,5,0)</f>
        <v>203.00279999999995</v>
      </c>
      <c r="BF64" s="13">
        <f t="shared" si="37"/>
        <v>50.403518824343074</v>
      </c>
      <c r="BG64" s="20">
        <f t="shared" si="7"/>
        <v>441.3493386190641</v>
      </c>
      <c r="BH64" s="59">
        <f t="shared" si="8"/>
        <v>734.68267195239741</v>
      </c>
      <c r="BI64" s="59">
        <f ca="1">AVERAGE(OFFSET($BH$3,0,0,'Données projet'!$E$11+1,1))-AVERAGE(OFFSET($H$3,0,0,'Données projet'!$E$11+1,1))</f>
        <v>413.81510455446738</v>
      </c>
      <c r="BJ64" s="59">
        <f t="shared" si="38"/>
        <v>254.25036207346602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11.918388918573438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11.918388918573438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5.4</v>
      </c>
      <c r="BY64" s="12">
        <f>IF('Données projet'!$A$114&gt;35,BY63+BX64-CG63,IF(A64&lt;'Données projet'!$A$114,$BV$205^A64,IF(A64='Données projet'!$A$114,'Données projet'!$B$114,BY63+BX64-CG63)))</f>
        <v>139.39999999999998</v>
      </c>
      <c r="BZ64" s="13">
        <f>BY64*VLOOKUP('Données projet'!$B$12,Paramètres!$A$1:$I$89,3,0)*VLOOKUP('Données projet'!$B$12,Paramètres!$A$1:$I$89,5,0)</f>
        <v>132.65303999999998</v>
      </c>
      <c r="CA64" s="13">
        <f t="shared" si="39"/>
        <v>34.60867631689176</v>
      </c>
      <c r="CB64" s="20">
        <f t="shared" si="10"/>
        <v>291.31415591858644</v>
      </c>
      <c r="CC64" s="59">
        <f t="shared" si="11"/>
        <v>584.64748925191975</v>
      </c>
      <c r="CD64" s="59">
        <f ca="1">AVERAGE(OFFSET($CC$3,0,0,'Données projet'!$E$12+1,1))-AVERAGE(OFFSET($H$3,0,0,'Données projet'!$E$12+1,1))</f>
        <v>292.61712942007972</v>
      </c>
      <c r="CE64" s="59">
        <f t="shared" si="40"/>
        <v>152.23954167722536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0.62086499989330179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0.62086499989330179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5.4</v>
      </c>
      <c r="CT64" s="12">
        <f>IF('Données projet'!$A$140&gt;35,CT63+CS64-DB63,IF(A64&lt;'Données projet'!$A$140,$CQ$205^A64,IF(A64='Données projet'!$A$140,'Données projet'!$B$140,CT63+CS64-DB63)))</f>
        <v>139.39999999999998</v>
      </c>
      <c r="CU64" s="17">
        <f>CT64*VLOOKUP('Données projet'!$B$13,Paramètres!$A$1:$I$89,3,0)*VLOOKUP('Données projet'!$B$13,Paramètres!$A$1:$I$89,5,0)</f>
        <v>134.82767999999999</v>
      </c>
      <c r="CV64" s="13">
        <f t="shared" si="41"/>
        <v>35.109516092536481</v>
      </c>
      <c r="CW64" s="20">
        <f t="shared" si="13"/>
        <v>295.97394986116763</v>
      </c>
      <c r="CX64" s="59">
        <f t="shared" si="14"/>
        <v>589.307283194501</v>
      </c>
      <c r="CY64" s="59">
        <f ca="1">AVERAGE(OFFSET($CX$3,0,0,'Données projet'!$E$13+1,1))-AVERAGE(OFFSET($H$3,0,0,'Données projet'!$E$13+1,1))</f>
        <v>296.78766823247003</v>
      </c>
      <c r="CZ64" s="59">
        <f t="shared" si="42"/>
        <v>154.08406475869634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229.61973863654862</v>
      </c>
      <c r="T65" s="59">
        <f t="shared" si="34"/>
        <v>254.08208375594052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87.63574107353142</v>
      </c>
      <c r="AA65" s="21">
        <f>EXP(-LN(2)/25)*AA64+(1-EXP(-LN(2)/25))/(LN(2)/25)*Calculateur!V65*Calculateur!X65*VLOOKUP('Données projet'!$B$9,Paramètres!$A$1:$I$89,3,0)*0.475*44/12</f>
        <v>56.392950902479527</v>
      </c>
      <c r="AB65" s="21">
        <f>EXP(-LN(2)/2)*AB64+(1-EXP(-LN(2)/2))/(LN(2)/2)*V65*Y65*VLOOKUP('Données projet'!$B$9,Paramètres!$A$1:$I$89,3,0)*0.475*44/12</f>
        <v>27.50682891022095</v>
      </c>
      <c r="AC65" s="22">
        <f t="shared" si="3"/>
        <v>171.53552088623189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2.2737367544323206E-13</v>
      </c>
      <c r="AJ65" s="13">
        <f>AI65*VLOOKUP('Données projet'!$B$10,Paramètres!$A$1:$I$89,3,0)*VLOOKUP('Données projet'!$B$10,Paramètres!$A$1:$I$89,5,0)</f>
        <v>1.3596945791505279E-13</v>
      </c>
      <c r="AK65" s="13">
        <f t="shared" si="35"/>
        <v>1.9708830566360721E-12</v>
      </c>
      <c r="AL65" s="20">
        <f t="shared" si="4"/>
        <v>3.669434796176543E-12</v>
      </c>
      <c r="AM65" s="59">
        <f t="shared" si="5"/>
        <v>293.33333333333701</v>
      </c>
      <c r="AN65" s="59">
        <f ca="1">AVERAGE(OFFSET($AM$3,0,0,'Données projet'!$E$10+1,1))-AVERAGE(OFFSET($H$3,0,0,'Données projet'!$E$10+1,1))</f>
        <v>348.76139845974495</v>
      </c>
      <c r="AO65" s="59">
        <f t="shared" si="36"/>
        <v>398.5142967182872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169.93294941800806</v>
      </c>
      <c r="AV65" s="21">
        <f>EXP(-LN(2)/25)*AV64+(1-EXP(-LN(2)/25))/(LN(2)/25)*Calculateur!AQ65*Calculateur!AS65*VLOOKUP('Données projet'!$B$10,Paramètres!$A$1:$I$89,3,0)*0.475*44/12</f>
        <v>53.778443066532503</v>
      </c>
      <c r="AW65" s="21">
        <f>EXP(-LN(2)/2)*AW64+(1-EXP(-LN(2)/2))/(LN(2)/2)*AQ65*AT65*VLOOKUP('Données projet'!$B$10,Paramètres!$A$1:$I$89,3,0)*0.475*44/12</f>
        <v>23.810282809890108</v>
      </c>
      <c r="AX65" s="21">
        <f t="shared" si="6"/>
        <v>247.52167529443068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207.39999999999995</v>
      </c>
      <c r="BE65" s="13">
        <f>BD65*VLOOKUP('Données projet'!$B$11,Paramètres!$A$1:$I$89,3,0)*VLOOKUP('Données projet'!$B$11,Paramètres!$A$1:$I$89,5,0)</f>
        <v>210.30359999999996</v>
      </c>
      <c r="BF65" s="13">
        <f t="shared" si="37"/>
        <v>52.001924357524459</v>
      </c>
      <c r="BG65" s="20">
        <f t="shared" si="7"/>
        <v>456.84878825602163</v>
      </c>
      <c r="BH65" s="59">
        <f t="shared" si="8"/>
        <v>750.18212158935489</v>
      </c>
      <c r="BI65" s="59">
        <f ca="1">AVERAGE(OFFSET($BH$3,0,0,'Données projet'!$E$11+1,1))-AVERAGE(OFFSET($H$3,0,0,'Données projet'!$E$11+1,1))</f>
        <v>413.81510455446738</v>
      </c>
      <c r="BJ65" s="59">
        <f t="shared" si="38"/>
        <v>254.25036207346602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11.68467658137965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11.68467658137965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5.4</v>
      </c>
      <c r="BY65" s="12">
        <f>IF('Données projet'!$A$114&gt;35,BY64+BX65-CG64,IF(A65&lt;'Données projet'!$A$114,$BV$205^A65,IF(A65='Données projet'!$A$114,'Données projet'!$B$114,BY64+BX65-CG64)))</f>
        <v>144.79999999999998</v>
      </c>
      <c r="BZ65" s="13">
        <f>BY65*VLOOKUP('Données projet'!$B$12,Paramètres!$A$1:$I$89,3,0)*VLOOKUP('Données projet'!$B$12,Paramètres!$A$1:$I$89,5,0)</f>
        <v>137.79167999999999</v>
      </c>
      <c r="CA65" s="13">
        <f t="shared" si="39"/>
        <v>35.790643217159939</v>
      </c>
      <c r="CB65" s="20">
        <f t="shared" si="10"/>
        <v>302.3225462698868</v>
      </c>
      <c r="CC65" s="59">
        <f t="shared" si="11"/>
        <v>595.65587960322011</v>
      </c>
      <c r="CD65" s="59">
        <f ca="1">AVERAGE(OFFSET($CC$3,0,0,'Données projet'!$E$12+1,1))-AVERAGE(OFFSET($H$3,0,0,'Données projet'!$E$12+1,1))</f>
        <v>292.61712942007972</v>
      </c>
      <c r="CE65" s="59">
        <f t="shared" si="40"/>
        <v>152.23954167722536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0.60869021593565154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0.60869021593565154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5.4</v>
      </c>
      <c r="CT65" s="12">
        <f>IF('Données projet'!$A$140&gt;35,CT64+CS65-DB64,IF(A65&lt;'Données projet'!$A$140,$CQ$205^A65,IF(A65='Données projet'!$A$140,'Données projet'!$B$140,CT64+CS65-DB64)))</f>
        <v>144.79999999999998</v>
      </c>
      <c r="CU65" s="17">
        <f>CT65*VLOOKUP('Données projet'!$B$13,Paramètres!$A$1:$I$89,3,0)*VLOOKUP('Données projet'!$B$13,Paramètres!$A$1:$I$89,5,0)</f>
        <v>140.05055999999999</v>
      </c>
      <c r="CV65" s="13">
        <f t="shared" si="41"/>
        <v>36.308587837605089</v>
      </c>
      <c r="CW65" s="20">
        <f t="shared" si="13"/>
        <v>307.15884915049543</v>
      </c>
      <c r="CX65" s="59">
        <f t="shared" si="14"/>
        <v>600.49218248382874</v>
      </c>
      <c r="CY65" s="59">
        <f ca="1">AVERAGE(OFFSET($CX$3,0,0,'Données projet'!$E$13+1,1))-AVERAGE(OFFSET($H$3,0,0,'Données projet'!$E$13+1,1))</f>
        <v>296.78766823247003</v>
      </c>
      <c r="CZ65" s="59">
        <f t="shared" si="42"/>
        <v>154.08406475869634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229.61973863654862</v>
      </c>
      <c r="T66" s="59">
        <f t="shared" si="34"/>
        <v>254.08208375594052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85.91725764360352</v>
      </c>
      <c r="AA66" s="21">
        <f>EXP(-LN(2)/25)*AA65+(1-EXP(-LN(2)/25))/(LN(2)/25)*Calculateur!V66*Calculateur!X66*VLOOKUP('Données projet'!$B$9,Paramètres!$A$1:$I$89,3,0)*0.475*44/12</f>
        <v>54.850882694474826</v>
      </c>
      <c r="AB66" s="21">
        <f>EXP(-LN(2)/2)*AB65+(1-EXP(-LN(2)/2))/(LN(2)/2)*V66*Y66*VLOOKUP('Données projet'!$B$9,Paramètres!$A$1:$I$89,3,0)*0.475*44/12</f>
        <v>19.450265251355408</v>
      </c>
      <c r="AC66" s="22">
        <f t="shared" si="3"/>
        <v>160.21840558943376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2.2737367544323206E-13</v>
      </c>
      <c r="AJ66" s="13">
        <f>AI66*VLOOKUP('Données projet'!$B$10,Paramètres!$A$1:$I$89,3,0)*VLOOKUP('Données projet'!$B$10,Paramètres!$A$1:$I$89,5,0)</f>
        <v>1.3596945791505279E-13</v>
      </c>
      <c r="AK66" s="13">
        <f t="shared" si="35"/>
        <v>1.9708830566360721E-12</v>
      </c>
      <c r="AL66" s="20">
        <f t="shared" si="4"/>
        <v>3.669434796176543E-12</v>
      </c>
      <c r="AM66" s="59">
        <f t="shared" si="5"/>
        <v>293.33333333333701</v>
      </c>
      <c r="AN66" s="59">
        <f ca="1">AVERAGE(OFFSET($AM$3,0,0,'Données projet'!$E$10+1,1))-AVERAGE(OFFSET($H$3,0,0,'Données projet'!$E$10+1,1))</f>
        <v>348.76139845974495</v>
      </c>
      <c r="AO66" s="59">
        <f t="shared" si="36"/>
        <v>398.5142967182872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166.60066792878558</v>
      </c>
      <c r="AV66" s="21">
        <f>EXP(-LN(2)/25)*AV65+(1-EXP(-LN(2)/25))/(LN(2)/25)*Calculateur!AQ66*Calculateur!AS66*VLOOKUP('Données projet'!$B$10,Paramètres!$A$1:$I$89,3,0)*0.475*44/12</f>
        <v>52.307868712792761</v>
      </c>
      <c r="AW66" s="21">
        <f>EXP(-LN(2)/2)*AW65+(1-EXP(-LN(2)/2))/(LN(2)/2)*AQ66*AT66*VLOOKUP('Données projet'!$B$10,Paramètres!$A$1:$I$89,3,0)*0.475*44/12</f>
        <v>16.836412436842778</v>
      </c>
      <c r="AX66" s="21">
        <f t="shared" si="6"/>
        <v>235.74494907842112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214.59999999999994</v>
      </c>
      <c r="BE66" s="13">
        <f>BD66*VLOOKUP('Données projet'!$B$11,Paramètres!$A$1:$I$89,3,0)*VLOOKUP('Données projet'!$B$11,Paramètres!$A$1:$I$89,5,0)</f>
        <v>217.60439999999994</v>
      </c>
      <c r="BF66" s="13">
        <f t="shared" si="37"/>
        <v>53.593882578706356</v>
      </c>
      <c r="BG66" s="20">
        <f t="shared" si="7"/>
        <v>472.33700882458015</v>
      </c>
      <c r="BH66" s="59">
        <f t="shared" si="8"/>
        <v>765.67034215791341</v>
      </c>
      <c r="BI66" s="59">
        <f ca="1">AVERAGE(OFFSET($BH$3,0,0,'Données projet'!$E$11+1,1))-AVERAGE(OFFSET($H$3,0,0,'Données projet'!$E$11+1,1))</f>
        <v>413.81510455446738</v>
      </c>
      <c r="BJ66" s="59">
        <f t="shared" si="38"/>
        <v>254.25036207346602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11.455547200567782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11.455547200567782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5.4</v>
      </c>
      <c r="BY66" s="12">
        <f>IF('Données projet'!$A$114&gt;35,BY65+BX66-CG65,IF(A66&lt;'Données projet'!$A$114,$BV$205^A66,IF(A66='Données projet'!$A$114,'Données projet'!$B$114,BY65+BX66-CG65)))</f>
        <v>150.19999999999999</v>
      </c>
      <c r="BZ66" s="13">
        <f>BY66*VLOOKUP('Données projet'!$B$12,Paramètres!$A$1:$I$89,3,0)*VLOOKUP('Données projet'!$B$12,Paramètres!$A$1:$I$89,5,0)</f>
        <v>142.93031999999999</v>
      </c>
      <c r="CA66" s="13">
        <f t="shared" si="39"/>
        <v>36.967489202444952</v>
      </c>
      <c r="CB66" s="20">
        <f t="shared" si="10"/>
        <v>313.32201769425825</v>
      </c>
      <c r="CC66" s="59">
        <f t="shared" si="11"/>
        <v>606.65535102759156</v>
      </c>
      <c r="CD66" s="59">
        <f ca="1">AVERAGE(OFFSET($CC$3,0,0,'Données projet'!$E$12+1,1))-AVERAGE(OFFSET($H$3,0,0,'Données projet'!$E$12+1,1))</f>
        <v>292.61712942007972</v>
      </c>
      <c r="CE66" s="59">
        <f t="shared" si="40"/>
        <v>152.23954167722536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0.59675417206552583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0.59675417206552583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5.4</v>
      </c>
      <c r="CT66" s="12">
        <f>IF('Données projet'!$A$140&gt;35,CT65+CS66-DB65,IF(A66&lt;'Données projet'!$A$140,$CQ$205^A66,IF(A66='Données projet'!$A$140,'Données projet'!$B$140,CT65+CS66-DB65)))</f>
        <v>150.19999999999999</v>
      </c>
      <c r="CU66" s="17">
        <f>CT66*VLOOKUP('Données projet'!$B$13,Paramètres!$A$1:$I$89,3,0)*VLOOKUP('Données projet'!$B$13,Paramètres!$A$1:$I$89,5,0)</f>
        <v>145.27343999999999</v>
      </c>
      <c r="CV66" s="13">
        <f t="shared" si="41"/>
        <v>37.502464560322572</v>
      </c>
      <c r="CW66" s="20">
        <f t="shared" si="13"/>
        <v>318.33470044256177</v>
      </c>
      <c r="CX66" s="59">
        <f t="shared" si="14"/>
        <v>611.66803377589508</v>
      </c>
      <c r="CY66" s="59">
        <f ca="1">AVERAGE(OFFSET($CX$3,0,0,'Données projet'!$E$13+1,1))-AVERAGE(OFFSET($H$3,0,0,'Données projet'!$E$13+1,1))</f>
        <v>296.78766823247003</v>
      </c>
      <c r="CZ66" s="59">
        <f t="shared" si="42"/>
        <v>154.08406475869634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229.61973863654862</v>
      </c>
      <c r="T67" s="59">
        <f t="shared" si="34"/>
        <v>254.08208375594052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84.232472625565123</v>
      </c>
      <c r="AA67" s="21">
        <f>EXP(-LN(2)/25)*AA66+(1-EXP(-LN(2)/25))/(LN(2)/25)*Calculateur!V67*Calculateur!X67*VLOOKUP('Données projet'!$B$9,Paramètres!$A$1:$I$89,3,0)*0.475*44/12</f>
        <v>53.350982422711851</v>
      </c>
      <c r="AB67" s="21">
        <f>EXP(-LN(2)/2)*AB66+(1-EXP(-LN(2)/2))/(LN(2)/2)*V67*Y67*VLOOKUP('Données projet'!$B$9,Paramètres!$A$1:$I$89,3,0)*0.475*44/12</f>
        <v>13.753414455110478</v>
      </c>
      <c r="AC67" s="22">
        <f t="shared" si="3"/>
        <v>151.33686950338745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2.2737367544323206E-13</v>
      </c>
      <c r="AJ67" s="13">
        <f>AI67*VLOOKUP('Données projet'!$B$10,Paramètres!$A$1:$I$89,3,0)*VLOOKUP('Données projet'!$B$10,Paramètres!$A$1:$I$89,5,0)</f>
        <v>1.3596945791505279E-13</v>
      </c>
      <c r="AK67" s="13">
        <f t="shared" si="35"/>
        <v>1.9708830566360721E-12</v>
      </c>
      <c r="AL67" s="20">
        <f t="shared" si="4"/>
        <v>3.669434796176543E-12</v>
      </c>
      <c r="AM67" s="59">
        <f t="shared" si="5"/>
        <v>293.33333333333701</v>
      </c>
      <c r="AN67" s="59">
        <f ca="1">AVERAGE(OFFSET($AM$3,0,0,'Données projet'!$E$10+1,1))-AVERAGE(OFFSET($H$3,0,0,'Données projet'!$E$10+1,1))</f>
        <v>348.76139845974495</v>
      </c>
      <c r="AO67" s="59">
        <f t="shared" si="36"/>
        <v>398.5142967182872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163.33373044707574</v>
      </c>
      <c r="AV67" s="21">
        <f>EXP(-LN(2)/25)*AV66+(1-EXP(-LN(2)/25))/(LN(2)/25)*Calculateur!AQ67*Calculateur!AS67*VLOOKUP('Données projet'!$B$10,Paramètres!$A$1:$I$89,3,0)*0.475*44/12</f>
        <v>50.877507292090179</v>
      </c>
      <c r="AW67" s="21">
        <f>EXP(-LN(2)/2)*AW66+(1-EXP(-LN(2)/2))/(LN(2)/2)*AQ67*AT67*VLOOKUP('Données projet'!$B$10,Paramètres!$A$1:$I$89,3,0)*0.475*44/12</f>
        <v>11.905141404945054</v>
      </c>
      <c r="AX67" s="21">
        <f t="shared" si="6"/>
        <v>226.11637914411097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221.79999999999993</v>
      </c>
      <c r="BE67" s="13">
        <f>BD67*VLOOKUP('Données projet'!$B$11,Paramètres!$A$1:$I$89,3,0)*VLOOKUP('Données projet'!$B$11,Paramètres!$A$1:$I$89,5,0)</f>
        <v>224.90519999999995</v>
      </c>
      <c r="BF67" s="13">
        <f t="shared" si="37"/>
        <v>55.17963460003309</v>
      </c>
      <c r="BG67" s="20">
        <f t="shared" si="7"/>
        <v>487.81442026172425</v>
      </c>
      <c r="BH67" s="59">
        <f t="shared" si="8"/>
        <v>781.14775359505757</v>
      </c>
      <c r="BI67" s="59">
        <f ca="1">AVERAGE(OFFSET($BH$3,0,0,'Données projet'!$E$11+1,1))-AVERAGE(OFFSET($H$3,0,0,'Données projet'!$E$11+1,1))</f>
        <v>413.81510455446738</v>
      </c>
      <c r="BJ67" s="59">
        <f t="shared" si="38"/>
        <v>254.25036207346602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11.230910907158512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11.230910907158512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5.4</v>
      </c>
      <c r="BY67" s="12">
        <f>IF('Données projet'!$A$114&gt;35,BY66+BX67-CG66,IF(A67&lt;'Données projet'!$A$114,$BV$205^A67,IF(A67='Données projet'!$A$114,'Données projet'!$B$114,BY66+BX67-CG66)))</f>
        <v>155.6</v>
      </c>
      <c r="BZ67" s="13">
        <f>BY67*VLOOKUP('Données projet'!$B$12,Paramètres!$A$1:$I$89,3,0)*VLOOKUP('Données projet'!$B$12,Paramètres!$A$1:$I$89,5,0)</f>
        <v>148.06896</v>
      </c>
      <c r="CA67" s="13">
        <f t="shared" si="39"/>
        <v>38.139419470750966</v>
      </c>
      <c r="CB67" s="20">
        <f t="shared" si="10"/>
        <v>324.31292757822456</v>
      </c>
      <c r="CC67" s="59">
        <f t="shared" si="11"/>
        <v>617.64626091155787</v>
      </c>
      <c r="CD67" s="59">
        <f ca="1">AVERAGE(OFFSET($CC$3,0,0,'Données projet'!$E$12+1,1))-AVERAGE(OFFSET($H$3,0,0,'Données projet'!$E$12+1,1))</f>
        <v>292.61712942007972</v>
      </c>
      <c r="CE67" s="59">
        <f t="shared" si="40"/>
        <v>152.23954167722536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0.58505218673542536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0.58505218673542536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5.4</v>
      </c>
      <c r="CT67" s="12">
        <f>IF('Données projet'!$A$140&gt;35,CT66+CS67-DB66,IF(A67&lt;'Données projet'!$A$140,$CQ$205^A67,IF(A67='Données projet'!$A$140,'Données projet'!$B$140,CT66+CS67-DB66)))</f>
        <v>155.6</v>
      </c>
      <c r="CU67" s="17">
        <f>CT67*VLOOKUP('Données projet'!$B$13,Paramètres!$A$1:$I$89,3,0)*VLOOKUP('Données projet'!$B$13,Paramètres!$A$1:$I$89,5,0)</f>
        <v>150.49632</v>
      </c>
      <c r="CV67" s="13">
        <f t="shared" si="41"/>
        <v>38.691354428217871</v>
      </c>
      <c r="CW67" s="20">
        <f t="shared" si="13"/>
        <v>329.50186629581282</v>
      </c>
      <c r="CX67" s="59">
        <f t="shared" si="14"/>
        <v>622.83519962914613</v>
      </c>
      <c r="CY67" s="59">
        <f ca="1">AVERAGE(OFFSET($CX$3,0,0,'Données projet'!$E$13+1,1))-AVERAGE(OFFSET($H$3,0,0,'Données projet'!$E$13+1,1))</f>
        <v>296.78766823247003</v>
      </c>
      <c r="CZ67" s="59">
        <f t="shared" si="42"/>
        <v>154.08406475869634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229.61973863654862</v>
      </c>
      <c r="T68" s="59">
        <f t="shared" si="34"/>
        <v>254.08208375594052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82.580725214113059</v>
      </c>
      <c r="AA68" s="21">
        <f>EXP(-LN(2)/25)*AA67+(1-EXP(-LN(2)/25))/(LN(2)/25)*Calculateur!V68*Calculateur!X68*VLOOKUP('Données projet'!$B$9,Paramètres!$A$1:$I$89,3,0)*0.475*44/12</f>
        <v>51.892097002756564</v>
      </c>
      <c r="AB68" s="21">
        <f>EXP(-LN(2)/2)*AB67+(1-EXP(-LN(2)/2))/(LN(2)/2)*V68*Y68*VLOOKUP('Données projet'!$B$9,Paramètres!$A$1:$I$89,3,0)*0.475*44/12</f>
        <v>9.7251326256777055</v>
      </c>
      <c r="AC68" s="22">
        <f t="shared" ref="AC68:AC131" si="57">SUM(Z68:AB68)</f>
        <v>144.19795484254732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2.2737367544323206E-13</v>
      </c>
      <c r="AJ68" s="13">
        <f>AI68*VLOOKUP('Données projet'!$B$10,Paramètres!$A$1:$I$89,3,0)*VLOOKUP('Données projet'!$B$10,Paramètres!$A$1:$I$89,5,0)</f>
        <v>1.3596945791505279E-13</v>
      </c>
      <c r="AK68" s="13">
        <f t="shared" si="35"/>
        <v>1.9708830566360721E-12</v>
      </c>
      <c r="AL68" s="20">
        <f t="shared" ref="AL68:AL131" si="58">(AJ68+AK68)*0.475*44/12</f>
        <v>3.669434796176543E-12</v>
      </c>
      <c r="AM68" s="59">
        <f t="shared" ref="AM68:AM131" si="59">AL68+(AD68+AE68)*44/12</f>
        <v>293.33333333333701</v>
      </c>
      <c r="AN68" s="59">
        <f ca="1">AVERAGE(OFFSET($AM$3,0,0,'Données projet'!$E$10+1,1))-AVERAGE(OFFSET($H$3,0,0,'Données projet'!$E$10+1,1))</f>
        <v>348.76139845974495</v>
      </c>
      <c r="AO68" s="59">
        <f t="shared" si="36"/>
        <v>398.5142967182872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160.13085561674714</v>
      </c>
      <c r="AV68" s="21">
        <f>EXP(-LN(2)/25)*AV67+(1-EXP(-LN(2)/25))/(LN(2)/25)*Calculateur!AQ68*Calculateur!AS68*VLOOKUP('Données projet'!$B$10,Paramètres!$A$1:$I$89,3,0)*0.475*44/12</f>
        <v>49.486259179656145</v>
      </c>
      <c r="AW68" s="21">
        <f>EXP(-LN(2)/2)*AW67+(1-EXP(-LN(2)/2))/(LN(2)/2)*AQ68*AT68*VLOOKUP('Données projet'!$B$10,Paramètres!$A$1:$I$89,3,0)*0.475*44/12</f>
        <v>8.4182062184213891</v>
      </c>
      <c r="AX68" s="21">
        <f t="shared" ref="AX68:AX131" si="60">SUM(AU68:AW68)</f>
        <v>218.03532101482466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228.99999999999991</v>
      </c>
      <c r="BE68" s="13">
        <f>BD68*VLOOKUP('Données projet'!$B$11,Paramètres!$A$1:$I$89,3,0)*VLOOKUP('Données projet'!$B$11,Paramètres!$A$1:$I$89,5,0)</f>
        <v>232.2059999999999</v>
      </c>
      <c r="BF68" s="13">
        <f t="shared" si="37"/>
        <v>56.759404991217522</v>
      </c>
      <c r="BG68" s="20">
        <f t="shared" ref="BG68:BG131" si="61">(BE68+BF68)*0.475*44/12</f>
        <v>503.281413693037</v>
      </c>
      <c r="BH68" s="59">
        <f t="shared" ref="BH68:BH131" si="62">BG68+(AY68+AZ68)*44/12</f>
        <v>796.61474702637031</v>
      </c>
      <c r="BI68" s="59">
        <f ca="1">AVERAGE(OFFSET($BH$3,0,0,'Données projet'!$E$11+1,1))-AVERAGE(OFFSET($H$3,0,0,'Données projet'!$E$11+1,1))</f>
        <v>413.81510455446738</v>
      </c>
      <c r="BJ68" s="59">
        <f t="shared" si="38"/>
        <v>254.25036207346602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15.059540031473627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15.059540031473627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161</v>
      </c>
      <c r="BW68" s="12">
        <f>VLOOKUP(A68,'Données projet'!$A$113:$I$133,9,0)</f>
        <v>5.4</v>
      </c>
      <c r="BX68" s="12">
        <f t="array" ref="BX68">INDEX(BW:BW,MIN(IF(ISNUMBER(BW68:BW264),ROW(BW68:BW264),"")))</f>
        <v>5.4</v>
      </c>
      <c r="BY68" s="12">
        <f>IF('Données projet'!$A$114&gt;35,BY67+BX68-CG67,IF(A68&lt;'Données projet'!$A$114,$BV$205^A68,IF(A68='Données projet'!$A$114,'Données projet'!$B$114,BY67+BX68-CG67)))</f>
        <v>161</v>
      </c>
      <c r="BZ68" s="13">
        <f>BY68*VLOOKUP('Données projet'!$B$12,Paramètres!$A$1:$I$89,3,0)*VLOOKUP('Données projet'!$B$12,Paramètres!$A$1:$I$89,5,0)</f>
        <v>153.20759999999999</v>
      </c>
      <c r="CA68" s="13">
        <f t="shared" si="39"/>
        <v>39.306624169832133</v>
      </c>
      <c r="CB68" s="20">
        <f t="shared" ref="CB68:CB131" si="64">(BZ68+CA68)*0.475*44/12</f>
        <v>335.2956070957909</v>
      </c>
      <c r="CC68" s="59">
        <f t="shared" ref="CC68:CC131" si="65">CB68+(BT68+BU68)*44/12</f>
        <v>628.62894042912421</v>
      </c>
      <c r="CD68" s="59">
        <f ca="1">AVERAGE(OFFSET($CC$3,0,0,'Données projet'!$E$12+1,1))-AVERAGE(OFFSET($H$3,0,0,'Données projet'!$E$12+1,1))</f>
        <v>292.61712942007972</v>
      </c>
      <c r="CE68" s="59">
        <f t="shared" si="40"/>
        <v>152.23954167722536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14</v>
      </c>
      <c r="CH68" s="16">
        <f>IF(ISNA(VLOOKUP(A68,'Données projet'!$A$113:$I$133,5,0)),0%,VLOOKUP(A68,'Données projet'!$A$113:$I$133,5,0)*VLOOKUP('Données projet'!$B$12,Paramètres!$A$1:$I$89,7,0))</f>
        <v>4.3000000000000003E-2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1.2068629693246025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1.2068629693246025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161</v>
      </c>
      <c r="CR68" s="12">
        <f>VLOOKUP(A68,'Données projet'!$A$139:$I$159,9,0)</f>
        <v>5.4</v>
      </c>
      <c r="CS68" s="12">
        <f t="array" ref="CS68">INDEX(CR:CR,MIN(IF(ISNUMBER(CR68:CR264),ROW(CR68:CR264),"")))</f>
        <v>5.4</v>
      </c>
      <c r="CT68" s="12">
        <f>IF('Données projet'!$A$140&gt;35,CT67+CS68-DB67,IF(A68&lt;'Données projet'!$A$140,$CQ$205^A68,IF(A68='Données projet'!$A$140,'Données projet'!$B$140,CT67+CS68-DB67)))</f>
        <v>161</v>
      </c>
      <c r="CU68" s="17">
        <f>CT68*VLOOKUP('Données projet'!$B$13,Paramètres!$A$1:$I$89,3,0)*VLOOKUP('Données projet'!$B$13,Paramètres!$A$1:$I$89,5,0)</f>
        <v>155.7192</v>
      </c>
      <c r="CV68" s="13">
        <f t="shared" si="41"/>
        <v>39.875450340770094</v>
      </c>
      <c r="CW68" s="20">
        <f t="shared" ref="CW68:CW131" si="67">(CU68+CV68)*0.475*44/12</f>
        <v>340.66068267684119</v>
      </c>
      <c r="CX68" s="59">
        <f t="shared" ref="CX68:CX131" si="68">CW68+(CO68+CP68)*44/12</f>
        <v>633.99401601017451</v>
      </c>
      <c r="CY68" s="59">
        <f ca="1">AVERAGE(OFFSET($CX$3,0,0,'Données projet'!$E$13+1,1))-AVERAGE(OFFSET($H$3,0,0,'Données projet'!$E$13+1,1))</f>
        <v>296.78766823247003</v>
      </c>
      <c r="CZ68" s="59">
        <f t="shared" si="42"/>
        <v>154.08406475869634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14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229.61973863654862</v>
      </c>
      <c r="T69" s="59">
        <f t="shared" ref="T69:T132" si="88">$T$3</f>
        <v>254.08208375594052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80.96136756193313</v>
      </c>
      <c r="AA69" s="21">
        <f>EXP(-LN(2)/25)*AA68+(1-EXP(-LN(2)/25))/(LN(2)/25)*Calculateur!V69*Calculateur!X69*VLOOKUP('Données projet'!$B$9,Paramètres!$A$1:$I$89,3,0)*0.475*44/12</f>
        <v>50.473104881329405</v>
      </c>
      <c r="AB69" s="21">
        <f>EXP(-LN(2)/2)*AB68+(1-EXP(-LN(2)/2))/(LN(2)/2)*V69*Y69*VLOOKUP('Données projet'!$B$9,Paramètres!$A$1:$I$89,3,0)*0.475*44/12</f>
        <v>6.8767072275552401</v>
      </c>
      <c r="AC69" s="22">
        <f t="shared" si="57"/>
        <v>138.31117967081778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2.2737367544323206E-13</v>
      </c>
      <c r="AJ69" s="13">
        <f>AI69*VLOOKUP('Données projet'!$B$10,Paramètres!$A$1:$I$89,3,0)*VLOOKUP('Données projet'!$B$10,Paramètres!$A$1:$I$89,5,0)</f>
        <v>1.3596945791505279E-13</v>
      </c>
      <c r="AK69" s="13">
        <f t="shared" ref="AK69:AK132" si="89">EXP(-1.0587+0.8836*LN(AJ69)+0.284)</f>
        <v>1.9708830566360721E-12</v>
      </c>
      <c r="AL69" s="20">
        <f t="shared" si="58"/>
        <v>3.669434796176543E-12</v>
      </c>
      <c r="AM69" s="59">
        <f t="shared" si="59"/>
        <v>293.33333333333701</v>
      </c>
      <c r="AN69" s="59">
        <f ca="1">AVERAGE(OFFSET($AM$3,0,0,'Données projet'!$E$10+1,1))-AVERAGE(OFFSET($H$3,0,0,'Données projet'!$E$10+1,1))</f>
        <v>348.76139845974495</v>
      </c>
      <c r="AO69" s="59">
        <f t="shared" ref="AO69:AO132" si="90">$AO$3</f>
        <v>398.5142967182872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156.99078720828052</v>
      </c>
      <c r="AV69" s="21">
        <f>EXP(-LN(2)/25)*AV68+(1-EXP(-LN(2)/25))/(LN(2)/25)*Calculateur!AQ69*Calculateur!AS69*VLOOKUP('Données projet'!$B$10,Paramètres!$A$1:$I$89,3,0)*0.475*44/12</f>
        <v>48.133054820019183</v>
      </c>
      <c r="AW69" s="21">
        <f>EXP(-LN(2)/2)*AW68+(1-EXP(-LN(2)/2))/(LN(2)/2)*AQ69*AT69*VLOOKUP('Données projet'!$B$10,Paramètres!$A$1:$I$89,3,0)*0.475*44/12</f>
        <v>5.952570702472527</v>
      </c>
      <c r="AX69" s="21">
        <f t="shared" si="60"/>
        <v>211.0764127307722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214.79999999999993</v>
      </c>
      <c r="BE69" s="13">
        <f>BD69*VLOOKUP('Données projet'!$B$11,Paramètres!$A$1:$I$89,3,0)*VLOOKUP('Données projet'!$B$11,Paramètres!$A$1:$I$89,5,0)</f>
        <v>217.80719999999994</v>
      </c>
      <c r="BF69" s="13">
        <f t="shared" ref="BF69:BF132" si="91">EXP(-1.0587+0.8836*LN(BE69)+0.284)</f>
        <v>53.638013973813976</v>
      </c>
      <c r="BG69" s="20">
        <f t="shared" si="61"/>
        <v>472.76708100439259</v>
      </c>
      <c r="BH69" s="59">
        <f t="shared" si="62"/>
        <v>766.10041433772585</v>
      </c>
      <c r="BI69" s="59">
        <f ca="1">AVERAGE(OFFSET($BH$3,0,0,'Données projet'!$E$11+1,1))-AVERAGE(OFFSET($H$3,0,0,'Données projet'!$E$11+1,1))</f>
        <v>413.81510455446738</v>
      </c>
      <c r="BJ69" s="59">
        <f t="shared" ref="BJ69:BJ132" si="92">$BJ$3</f>
        <v>254.25036207346602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14.764231636868864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14.764231636868864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</v>
      </c>
      <c r="BY69" s="12">
        <f>IF('Données projet'!$A$114&gt;35,BY68+BX69-CG68,IF(A69&lt;'Données projet'!$A$114,$BV$205^A69,IF(A69='Données projet'!$A$114,'Données projet'!$B$114,BY68+BX69-CG68)))</f>
        <v>152</v>
      </c>
      <c r="BZ69" s="13">
        <f>BY69*VLOOKUP('Données projet'!$B$12,Paramètres!$A$1:$I$89,3,0)*VLOOKUP('Données projet'!$B$12,Paramètres!$A$1:$I$89,5,0)</f>
        <v>144.64320000000001</v>
      </c>
      <c r="CA69" s="13">
        <f t="shared" ref="CA69:CA132" si="93">EXP(-1.0587+0.8836*LN(BZ69)+0.284)</f>
        <v>37.358669132367922</v>
      </c>
      <c r="CB69" s="20">
        <f t="shared" si="64"/>
        <v>316.9865887388741</v>
      </c>
      <c r="CC69" s="59">
        <f t="shared" si="65"/>
        <v>610.31992207220742</v>
      </c>
      <c r="CD69" s="59">
        <f ca="1">AVERAGE(OFFSET($CC$3,0,0,'Données projet'!$E$12+1,1))-AVERAGE(OFFSET($H$3,0,0,'Données projet'!$E$12+1,1))</f>
        <v>292.61712942007972</v>
      </c>
      <c r="CE69" s="59">
        <f t="shared" ref="CE69:CE132" si="94">$CE$3</f>
        <v>152.23954167722536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1.1831971226098732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1.1831971226098732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</v>
      </c>
      <c r="CT69" s="12">
        <f>IF('Données projet'!$A$140&gt;35,CT68+CS69-DB68,IF(A69&lt;'Données projet'!$A$140,$CQ$205^A69,IF(A69='Données projet'!$A$140,'Données projet'!$B$140,CT68+CS69-DB68)))</f>
        <v>152</v>
      </c>
      <c r="CU69" s="17">
        <f>CT69*VLOOKUP('Données projet'!$B$13,Paramètres!$A$1:$I$89,3,0)*VLOOKUP('Données projet'!$B$13,Paramètres!$A$1:$I$89,5,0)</f>
        <v>147.01439999999999</v>
      </c>
      <c r="CV69" s="13">
        <f t="shared" ref="CV69:CV132" si="95">EXP(-1.0587+0.8836*LN(CU69)+0.284)</f>
        <v>37.899305454176826</v>
      </c>
      <c r="CW69" s="20">
        <f t="shared" si="67"/>
        <v>322.05803699935797</v>
      </c>
      <c r="CX69" s="59">
        <f t="shared" si="68"/>
        <v>615.39137033269128</v>
      </c>
      <c r="CY69" s="59">
        <f ca="1">AVERAGE(OFFSET($CX$3,0,0,'Données projet'!$E$13+1,1))-AVERAGE(OFFSET($H$3,0,0,'Données projet'!$E$13+1,1))</f>
        <v>296.78766823247003</v>
      </c>
      <c r="CZ69" s="59">
        <f t="shared" ref="CZ69:CZ132" si="96">$CZ$3</f>
        <v>154.08406475869634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229.61973863654862</v>
      </c>
      <c r="T70" s="59">
        <f t="shared" si="88"/>
        <v>254.08208375594052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79.373764525601814</v>
      </c>
      <c r="AA70" s="21">
        <f>EXP(-LN(2)/25)*AA69+(1-EXP(-LN(2)/25))/(LN(2)/25)*Calculateur!V70*Calculateur!X70*VLOOKUP('Données projet'!$B$9,Paramètres!$A$1:$I$89,3,0)*0.475*44/12</f>
        <v>49.092915174084226</v>
      </c>
      <c r="AB70" s="21">
        <f>EXP(-LN(2)/2)*AB69+(1-EXP(-LN(2)/2))/(LN(2)/2)*V70*Y70*VLOOKUP('Données projet'!$B$9,Paramètres!$A$1:$I$89,3,0)*0.475*44/12</f>
        <v>4.8625663128388537</v>
      </c>
      <c r="AC70" s="22">
        <f t="shared" si="57"/>
        <v>133.32924601252489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2.2737367544323206E-13</v>
      </c>
      <c r="AJ70" s="13">
        <f>AI70*VLOOKUP('Données projet'!$B$10,Paramètres!$A$1:$I$89,3,0)*VLOOKUP('Données projet'!$B$10,Paramètres!$A$1:$I$89,5,0)</f>
        <v>1.3596945791505279E-13</v>
      </c>
      <c r="AK70" s="13">
        <f t="shared" si="89"/>
        <v>1.9708830566360721E-12</v>
      </c>
      <c r="AL70" s="20">
        <f t="shared" si="58"/>
        <v>3.669434796176543E-12</v>
      </c>
      <c r="AM70" s="59">
        <f t="shared" si="59"/>
        <v>293.33333333333701</v>
      </c>
      <c r="AN70" s="59">
        <f ca="1">AVERAGE(OFFSET($AM$3,0,0,'Données projet'!$E$10+1,1))-AVERAGE(OFFSET($H$3,0,0,'Données projet'!$E$10+1,1))</f>
        <v>348.76139845974495</v>
      </c>
      <c r="AO70" s="59">
        <f t="shared" si="90"/>
        <v>398.5142967182872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153.91229362605134</v>
      </c>
      <c r="AV70" s="21">
        <f>EXP(-LN(2)/25)*AV69+(1-EXP(-LN(2)/25))/(LN(2)/25)*Calculateur!AQ70*Calculateur!AS70*VLOOKUP('Données projet'!$B$10,Paramètres!$A$1:$I$89,3,0)*0.475*44/12</f>
        <v>46.816853904758418</v>
      </c>
      <c r="AW70" s="21">
        <f>EXP(-LN(2)/2)*AW69+(1-EXP(-LN(2)/2))/(LN(2)/2)*AQ70*AT70*VLOOKUP('Données projet'!$B$10,Paramètres!$A$1:$I$89,3,0)*0.475*44/12</f>
        <v>4.2091031092106945</v>
      </c>
      <c r="AX70" s="21">
        <f t="shared" si="60"/>
        <v>204.93825064002047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221.59999999999994</v>
      </c>
      <c r="BE70" s="13">
        <f>BD70*VLOOKUP('Données projet'!$B$11,Paramètres!$A$1:$I$89,3,0)*VLOOKUP('Données projet'!$B$11,Paramètres!$A$1:$I$89,5,0)</f>
        <v>224.70239999999995</v>
      </c>
      <c r="BF70" s="13">
        <f t="shared" si="91"/>
        <v>55.135667706678262</v>
      </c>
      <c r="BG70" s="20">
        <f t="shared" si="61"/>
        <v>487.38463458913128</v>
      </c>
      <c r="BH70" s="59">
        <f t="shared" si="62"/>
        <v>780.7179679224646</v>
      </c>
      <c r="BI70" s="59">
        <f ca="1">AVERAGE(OFFSET($BH$3,0,0,'Données projet'!$E$11+1,1))-AVERAGE(OFFSET($H$3,0,0,'Données projet'!$E$11+1,1))</f>
        <v>413.81510455446738</v>
      </c>
      <c r="BJ70" s="59">
        <f t="shared" si="92"/>
        <v>254.25036207346602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14.474714059761965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14.474714059761965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</v>
      </c>
      <c r="BY70" s="12">
        <f>IF('Données projet'!$A$114&gt;35,BY69+BX70-CG69,IF(A70&lt;'Données projet'!$A$114,$BV$205^A70,IF(A70='Données projet'!$A$114,'Données projet'!$B$114,BY69+BX70-CG69)))</f>
        <v>157</v>
      </c>
      <c r="BZ70" s="13">
        <f>BY70*VLOOKUP('Données projet'!$B$12,Paramètres!$A$1:$I$89,3,0)*VLOOKUP('Données projet'!$B$12,Paramètres!$A$1:$I$89,5,0)</f>
        <v>149.40119999999999</v>
      </c>
      <c r="CA70" s="13">
        <f t="shared" si="93"/>
        <v>38.44247450913759</v>
      </c>
      <c r="CB70" s="20">
        <f t="shared" si="64"/>
        <v>327.16106643674794</v>
      </c>
      <c r="CC70" s="59">
        <f t="shared" si="65"/>
        <v>620.49439977008126</v>
      </c>
      <c r="CD70" s="59">
        <f ca="1">AVERAGE(OFFSET($CC$3,0,0,'Données projet'!$E$12+1,1))-AVERAGE(OFFSET($H$3,0,0,'Données projet'!$E$12+1,1))</f>
        <v>292.61712942007972</v>
      </c>
      <c r="CE70" s="59">
        <f t="shared" si="94"/>
        <v>152.23954167722536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1.1599953487144785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1.1599953487144785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</v>
      </c>
      <c r="CT70" s="12">
        <f>IF('Données projet'!$A$140&gt;35,CT69+CS70-DB69,IF(A70&lt;'Données projet'!$A$140,$CQ$205^A70,IF(A70='Données projet'!$A$140,'Données projet'!$B$140,CT69+CS70-DB69)))</f>
        <v>157</v>
      </c>
      <c r="CU70" s="17">
        <f>CT70*VLOOKUP('Données projet'!$B$13,Paramètres!$A$1:$I$89,3,0)*VLOOKUP('Données projet'!$B$13,Paramètres!$A$1:$I$89,5,0)</f>
        <v>151.85040000000001</v>
      </c>
      <c r="CV70" s="13">
        <f t="shared" si="95"/>
        <v>38.998795130362446</v>
      </c>
      <c r="CW70" s="20">
        <f t="shared" si="67"/>
        <v>332.39568151871464</v>
      </c>
      <c r="CX70" s="59">
        <f t="shared" si="68"/>
        <v>625.72901485204795</v>
      </c>
      <c r="CY70" s="59">
        <f ca="1">AVERAGE(OFFSET($CX$3,0,0,'Données projet'!$E$13+1,1))-AVERAGE(OFFSET($H$3,0,0,'Données projet'!$E$13+1,1))</f>
        <v>296.78766823247003</v>
      </c>
      <c r="CZ70" s="59">
        <f t="shared" si="96"/>
        <v>154.08406475869634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229.61973863654862</v>
      </c>
      <c r="T71" s="59">
        <f t="shared" si="88"/>
        <v>254.08208375594052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77.817293416470719</v>
      </c>
      <c r="AA71" s="21">
        <f>EXP(-LN(2)/25)*AA70+(1-EXP(-LN(2)/25))/(LN(2)/25)*Calculateur!V71*Calculateur!X71*VLOOKUP('Données projet'!$B$9,Paramètres!$A$1:$I$89,3,0)*0.475*44/12</f>
        <v>47.75046682696469</v>
      </c>
      <c r="AB71" s="21">
        <f>EXP(-LN(2)/2)*AB70+(1-EXP(-LN(2)/2))/(LN(2)/2)*V71*Y71*VLOOKUP('Données projet'!$B$9,Paramètres!$A$1:$I$89,3,0)*0.475*44/12</f>
        <v>3.4383536137776209</v>
      </c>
      <c r="AC71" s="22">
        <f t="shared" si="57"/>
        <v>129.00611385721302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2.2737367544323206E-13</v>
      </c>
      <c r="AJ71" s="13">
        <f>AI71*VLOOKUP('Données projet'!$B$10,Paramètres!$A$1:$I$89,3,0)*VLOOKUP('Données projet'!$B$10,Paramètres!$A$1:$I$89,5,0)</f>
        <v>1.3596945791505279E-13</v>
      </c>
      <c r="AK71" s="13">
        <f t="shared" si="89"/>
        <v>1.9708830566360721E-12</v>
      </c>
      <c r="AL71" s="20">
        <f t="shared" si="58"/>
        <v>3.669434796176543E-12</v>
      </c>
      <c r="AM71" s="59">
        <f t="shared" si="59"/>
        <v>293.33333333333701</v>
      </c>
      <c r="AN71" s="59">
        <f ca="1">AVERAGE(OFFSET($AM$3,0,0,'Données projet'!$E$10+1,1))-AVERAGE(OFFSET($H$3,0,0,'Données projet'!$E$10+1,1))</f>
        <v>348.76139845974495</v>
      </c>
      <c r="AO71" s="59">
        <f t="shared" si="90"/>
        <v>398.5142967182872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150.89416742527396</v>
      </c>
      <c r="AV71" s="21">
        <f>EXP(-LN(2)/25)*AV70+(1-EXP(-LN(2)/25))/(LN(2)/25)*Calculateur!AQ71*Calculateur!AS71*VLOOKUP('Données projet'!$B$10,Paramètres!$A$1:$I$89,3,0)*0.475*44/12</f>
        <v>45.536644572741451</v>
      </c>
      <c r="AW71" s="21">
        <f>EXP(-LN(2)/2)*AW70+(1-EXP(-LN(2)/2))/(LN(2)/2)*AQ71*AT71*VLOOKUP('Données projet'!$B$10,Paramètres!$A$1:$I$89,3,0)*0.475*44/12</f>
        <v>2.9762853512362635</v>
      </c>
      <c r="AX71" s="21">
        <f t="shared" si="60"/>
        <v>199.4070973492517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228.39999999999995</v>
      </c>
      <c r="BE71" s="13">
        <f>BD71*VLOOKUP('Données projet'!$B$11,Paramètres!$A$1:$I$89,3,0)*VLOOKUP('Données projet'!$B$11,Paramètres!$A$1:$I$89,5,0)</f>
        <v>231.59759999999997</v>
      </c>
      <c r="BF71" s="13">
        <f t="shared" si="91"/>
        <v>56.627980714948151</v>
      </c>
      <c r="BG71" s="20">
        <f t="shared" si="61"/>
        <v>501.99288641186791</v>
      </c>
      <c r="BH71" s="59">
        <f t="shared" si="62"/>
        <v>795.32621974520123</v>
      </c>
      <c r="BI71" s="59">
        <f ca="1">AVERAGE(OFFSET($BH$3,0,0,'Données projet'!$E$11+1,1))-AVERAGE(OFFSET($H$3,0,0,'Données projet'!$E$11+1,1))</f>
        <v>413.81510455446738</v>
      </c>
      <c r="BJ71" s="59">
        <f t="shared" si="92"/>
        <v>254.25036207346602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14.190873745753848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14.190873745753848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</v>
      </c>
      <c r="BY71" s="12">
        <f>IF('Données projet'!$A$114&gt;35,BY70+BX71-CG70,IF(A71&lt;'Données projet'!$A$114,$BV$205^A71,IF(A71='Données projet'!$A$114,'Données projet'!$B$114,BY70+BX71-CG70)))</f>
        <v>162</v>
      </c>
      <c r="BZ71" s="13">
        <f>BY71*VLOOKUP('Données projet'!$B$12,Paramètres!$A$1:$I$89,3,0)*VLOOKUP('Données projet'!$B$12,Paramètres!$A$1:$I$89,5,0)</f>
        <v>154.1592</v>
      </c>
      <c r="CA71" s="13">
        <f t="shared" si="93"/>
        <v>39.522268933730984</v>
      </c>
      <c r="CB71" s="20">
        <f t="shared" si="64"/>
        <v>337.32855839291477</v>
      </c>
      <c r="CC71" s="59">
        <f t="shared" si="65"/>
        <v>630.66189172624809</v>
      </c>
      <c r="CD71" s="59">
        <f ca="1">AVERAGE(OFFSET($CC$3,0,0,'Données projet'!$E$12+1,1))-AVERAGE(OFFSET($H$3,0,0,'Données projet'!$E$12+1,1))</f>
        <v>292.61712942007972</v>
      </c>
      <c r="CE71" s="59">
        <f t="shared" si="94"/>
        <v>152.23954167722536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1.1372485474534877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1.1372485474534877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</v>
      </c>
      <c r="CT71" s="12">
        <f>IF('Données projet'!$A$140&gt;35,CT70+CS71-DB70,IF(A71&lt;'Données projet'!$A$140,$CQ$205^A71,IF(A71='Données projet'!$A$140,'Données projet'!$B$140,CT70+CS71-DB70)))</f>
        <v>162</v>
      </c>
      <c r="CU71" s="17">
        <f>CT71*VLOOKUP('Données projet'!$B$13,Paramètres!$A$1:$I$89,3,0)*VLOOKUP('Données projet'!$B$13,Paramètres!$A$1:$I$89,5,0)</f>
        <v>156.68639999999999</v>
      </c>
      <c r="CV71" s="13">
        <f t="shared" si="95"/>
        <v>40.094215809840712</v>
      </c>
      <c r="CW71" s="20">
        <f t="shared" si="67"/>
        <v>342.7262392021392</v>
      </c>
      <c r="CX71" s="59">
        <f t="shared" si="68"/>
        <v>636.05957253547251</v>
      </c>
      <c r="CY71" s="59">
        <f ca="1">AVERAGE(OFFSET($CX$3,0,0,'Données projet'!$E$13+1,1))-AVERAGE(OFFSET($H$3,0,0,'Données projet'!$E$13+1,1))</f>
        <v>296.78766823247003</v>
      </c>
      <c r="CZ71" s="59">
        <f t="shared" si="96"/>
        <v>154.08406475869634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229.61973863654862</v>
      </c>
      <c r="T72" s="59">
        <f t="shared" si="88"/>
        <v>254.08208375594052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76.291343756436049</v>
      </c>
      <c r="AA72" s="21">
        <f>EXP(-LN(2)/25)*AA71+(1-EXP(-LN(2)/25))/(LN(2)/25)*Calculateur!V72*Calculateur!X72*VLOOKUP('Données projet'!$B$9,Paramètres!$A$1:$I$89,3,0)*0.475*44/12</f>
        <v>46.444727800493425</v>
      </c>
      <c r="AB72" s="21">
        <f>EXP(-LN(2)/2)*AB71+(1-EXP(-LN(2)/2))/(LN(2)/2)*V72*Y72*VLOOKUP('Données projet'!$B$9,Paramètres!$A$1:$I$89,3,0)*0.475*44/12</f>
        <v>2.4312831564194273</v>
      </c>
      <c r="AC72" s="22">
        <f t="shared" si="57"/>
        <v>125.1673547133489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2.2737367544323206E-13</v>
      </c>
      <c r="AJ72" s="13">
        <f>AI72*VLOOKUP('Données projet'!$B$10,Paramètres!$A$1:$I$89,3,0)*VLOOKUP('Données projet'!$B$10,Paramètres!$A$1:$I$89,5,0)</f>
        <v>1.3596945791505279E-13</v>
      </c>
      <c r="AK72" s="13">
        <f t="shared" si="89"/>
        <v>1.9708830566360721E-12</v>
      </c>
      <c r="AL72" s="20">
        <f t="shared" si="58"/>
        <v>3.669434796176543E-12</v>
      </c>
      <c r="AM72" s="59">
        <f t="shared" si="59"/>
        <v>293.33333333333701</v>
      </c>
      <c r="AN72" s="59">
        <f ca="1">AVERAGE(OFFSET($AM$3,0,0,'Données projet'!$E$10+1,1))-AVERAGE(OFFSET($H$3,0,0,'Données projet'!$E$10+1,1))</f>
        <v>348.76139845974495</v>
      </c>
      <c r="AO72" s="59">
        <f t="shared" si="90"/>
        <v>398.5142967182872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147.93522483841863</v>
      </c>
      <c r="AV72" s="21">
        <f>EXP(-LN(2)/25)*AV71+(1-EXP(-LN(2)/25))/(LN(2)/25)*Calculateur!AQ72*Calculateur!AS72*VLOOKUP('Données projet'!$B$10,Paramètres!$A$1:$I$89,3,0)*0.475*44/12</f>
        <v>44.291442632231771</v>
      </c>
      <c r="AW72" s="21">
        <f>EXP(-LN(2)/2)*AW71+(1-EXP(-LN(2)/2))/(LN(2)/2)*AQ72*AT72*VLOOKUP('Données projet'!$B$10,Paramètres!$A$1:$I$89,3,0)*0.475*44/12</f>
        <v>2.1045515546053473</v>
      </c>
      <c r="AX72" s="21">
        <f t="shared" si="60"/>
        <v>194.33121902525573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235.19999999999996</v>
      </c>
      <c r="BE72" s="13">
        <f>BD72*VLOOKUP('Données projet'!$B$11,Paramètres!$A$1:$I$89,3,0)*VLOOKUP('Données projet'!$B$11,Paramètres!$A$1:$I$89,5,0)</f>
        <v>238.49279999999996</v>
      </c>
      <c r="BF72" s="13">
        <f t="shared" si="91"/>
        <v>58.115130258576542</v>
      </c>
      <c r="BG72" s="20">
        <f t="shared" si="61"/>
        <v>516.59214520035414</v>
      </c>
      <c r="BH72" s="59">
        <f t="shared" si="62"/>
        <v>809.92547853368751</v>
      </c>
      <c r="BI72" s="59">
        <f ca="1">AVERAGE(OFFSET($BH$3,0,0,'Données projet'!$E$11+1,1))-AVERAGE(OFFSET($H$3,0,0,'Données projet'!$E$11+1,1))</f>
        <v>413.81510455446738</v>
      </c>
      <c r="BJ72" s="59">
        <f t="shared" si="92"/>
        <v>254.25036207346602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13.912599367177933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13.912599367177933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</v>
      </c>
      <c r="BY72" s="12">
        <f>IF('Données projet'!$A$114&gt;35,BY71+BX72-CG71,IF(A72&lt;'Données projet'!$A$114,$BV$205^A72,IF(A72='Données projet'!$A$114,'Données projet'!$B$114,BY71+BX72-CG71)))</f>
        <v>167</v>
      </c>
      <c r="BZ72" s="13">
        <f>BY72*VLOOKUP('Données projet'!$B$12,Paramètres!$A$1:$I$89,3,0)*VLOOKUP('Données projet'!$B$12,Paramètres!$A$1:$I$89,5,0)</f>
        <v>158.91720000000001</v>
      </c>
      <c r="CA72" s="13">
        <f t="shared" si="93"/>
        <v>40.598190407175252</v>
      </c>
      <c r="CB72" s="20">
        <f t="shared" si="64"/>
        <v>347.48930495916358</v>
      </c>
      <c r="CC72" s="59">
        <f t="shared" si="65"/>
        <v>640.82263829249689</v>
      </c>
      <c r="CD72" s="59">
        <f ca="1">AVERAGE(OFFSET($CC$3,0,0,'Données projet'!$E$12+1,1))-AVERAGE(OFFSET($H$3,0,0,'Données projet'!$E$12+1,1))</f>
        <v>292.61712942007972</v>
      </c>
      <c r="CE72" s="59">
        <f t="shared" si="94"/>
        <v>152.23954167722536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1.1149477970910462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1.1149477970910462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</v>
      </c>
      <c r="CT72" s="12">
        <f>IF('Données projet'!$A$140&gt;35,CT71+CS72-DB71,IF(A72&lt;'Données projet'!$A$140,$CQ$205^A72,IF(A72='Données projet'!$A$140,'Données projet'!$B$140,CT71+CS72-DB71)))</f>
        <v>167</v>
      </c>
      <c r="CU72" s="17">
        <f>CT72*VLOOKUP('Données projet'!$B$13,Paramètres!$A$1:$I$89,3,0)*VLOOKUP('Données projet'!$B$13,Paramètres!$A$1:$I$89,5,0)</f>
        <v>161.5224</v>
      </c>
      <c r="CV72" s="13">
        <f t="shared" si="95"/>
        <v>41.185707490721896</v>
      </c>
      <c r="CW72" s="20">
        <f t="shared" si="67"/>
        <v>353.04995387967392</v>
      </c>
      <c r="CX72" s="59">
        <f t="shared" si="68"/>
        <v>646.38328721300718</v>
      </c>
      <c r="CY72" s="59">
        <f ca="1">AVERAGE(OFFSET($CX$3,0,0,'Données projet'!$E$13+1,1))-AVERAGE(OFFSET($H$3,0,0,'Données projet'!$E$13+1,1))</f>
        <v>296.78766823247003</v>
      </c>
      <c r="CZ72" s="59">
        <f t="shared" si="96"/>
        <v>154.08406475869634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229.61973863654862</v>
      </c>
      <c r="T73" s="59">
        <f t="shared" si="88"/>
        <v>254.08208375594052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74.795317038497259</v>
      </c>
      <c r="AA73" s="21">
        <f>EXP(-LN(2)/25)*AA72+(1-EXP(-LN(2)/25))/(LN(2)/25)*Calculateur!V73*Calculateur!X73*VLOOKUP('Données projet'!$B$9,Paramètres!$A$1:$I$89,3,0)*0.475*44/12</f>
        <v>45.17469427636685</v>
      </c>
      <c r="AB73" s="21">
        <f>EXP(-LN(2)/2)*AB72+(1-EXP(-LN(2)/2))/(LN(2)/2)*V73*Y73*VLOOKUP('Données projet'!$B$9,Paramètres!$A$1:$I$89,3,0)*0.475*44/12</f>
        <v>1.7191768068888107</v>
      </c>
      <c r="AC73" s="22">
        <f t="shared" si="57"/>
        <v>121.68918812175292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2.2737367544323206E-13</v>
      </c>
      <c r="AJ73" s="13">
        <f>AI73*VLOOKUP('Données projet'!$B$10,Paramètres!$A$1:$I$89,3,0)*VLOOKUP('Données projet'!$B$10,Paramètres!$A$1:$I$89,5,0)</f>
        <v>1.3596945791505279E-13</v>
      </c>
      <c r="AK73" s="13">
        <f t="shared" si="89"/>
        <v>1.9708830566360721E-12</v>
      </c>
      <c r="AL73" s="20">
        <f t="shared" si="58"/>
        <v>3.669434796176543E-12</v>
      </c>
      <c r="AM73" s="59">
        <f t="shared" si="59"/>
        <v>293.33333333333701</v>
      </c>
      <c r="AN73" s="59">
        <f ca="1">AVERAGE(OFFSET($AM$3,0,0,'Données projet'!$E$10+1,1))-AVERAGE(OFFSET($H$3,0,0,'Données projet'!$E$10+1,1))</f>
        <v>348.76139845974495</v>
      </c>
      <c r="AO73" s="59">
        <f t="shared" si="90"/>
        <v>398.5142967182872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145.03430531091476</v>
      </c>
      <c r="AV73" s="21">
        <f>EXP(-LN(2)/25)*AV72+(1-EXP(-LN(2)/25))/(LN(2)/25)*Calculateur!AQ73*Calculateur!AS73*VLOOKUP('Données projet'!$B$10,Paramètres!$A$1:$I$89,3,0)*0.475*44/12</f>
        <v>43.080290804267655</v>
      </c>
      <c r="AW73" s="21">
        <f>EXP(-LN(2)/2)*AW72+(1-EXP(-LN(2)/2))/(LN(2)/2)*AQ73*AT73*VLOOKUP('Données projet'!$B$10,Paramètres!$A$1:$I$89,3,0)*0.475*44/12</f>
        <v>1.4881426756181317</v>
      </c>
      <c r="AX73" s="21">
        <f t="shared" si="60"/>
        <v>189.60273879080054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241.99999999999997</v>
      </c>
      <c r="BE73" s="13">
        <f>BD73*VLOOKUP('Données projet'!$B$11,Paramètres!$A$1:$I$89,3,0)*VLOOKUP('Données projet'!$B$11,Paramètres!$A$1:$I$89,5,0)</f>
        <v>245.38799999999998</v>
      </c>
      <c r="BF73" s="13">
        <f t="shared" si="91"/>
        <v>59.597282764919569</v>
      </c>
      <c r="BG73" s="20">
        <f t="shared" si="61"/>
        <v>531.18270081556818</v>
      </c>
      <c r="BH73" s="59">
        <f t="shared" si="62"/>
        <v>824.51603414890155</v>
      </c>
      <c r="BI73" s="59">
        <f ca="1">AVERAGE(OFFSET($BH$3,0,0,'Données projet'!$E$11+1,1))-AVERAGE(OFFSET($H$3,0,0,'Données projet'!$E$11+1,1))</f>
        <v>413.81510455446738</v>
      </c>
      <c r="BJ73" s="59">
        <f t="shared" si="92"/>
        <v>254.25036207346602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18.700857325716829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18.700857325716829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172</v>
      </c>
      <c r="BW73" s="12">
        <f>VLOOKUP(A73,'Données projet'!$A$113:$I$133,9,0)</f>
        <v>5</v>
      </c>
      <c r="BX73" s="12">
        <f t="array" ref="BX73">INDEX(BW:BW,MIN(IF(ISNUMBER(BW73:BW269),ROW(BW73:BW269),"")))</f>
        <v>5</v>
      </c>
      <c r="BY73" s="12">
        <f>IF('Données projet'!$A$114&gt;35,BY72+BX73-CG72,IF(A73&lt;'Données projet'!$A$114,$BV$205^A73,IF(A73='Données projet'!$A$114,'Données projet'!$B$114,BY72+BX73-CG72)))</f>
        <v>172</v>
      </c>
      <c r="BZ73" s="13">
        <f>BY73*VLOOKUP('Données projet'!$B$12,Paramètres!$A$1:$I$89,3,0)*VLOOKUP('Données projet'!$B$12,Paramètres!$A$1:$I$89,5,0)</f>
        <v>163.67520000000002</v>
      </c>
      <c r="CA73" s="13">
        <f t="shared" si="93"/>
        <v>41.670368197291587</v>
      </c>
      <c r="CB73" s="20">
        <f t="shared" si="64"/>
        <v>357.64353127694955</v>
      </c>
      <c r="CC73" s="59">
        <f t="shared" si="65"/>
        <v>650.97686461028286</v>
      </c>
      <c r="CD73" s="59">
        <f ca="1">AVERAGE(OFFSET($CC$3,0,0,'Données projet'!$E$12+1,1))-AVERAGE(OFFSET($H$3,0,0,'Données projet'!$E$12+1,1))</f>
        <v>292.61712942007972</v>
      </c>
      <c r="CE73" s="59">
        <f t="shared" si="94"/>
        <v>152.23954167722536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14</v>
      </c>
      <c r="CH73" s="16">
        <f>IF(ISNA(VLOOKUP(A73,'Données projet'!$A$113:$I$133,5,0)),0%,VLOOKUP(A73,'Données projet'!$A$113:$I$133,5,0)*VLOOKUP('Données projet'!$B$12,Paramètres!$A$1:$I$89,7,0))</f>
        <v>8.6000000000000007E-2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2.3596509490900184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2.3596509490900184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172</v>
      </c>
      <c r="CR73" s="12">
        <f>VLOOKUP(A73,'Données projet'!$A$139:$I$159,9,0)</f>
        <v>5</v>
      </c>
      <c r="CS73" s="12">
        <f t="array" ref="CS73">INDEX(CR:CR,MIN(IF(ISNUMBER(CR73:CR269),ROW(CR73:CR269),"")))</f>
        <v>5</v>
      </c>
      <c r="CT73" s="12">
        <f>IF('Données projet'!$A$140&gt;35,CT72+CS73-DB72,IF(A73&lt;'Données projet'!$A$140,$CQ$205^A73,IF(A73='Données projet'!$A$140,'Données projet'!$B$140,CT72+CS73-DB72)))</f>
        <v>172</v>
      </c>
      <c r="CU73" s="17">
        <f>CT73*VLOOKUP('Données projet'!$B$13,Paramètres!$A$1:$I$89,3,0)*VLOOKUP('Données projet'!$B$13,Paramètres!$A$1:$I$89,5,0)</f>
        <v>166.35840000000002</v>
      </c>
      <c r="CV73" s="13">
        <f t="shared" si="95"/>
        <v>42.27340131152765</v>
      </c>
      <c r="CW73" s="20">
        <f t="shared" si="67"/>
        <v>363.3670539509107</v>
      </c>
      <c r="CX73" s="59">
        <f t="shared" si="68"/>
        <v>656.70038728424402</v>
      </c>
      <c r="CY73" s="59">
        <f ca="1">AVERAGE(OFFSET($CX$3,0,0,'Données projet'!$E$13+1,1))-AVERAGE(OFFSET($H$3,0,0,'Données projet'!$E$13+1,1))</f>
        <v>296.78766823247003</v>
      </c>
      <c r="CZ73" s="59">
        <f t="shared" si="96"/>
        <v>154.08406475869634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14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229.61973863654862</v>
      </c>
      <c r="T74" s="59">
        <f t="shared" si="88"/>
        <v>254.08208375594052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73.328626492011054</v>
      </c>
      <c r="AA74" s="21">
        <f>EXP(-LN(2)/25)*AA73+(1-EXP(-LN(2)/25))/(LN(2)/25)*Calculateur!V74*Calculateur!X74*VLOOKUP('Données projet'!$B$9,Paramètres!$A$1:$I$89,3,0)*0.475*44/12</f>
        <v>43.939389885745676</v>
      </c>
      <c r="AB74" s="21">
        <f>EXP(-LN(2)/2)*AB73+(1-EXP(-LN(2)/2))/(LN(2)/2)*V74*Y74*VLOOKUP('Données projet'!$B$9,Paramètres!$A$1:$I$89,3,0)*0.475*44/12</f>
        <v>1.2156415782097139</v>
      </c>
      <c r="AC74" s="22">
        <f t="shared" si="57"/>
        <v>118.48365795596645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2.2737367544323206E-13</v>
      </c>
      <c r="AJ74" s="13">
        <f>AI74*VLOOKUP('Données projet'!$B$10,Paramètres!$A$1:$I$89,3,0)*VLOOKUP('Données projet'!$B$10,Paramètres!$A$1:$I$89,5,0)</f>
        <v>1.3596945791505279E-13</v>
      </c>
      <c r="AK74" s="13">
        <f t="shared" si="89"/>
        <v>1.9708830566360721E-12</v>
      </c>
      <c r="AL74" s="20">
        <f t="shared" si="58"/>
        <v>3.669434796176543E-12</v>
      </c>
      <c r="AM74" s="59">
        <f t="shared" si="59"/>
        <v>293.33333333333701</v>
      </c>
      <c r="AN74" s="59">
        <f ca="1">AVERAGE(OFFSET($AM$3,0,0,'Données projet'!$E$10+1,1))-AVERAGE(OFFSET($H$3,0,0,'Données projet'!$E$10+1,1))</f>
        <v>348.76139845974495</v>
      </c>
      <c r="AO74" s="59">
        <f t="shared" si="90"/>
        <v>398.5142967182872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142.19027104595904</v>
      </c>
      <c r="AV74" s="21">
        <f>EXP(-LN(2)/25)*AV73+(1-EXP(-LN(2)/25))/(LN(2)/25)*Calculateur!AQ74*Calculateur!AS74*VLOOKUP('Données projet'!$B$10,Paramètres!$A$1:$I$89,3,0)*0.475*44/12</f>
        <v>41.902257986730923</v>
      </c>
      <c r="AW74" s="21">
        <f>EXP(-LN(2)/2)*AW73+(1-EXP(-LN(2)/2))/(LN(2)/2)*AQ74*AT74*VLOOKUP('Données projet'!$B$10,Paramètres!$A$1:$I$89,3,0)*0.475*44/12</f>
        <v>1.0522757773026736</v>
      </c>
      <c r="AX74" s="21">
        <f t="shared" si="60"/>
        <v>185.14480480999262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227.19999999999996</v>
      </c>
      <c r="BE74" s="13">
        <f>BD74*VLOOKUP('Données projet'!$B$11,Paramètres!$A$1:$I$89,3,0)*VLOOKUP('Données projet'!$B$11,Paramètres!$A$1:$I$89,5,0)</f>
        <v>230.38079999999997</v>
      </c>
      <c r="BF74" s="13">
        <f t="shared" si="91"/>
        <v>56.365011465139979</v>
      </c>
      <c r="BG74" s="20">
        <f t="shared" si="61"/>
        <v>499.41562163511867</v>
      </c>
      <c r="BH74" s="59">
        <f t="shared" si="62"/>
        <v>792.74895496845193</v>
      </c>
      <c r="BI74" s="59">
        <f ca="1">AVERAGE(OFFSET($BH$3,0,0,'Données projet'!$E$11+1,1))-AVERAGE(OFFSET($H$3,0,0,'Données projet'!$E$11+1,1))</f>
        <v>413.81510455446738</v>
      </c>
      <c r="BJ74" s="59">
        <f t="shared" si="92"/>
        <v>254.25036207346602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18.334144919956202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18.334144919956202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</v>
      </c>
      <c r="BY74" s="12">
        <f>IF('Données projet'!$A$114&gt;35,BY73+BX74-CG73,IF(A74&lt;'Données projet'!$A$114,$BV$205^A74,IF(A74='Données projet'!$A$114,'Données projet'!$B$114,BY73+BX74-CG73)))</f>
        <v>163</v>
      </c>
      <c r="BZ74" s="13">
        <f>BY74*VLOOKUP('Données projet'!$B$12,Paramètres!$A$1:$I$89,3,0)*VLOOKUP('Données projet'!$B$12,Paramètres!$A$1:$I$89,5,0)</f>
        <v>155.11079999999998</v>
      </c>
      <c r="CA74" s="13">
        <f t="shared" si="93"/>
        <v>39.737758807485029</v>
      </c>
      <c r="CB74" s="20">
        <f t="shared" si="64"/>
        <v>339.36123992303641</v>
      </c>
      <c r="CC74" s="59">
        <f t="shared" si="65"/>
        <v>632.69457325636972</v>
      </c>
      <c r="CD74" s="59">
        <f ca="1">AVERAGE(OFFSET($CC$3,0,0,'Données projet'!$E$12+1,1))-AVERAGE(OFFSET($H$3,0,0,'Données projet'!$E$12+1,1))</f>
        <v>292.61712942007972</v>
      </c>
      <c r="CE74" s="59">
        <f t="shared" si="94"/>
        <v>152.23954167722536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2.3133796332233283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2.3133796332233283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</v>
      </c>
      <c r="CT74" s="12">
        <f>IF('Données projet'!$A$140&gt;35,CT73+CS74-DB73,IF(A74&lt;'Données projet'!$A$140,$CQ$205^A74,IF(A74='Données projet'!$A$140,'Données projet'!$B$140,CT73+CS74-DB73)))</f>
        <v>163</v>
      </c>
      <c r="CU74" s="17">
        <f>CT74*VLOOKUP('Données projet'!$B$13,Paramètres!$A$1:$I$89,3,0)*VLOOKUP('Données projet'!$B$13,Paramètres!$A$1:$I$89,5,0)</f>
        <v>157.65360000000001</v>
      </c>
      <c r="CV74" s="13">
        <f t="shared" si="95"/>
        <v>40.31282414727238</v>
      </c>
      <c r="CW74" s="20">
        <f t="shared" si="67"/>
        <v>344.79152205649939</v>
      </c>
      <c r="CX74" s="59">
        <f t="shared" si="68"/>
        <v>638.12485538983265</v>
      </c>
      <c r="CY74" s="59">
        <f ca="1">AVERAGE(OFFSET($CX$3,0,0,'Données projet'!$E$13+1,1))-AVERAGE(OFFSET($H$3,0,0,'Données projet'!$E$13+1,1))</f>
        <v>296.78766823247003</v>
      </c>
      <c r="CZ74" s="59">
        <f t="shared" si="96"/>
        <v>154.08406475869634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229.61973863654862</v>
      </c>
      <c r="T75" s="59">
        <f t="shared" si="88"/>
        <v>254.08208375594052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71.890696852548544</v>
      </c>
      <c r="AA75" s="21">
        <f>EXP(-LN(2)/25)*AA74+(1-EXP(-LN(2)/25))/(LN(2)/25)*Calculateur!V75*Calculateur!X75*VLOOKUP('Données projet'!$B$9,Paramètres!$A$1:$I$89,3,0)*0.475*44/12</f>
        <v>42.737864958647869</v>
      </c>
      <c r="AB75" s="21">
        <f>EXP(-LN(2)/2)*AB74+(1-EXP(-LN(2)/2))/(LN(2)/2)*V75*Y75*VLOOKUP('Données projet'!$B$9,Paramètres!$A$1:$I$89,3,0)*0.475*44/12</f>
        <v>0.85958840344440546</v>
      </c>
      <c r="AC75" s="22">
        <f t="shared" si="57"/>
        <v>115.48815021464083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2.2737367544323206E-13</v>
      </c>
      <c r="AJ75" s="13">
        <f>AI75*VLOOKUP('Données projet'!$B$10,Paramètres!$A$1:$I$89,3,0)*VLOOKUP('Données projet'!$B$10,Paramètres!$A$1:$I$89,5,0)</f>
        <v>1.3596945791505279E-13</v>
      </c>
      <c r="AK75" s="13">
        <f t="shared" si="89"/>
        <v>1.9708830566360721E-12</v>
      </c>
      <c r="AL75" s="20">
        <f t="shared" si="58"/>
        <v>3.669434796176543E-12</v>
      </c>
      <c r="AM75" s="59">
        <f t="shared" si="59"/>
        <v>293.33333333333701</v>
      </c>
      <c r="AN75" s="59">
        <f ca="1">AVERAGE(OFFSET($AM$3,0,0,'Données projet'!$E$10+1,1))-AVERAGE(OFFSET($H$3,0,0,'Données projet'!$E$10+1,1))</f>
        <v>348.76139845974495</v>
      </c>
      <c r="AO75" s="59">
        <f t="shared" si="90"/>
        <v>398.5142967182872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139.4020065582495</v>
      </c>
      <c r="AV75" s="21">
        <f>EXP(-LN(2)/25)*AV74+(1-EXP(-LN(2)/25))/(LN(2)/25)*Calculateur!AQ75*Calculateur!AS75*VLOOKUP('Données projet'!$B$10,Paramètres!$A$1:$I$89,3,0)*0.475*44/12</f>
        <v>40.75643853853979</v>
      </c>
      <c r="AW75" s="21">
        <f>EXP(-LN(2)/2)*AW74+(1-EXP(-LN(2)/2))/(LN(2)/2)*AQ75*AT75*VLOOKUP('Données projet'!$B$10,Paramètres!$A$1:$I$89,3,0)*0.475*44/12</f>
        <v>0.74407133780906587</v>
      </c>
      <c r="AX75" s="21">
        <f t="shared" si="60"/>
        <v>180.90251643459834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233.39999999999995</v>
      </c>
      <c r="BE75" s="13">
        <f>BD75*VLOOKUP('Données projet'!$B$11,Paramètres!$A$1:$I$89,3,0)*VLOOKUP('Données projet'!$B$11,Paramètres!$A$1:$I$89,5,0)</f>
        <v>236.66759999999996</v>
      </c>
      <c r="BF75" s="13">
        <f t="shared" si="91"/>
        <v>57.721965974560838</v>
      </c>
      <c r="BG75" s="20">
        <f t="shared" si="61"/>
        <v>512.72849407236004</v>
      </c>
      <c r="BH75" s="59">
        <f t="shared" si="62"/>
        <v>806.06182740569329</v>
      </c>
      <c r="BI75" s="59">
        <f ca="1">AVERAGE(OFFSET($BH$3,0,0,'Données projet'!$E$11+1,1))-AVERAGE(OFFSET($H$3,0,0,'Données projet'!$E$11+1,1))</f>
        <v>413.81510455446738</v>
      </c>
      <c r="BJ75" s="59">
        <f t="shared" si="92"/>
        <v>254.25036207346602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17.974623520800058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17.974623520800058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</v>
      </c>
      <c r="BY75" s="12">
        <f>IF('Données projet'!$A$114&gt;35,BY74+BX75-CG74,IF(A75&lt;'Données projet'!$A$114,$BV$205^A75,IF(A75='Données projet'!$A$114,'Données projet'!$B$114,BY74+BX75-CG74)))</f>
        <v>168</v>
      </c>
      <c r="BZ75" s="13">
        <f>BY75*VLOOKUP('Données projet'!$B$12,Paramètres!$A$1:$I$89,3,0)*VLOOKUP('Données projet'!$B$12,Paramètres!$A$1:$I$89,5,0)</f>
        <v>159.86880000000002</v>
      </c>
      <c r="CA75" s="13">
        <f t="shared" si="93"/>
        <v>40.812921467768035</v>
      </c>
      <c r="CB75" s="20">
        <f t="shared" si="64"/>
        <v>349.52066488969604</v>
      </c>
      <c r="CC75" s="59">
        <f t="shared" si="65"/>
        <v>642.85399822302929</v>
      </c>
      <c r="CD75" s="59">
        <f ca="1">AVERAGE(OFFSET($CC$3,0,0,'Données projet'!$E$12+1,1))-AVERAGE(OFFSET($H$3,0,0,'Données projet'!$E$12+1,1))</f>
        <v>292.61712942007972</v>
      </c>
      <c r="CE75" s="59">
        <f t="shared" si="94"/>
        <v>152.23954167722536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2.2680156696380682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2.2680156696380682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</v>
      </c>
      <c r="CT75" s="12">
        <f>IF('Données projet'!$A$140&gt;35,CT74+CS75-DB74,IF(A75&lt;'Données projet'!$A$140,$CQ$205^A75,IF(A75='Données projet'!$A$140,'Données projet'!$B$140,CT74+CS75-DB74)))</f>
        <v>168</v>
      </c>
      <c r="CU75" s="17">
        <f>CT75*VLOOKUP('Données projet'!$B$13,Paramètres!$A$1:$I$89,3,0)*VLOOKUP('Données projet'!$B$13,Paramètres!$A$1:$I$89,5,0)</f>
        <v>162.4896</v>
      </c>
      <c r="CV75" s="13">
        <f t="shared" si="95"/>
        <v>41.403546033820696</v>
      </c>
      <c r="CW75" s="20">
        <f t="shared" si="67"/>
        <v>355.11389600890431</v>
      </c>
      <c r="CX75" s="59">
        <f t="shared" si="68"/>
        <v>648.44722934223762</v>
      </c>
      <c r="CY75" s="59">
        <f ca="1">AVERAGE(OFFSET($CX$3,0,0,'Données projet'!$E$13+1,1))-AVERAGE(OFFSET($H$3,0,0,'Données projet'!$E$13+1,1))</f>
        <v>296.78766823247003</v>
      </c>
      <c r="CZ75" s="59">
        <f t="shared" si="96"/>
        <v>154.08406475869634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229.61973863654862</v>
      </c>
      <c r="T76" s="59">
        <f t="shared" si="88"/>
        <v>254.08208375594052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70.480964136265413</v>
      </c>
      <c r="AA76" s="21">
        <f>EXP(-LN(2)/25)*AA75+(1-EXP(-LN(2)/25))/(LN(2)/25)*Calculateur!V76*Calculateur!X76*VLOOKUP('Données projet'!$B$9,Paramètres!$A$1:$I$89,3,0)*0.475*44/12</f>
        <v>41.569195793867003</v>
      </c>
      <c r="AB76" s="21">
        <f>EXP(-LN(2)/2)*AB75+(1-EXP(-LN(2)/2))/(LN(2)/2)*V76*Y76*VLOOKUP('Données projet'!$B$9,Paramètres!$A$1:$I$89,3,0)*0.475*44/12</f>
        <v>0.60782078910485704</v>
      </c>
      <c r="AC76" s="22">
        <f t="shared" si="57"/>
        <v>112.65798071923729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2.2737367544323206E-13</v>
      </c>
      <c r="AJ76" s="13">
        <f>AI76*VLOOKUP('Données projet'!$B$10,Paramètres!$A$1:$I$89,3,0)*VLOOKUP('Données projet'!$B$10,Paramètres!$A$1:$I$89,5,0)</f>
        <v>1.3596945791505279E-13</v>
      </c>
      <c r="AK76" s="13">
        <f t="shared" si="89"/>
        <v>1.9708830566360721E-12</v>
      </c>
      <c r="AL76" s="20">
        <f t="shared" si="58"/>
        <v>3.669434796176543E-12</v>
      </c>
      <c r="AM76" s="59">
        <f t="shared" si="59"/>
        <v>293.33333333333701</v>
      </c>
      <c r="AN76" s="59">
        <f ca="1">AVERAGE(OFFSET($AM$3,0,0,'Données projet'!$E$10+1,1))-AVERAGE(OFFSET($H$3,0,0,'Données projet'!$E$10+1,1))</f>
        <v>348.76139845974495</v>
      </c>
      <c r="AO76" s="59">
        <f t="shared" si="90"/>
        <v>398.5142967182872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136.66841823647053</v>
      </c>
      <c r="AV76" s="21">
        <f>EXP(-LN(2)/25)*AV75+(1-EXP(-LN(2)/25))/(LN(2)/25)*Calculateur!AQ76*Calculateur!AS76*VLOOKUP('Données projet'!$B$10,Paramètres!$A$1:$I$89,3,0)*0.475*44/12</f>
        <v>39.641951583415469</v>
      </c>
      <c r="AW76" s="21">
        <f>EXP(-LN(2)/2)*AW75+(1-EXP(-LN(2)/2))/(LN(2)/2)*AQ76*AT76*VLOOKUP('Données projet'!$B$10,Paramètres!$A$1:$I$89,3,0)*0.475*44/12</f>
        <v>0.52613788865133682</v>
      </c>
      <c r="AX76" s="21">
        <f t="shared" si="60"/>
        <v>176.83650770853734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239.59999999999994</v>
      </c>
      <c r="BE76" s="13">
        <f>BD76*VLOOKUP('Données projet'!$B$11,Paramètres!$A$1:$I$89,3,0)*VLOOKUP('Données projet'!$B$11,Paramètres!$A$1:$I$89,5,0)</f>
        <v>242.95439999999994</v>
      </c>
      <c r="BF76" s="13">
        <f t="shared" si="91"/>
        <v>59.074730698078945</v>
      </c>
      <c r="BG76" s="20">
        <f t="shared" si="61"/>
        <v>526.034069299154</v>
      </c>
      <c r="BH76" s="59">
        <f t="shared" si="62"/>
        <v>819.36740263248726</v>
      </c>
      <c r="BI76" s="59">
        <f ca="1">AVERAGE(OFFSET($BH$3,0,0,'Données projet'!$E$11+1,1))-AVERAGE(OFFSET($H$3,0,0,'Données projet'!$E$11+1,1))</f>
        <v>413.81510455446738</v>
      </c>
      <c r="BJ76" s="59">
        <f t="shared" si="92"/>
        <v>254.25036207346602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17.622152116994968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17.622152116994968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</v>
      </c>
      <c r="BY76" s="12">
        <f>IF('Données projet'!$A$114&gt;35,BY75+BX76-CG75,IF(A76&lt;'Données projet'!$A$114,$BV$205^A76,IF(A76='Données projet'!$A$114,'Données projet'!$B$114,BY75+BX76-CG75)))</f>
        <v>173</v>
      </c>
      <c r="BZ76" s="13">
        <f>BY76*VLOOKUP('Données projet'!$B$12,Paramètres!$A$1:$I$89,3,0)*VLOOKUP('Données projet'!$B$12,Paramètres!$A$1:$I$89,5,0)</f>
        <v>164.6268</v>
      </c>
      <c r="CA76" s="13">
        <f t="shared" si="93"/>
        <v>41.884365321551833</v>
      </c>
      <c r="CB76" s="20">
        <f t="shared" si="64"/>
        <v>359.67361293503609</v>
      </c>
      <c r="CC76" s="59">
        <f t="shared" si="65"/>
        <v>653.00694626836935</v>
      </c>
      <c r="CD76" s="59">
        <f ca="1">AVERAGE(OFFSET($CC$3,0,0,'Données projet'!$E$12+1,1))-AVERAGE(OFFSET($H$3,0,0,'Données projet'!$E$12+1,1))</f>
        <v>292.61712942007972</v>
      </c>
      <c r="CE76" s="59">
        <f t="shared" si="94"/>
        <v>152.23954167722536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2.2235412657094296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2.2235412657094296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</v>
      </c>
      <c r="CT76" s="12">
        <f>IF('Données projet'!$A$140&gt;35,CT75+CS76-DB75,IF(A76&lt;'Données projet'!$A$140,$CQ$205^A76,IF(A76='Données projet'!$A$140,'Données projet'!$B$140,CT75+CS76-DB75)))</f>
        <v>173</v>
      </c>
      <c r="CU76" s="17">
        <f>CT76*VLOOKUP('Données projet'!$B$13,Paramètres!$A$1:$I$89,3,0)*VLOOKUP('Données projet'!$B$13,Paramètres!$A$1:$I$89,5,0)</f>
        <v>167.32560000000001</v>
      </c>
      <c r="CV76" s="13">
        <f t="shared" si="95"/>
        <v>42.490495297127609</v>
      </c>
      <c r="CW76" s="20">
        <f t="shared" si="67"/>
        <v>365.42969930916388</v>
      </c>
      <c r="CX76" s="59">
        <f t="shared" si="68"/>
        <v>658.76303264249714</v>
      </c>
      <c r="CY76" s="59">
        <f ca="1">AVERAGE(OFFSET($CX$3,0,0,'Données projet'!$E$13+1,1))-AVERAGE(OFFSET($H$3,0,0,'Données projet'!$E$13+1,1))</f>
        <v>296.78766823247003</v>
      </c>
      <c r="CZ76" s="59">
        <f t="shared" si="96"/>
        <v>154.08406475869634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229.61973863654862</v>
      </c>
      <c r="T77" s="59">
        <f t="shared" si="88"/>
        <v>254.08208375594052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69.098875418696551</v>
      </c>
      <c r="AA77" s="21">
        <f>EXP(-LN(2)/25)*AA76+(1-EXP(-LN(2)/25))/(LN(2)/25)*Calculateur!V77*Calculateur!X77*VLOOKUP('Données projet'!$B$9,Paramètres!$A$1:$I$89,3,0)*0.475*44/12</f>
        <v>40.43248394885471</v>
      </c>
      <c r="AB77" s="21">
        <f>EXP(-LN(2)/2)*AB76+(1-EXP(-LN(2)/2))/(LN(2)/2)*V77*Y77*VLOOKUP('Données projet'!$B$9,Paramètres!$A$1:$I$89,3,0)*0.475*44/12</f>
        <v>0.42979420172220284</v>
      </c>
      <c r="AC77" s="22">
        <f t="shared" si="57"/>
        <v>109.96115356927346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2.2737367544323206E-13</v>
      </c>
      <c r="AJ77" s="13">
        <f>AI77*VLOOKUP('Données projet'!$B$10,Paramètres!$A$1:$I$89,3,0)*VLOOKUP('Données projet'!$B$10,Paramètres!$A$1:$I$89,5,0)</f>
        <v>1.3596945791505279E-13</v>
      </c>
      <c r="AK77" s="13">
        <f t="shared" si="89"/>
        <v>1.9708830566360721E-12</v>
      </c>
      <c r="AL77" s="20">
        <f t="shared" si="58"/>
        <v>3.669434796176543E-12</v>
      </c>
      <c r="AM77" s="59">
        <f t="shared" si="59"/>
        <v>293.33333333333701</v>
      </c>
      <c r="AN77" s="59">
        <f ca="1">AVERAGE(OFFSET($AM$3,0,0,'Données projet'!$E$10+1,1))-AVERAGE(OFFSET($H$3,0,0,'Données projet'!$E$10+1,1))</f>
        <v>348.76139845974495</v>
      </c>
      <c r="AO77" s="59">
        <f t="shared" si="90"/>
        <v>398.5142967182872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133.98843391435739</v>
      </c>
      <c r="AV77" s="21">
        <f>EXP(-LN(2)/25)*AV76+(1-EXP(-LN(2)/25))/(LN(2)/25)*Calculateur!AQ77*Calculateur!AS77*VLOOKUP('Données projet'!$B$10,Paramètres!$A$1:$I$89,3,0)*0.475*44/12</f>
        <v>38.557940332687345</v>
      </c>
      <c r="AW77" s="21">
        <f>EXP(-LN(2)/2)*AW76+(1-EXP(-LN(2)/2))/(LN(2)/2)*AQ77*AT77*VLOOKUP('Données projet'!$B$10,Paramètres!$A$1:$I$89,3,0)*0.475*44/12</f>
        <v>0.37203566890453293</v>
      </c>
      <c r="AX77" s="21">
        <f t="shared" si="60"/>
        <v>172.91840991594927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245.79999999999993</v>
      </c>
      <c r="BE77" s="13">
        <f>BD77*VLOOKUP('Données projet'!$B$11,Paramètres!$A$1:$I$89,3,0)*VLOOKUP('Données projet'!$B$11,Paramètres!$A$1:$I$89,5,0)</f>
        <v>249.24119999999994</v>
      </c>
      <c r="BF77" s="13">
        <f t="shared" si="91"/>
        <v>60.42342651744692</v>
      </c>
      <c r="BG77" s="20">
        <f t="shared" si="61"/>
        <v>539.33255785121992</v>
      </c>
      <c r="BH77" s="59">
        <f t="shared" si="62"/>
        <v>832.66589118455317</v>
      </c>
      <c r="BI77" s="59">
        <f ca="1">AVERAGE(OFFSET($BH$3,0,0,'Données projet'!$E$11+1,1))-AVERAGE(OFFSET($H$3,0,0,'Données projet'!$E$11+1,1))</f>
        <v>413.81510455446738</v>
      </c>
      <c r="BJ77" s="59">
        <f t="shared" si="92"/>
        <v>254.25036207346602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17.276592462432166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17.276592462432166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</v>
      </c>
      <c r="BY77" s="12">
        <f>IF('Données projet'!$A$114&gt;35,BY76+BX77-CG76,IF(A77&lt;'Données projet'!$A$114,$BV$205^A77,IF(A77='Données projet'!$A$114,'Données projet'!$B$114,BY76+BX77-CG76)))</f>
        <v>178</v>
      </c>
      <c r="BZ77" s="13">
        <f>BY77*VLOOKUP('Données projet'!$B$12,Paramètres!$A$1:$I$89,3,0)*VLOOKUP('Données projet'!$B$12,Paramètres!$A$1:$I$89,5,0)</f>
        <v>169.38480000000001</v>
      </c>
      <c r="CA77" s="13">
        <f t="shared" si="93"/>
        <v>42.952210191662466</v>
      </c>
      <c r="CB77" s="20">
        <f t="shared" si="64"/>
        <v>369.82029275047876</v>
      </c>
      <c r="CC77" s="59">
        <f t="shared" si="65"/>
        <v>663.15362608381201</v>
      </c>
      <c r="CD77" s="59">
        <f ca="1">AVERAGE(OFFSET($CC$3,0,0,'Données projet'!$E$12+1,1))-AVERAGE(OFFSET($H$3,0,0,'Données projet'!$E$12+1,1))</f>
        <v>292.61712942007972</v>
      </c>
      <c r="CE77" s="59">
        <f t="shared" si="94"/>
        <v>152.23954167722536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2.1799389777151235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2.1799389777151235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</v>
      </c>
      <c r="CT77" s="12">
        <f>IF('Données projet'!$A$140&gt;35,CT76+CS77-DB76,IF(A77&lt;'Données projet'!$A$140,$CQ$205^A77,IF(A77='Données projet'!$A$140,'Données projet'!$B$140,CT76+CS77-DB76)))</f>
        <v>178</v>
      </c>
      <c r="CU77" s="17">
        <f>CT77*VLOOKUP('Données projet'!$B$13,Paramètres!$A$1:$I$89,3,0)*VLOOKUP('Données projet'!$B$13,Paramètres!$A$1:$I$89,5,0)</f>
        <v>172.16159999999999</v>
      </c>
      <c r="CV77" s="13">
        <f t="shared" si="95"/>
        <v>43.57379349403616</v>
      </c>
      <c r="CW77" s="20">
        <f t="shared" si="67"/>
        <v>375.7391436687796</v>
      </c>
      <c r="CX77" s="59">
        <f t="shared" si="68"/>
        <v>669.07247700211292</v>
      </c>
      <c r="CY77" s="59">
        <f ca="1">AVERAGE(OFFSET($CX$3,0,0,'Données projet'!$E$13+1,1))-AVERAGE(OFFSET($H$3,0,0,'Données projet'!$E$13+1,1))</f>
        <v>296.78766823247003</v>
      </c>
      <c r="CZ77" s="59">
        <f t="shared" si="96"/>
        <v>154.08406475869634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229.61973863654862</v>
      </c>
      <c r="T78" s="59">
        <f t="shared" si="88"/>
        <v>254.08208375594052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67.743888617888331</v>
      </c>
      <c r="AA78" s="21">
        <f>EXP(-LN(2)/25)*AA77+(1-EXP(-LN(2)/25))/(LN(2)/25)*Calculateur!V78*Calculateur!X78*VLOOKUP('Données projet'!$B$9,Paramètres!$A$1:$I$89,3,0)*0.475*44/12</f>
        <v>39.32685554902136</v>
      </c>
      <c r="AB78" s="21">
        <f>EXP(-LN(2)/2)*AB77+(1-EXP(-LN(2)/2))/(LN(2)/2)*V78*Y78*VLOOKUP('Données projet'!$B$9,Paramètres!$A$1:$I$89,3,0)*0.475*44/12</f>
        <v>0.30391039455242858</v>
      </c>
      <c r="AC78" s="22">
        <f t="shared" si="57"/>
        <v>107.37465456146212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2.2737367544323206E-13</v>
      </c>
      <c r="AJ78" s="13">
        <f>AI78*VLOOKUP('Données projet'!$B$10,Paramètres!$A$1:$I$89,3,0)*VLOOKUP('Données projet'!$B$10,Paramètres!$A$1:$I$89,5,0)</f>
        <v>1.3596945791505279E-13</v>
      </c>
      <c r="AK78" s="13">
        <f t="shared" si="89"/>
        <v>1.9708830566360721E-12</v>
      </c>
      <c r="AL78" s="20">
        <f t="shared" si="58"/>
        <v>3.669434796176543E-12</v>
      </c>
      <c r="AM78" s="59">
        <f t="shared" si="59"/>
        <v>293.33333333333701</v>
      </c>
      <c r="AN78" s="59">
        <f ca="1">AVERAGE(OFFSET($AM$3,0,0,'Données projet'!$E$10+1,1))-AVERAGE(OFFSET($H$3,0,0,'Données projet'!$E$10+1,1))</f>
        <v>348.76139845974495</v>
      </c>
      <c r="AO78" s="59">
        <f t="shared" si="90"/>
        <v>398.5142967182872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131.36100245017187</v>
      </c>
      <c r="AV78" s="21">
        <f>EXP(-LN(2)/25)*AV77+(1-EXP(-LN(2)/25))/(LN(2)/25)*Calculateur!AQ78*Calculateur!AS78*VLOOKUP('Données projet'!$B$10,Paramètres!$A$1:$I$89,3,0)*0.475*44/12</f>
        <v>37.503571426616055</v>
      </c>
      <c r="AW78" s="21">
        <f>EXP(-LN(2)/2)*AW77+(1-EXP(-LN(2)/2))/(LN(2)/2)*AQ78*AT78*VLOOKUP('Données projet'!$B$10,Paramètres!$A$1:$I$89,3,0)*0.475*44/12</f>
        <v>0.26306894432566841</v>
      </c>
      <c r="AX78" s="21">
        <f t="shared" si="60"/>
        <v>169.1276428211136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251.99999999999991</v>
      </c>
      <c r="BE78" s="13">
        <f>BD78*VLOOKUP('Données projet'!$B$11,Paramètres!$A$1:$I$89,3,0)*VLOOKUP('Données projet'!$B$11,Paramètres!$A$1:$I$89,5,0)</f>
        <v>255.52799999999993</v>
      </c>
      <c r="BF78" s="13">
        <f t="shared" si="91"/>
        <v>61.768167868721477</v>
      </c>
      <c r="BG78" s="20">
        <f t="shared" si="61"/>
        <v>552.62415903802309</v>
      </c>
      <c r="BH78" s="59">
        <f t="shared" si="62"/>
        <v>845.95749237135647</v>
      </c>
      <c r="BI78" s="59">
        <f ca="1">AVERAGE(OFFSET($BH$3,0,0,'Données projet'!$E$11+1,1))-AVERAGE(OFFSET($H$3,0,0,'Données projet'!$E$11+1,1))</f>
        <v>413.81510455446738</v>
      </c>
      <c r="BJ78" s="59">
        <f t="shared" si="92"/>
        <v>254.25036207346602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21.998884568206311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21.998884568206311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183</v>
      </c>
      <c r="BW78" s="12">
        <f>VLOOKUP(A78,'Données projet'!$A$113:$I$133,9,0)</f>
        <v>5</v>
      </c>
      <c r="BX78" s="12">
        <f t="array" ref="BX78">INDEX(BW:BW,MIN(IF(ISNUMBER(BW78:BW274),ROW(BW78:BW274),"")))</f>
        <v>5</v>
      </c>
      <c r="BY78" s="12">
        <f>IF('Données projet'!$A$114&gt;35,BY77+BX78-CG77,IF(A78&lt;'Données projet'!$A$114,$BV$205^A78,IF(A78='Données projet'!$A$114,'Données projet'!$B$114,BY77+BX78-CG77)))</f>
        <v>183</v>
      </c>
      <c r="BZ78" s="13">
        <f>BY78*VLOOKUP('Données projet'!$B$12,Paramètres!$A$1:$I$89,3,0)*VLOOKUP('Données projet'!$B$12,Paramètres!$A$1:$I$89,5,0)</f>
        <v>174.14279999999999</v>
      </c>
      <c r="CA78" s="13">
        <f t="shared" si="93"/>
        <v>44.016568786329351</v>
      </c>
      <c r="CB78" s="20">
        <f t="shared" si="64"/>
        <v>379.96090063619022</v>
      </c>
      <c r="CC78" s="59">
        <f t="shared" si="65"/>
        <v>673.29423396952348</v>
      </c>
      <c r="CD78" s="59">
        <f ca="1">AVERAGE(OFFSET($CC$3,0,0,'Données projet'!$E$12+1,1))-AVERAGE(OFFSET($H$3,0,0,'Données projet'!$E$12+1,1))</f>
        <v>292.61712942007972</v>
      </c>
      <c r="CE78" s="59">
        <f t="shared" si="94"/>
        <v>152.23954167722536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8.6000000000000007E-2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3.4037583022425366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3.4037583022425366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183</v>
      </c>
      <c r="CR78" s="12">
        <f>VLOOKUP(A78,'Données projet'!$A$139:$I$159,9,0)</f>
        <v>5</v>
      </c>
      <c r="CS78" s="12">
        <f t="array" ref="CS78">INDEX(CR:CR,MIN(IF(ISNUMBER(CR78:CR274),ROW(CR78:CR274),"")))</f>
        <v>5</v>
      </c>
      <c r="CT78" s="12">
        <f>IF('Données projet'!$A$140&gt;35,CT77+CS78-DB77,IF(A78&lt;'Données projet'!$A$140,$CQ$205^A78,IF(A78='Données projet'!$A$140,'Données projet'!$B$140,CT77+CS78-DB77)))</f>
        <v>183</v>
      </c>
      <c r="CU78" s="17">
        <f>CT78*VLOOKUP('Données projet'!$B$13,Paramètres!$A$1:$I$89,3,0)*VLOOKUP('Données projet'!$B$13,Paramètres!$A$1:$I$89,5,0)</f>
        <v>176.99760000000001</v>
      </c>
      <c r="CV78" s="13">
        <f t="shared" si="95"/>
        <v>44.653554963834047</v>
      </c>
      <c r="CW78" s="20">
        <f t="shared" si="67"/>
        <v>386.04242822867764</v>
      </c>
      <c r="CX78" s="59">
        <f t="shared" si="68"/>
        <v>679.37576156201089</v>
      </c>
      <c r="CY78" s="59">
        <f ca="1">AVERAGE(OFFSET($CX$3,0,0,'Données projet'!$E$13+1,1))-AVERAGE(OFFSET($H$3,0,0,'Données projet'!$E$13+1,1))</f>
        <v>296.78766823247003</v>
      </c>
      <c r="CZ78" s="59">
        <f t="shared" si="96"/>
        <v>154.08406475869634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229.61973863654862</v>
      </c>
      <c r="T79" s="59">
        <f t="shared" si="88"/>
        <v>254.08208375594052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66.415472281783622</v>
      </c>
      <c r="AA79" s="21">
        <f>EXP(-LN(2)/25)*AA78+(1-EXP(-LN(2)/25))/(LN(2)/25)*Calculateur!V79*Calculateur!X79*VLOOKUP('Données projet'!$B$9,Paramètres!$A$1:$I$89,3,0)*0.475*44/12</f>
        <v>38.251460615923918</v>
      </c>
      <c r="AB79" s="21">
        <f>EXP(-LN(2)/2)*AB78+(1-EXP(-LN(2)/2))/(LN(2)/2)*V79*Y79*VLOOKUP('Données projet'!$B$9,Paramètres!$A$1:$I$89,3,0)*0.475*44/12</f>
        <v>0.21489710086110145</v>
      </c>
      <c r="AC79" s="22">
        <f t="shared" si="57"/>
        <v>104.88182999856865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2.2737367544323206E-13</v>
      </c>
      <c r="AJ79" s="13">
        <f>AI79*VLOOKUP('Données projet'!$B$10,Paramètres!$A$1:$I$89,3,0)*VLOOKUP('Données projet'!$B$10,Paramètres!$A$1:$I$89,5,0)</f>
        <v>1.3596945791505279E-13</v>
      </c>
      <c r="AK79" s="13">
        <f t="shared" si="89"/>
        <v>1.9708830566360721E-12</v>
      </c>
      <c r="AL79" s="20">
        <f t="shared" si="58"/>
        <v>3.669434796176543E-12</v>
      </c>
      <c r="AM79" s="59">
        <f t="shared" si="59"/>
        <v>293.33333333333701</v>
      </c>
      <c r="AN79" s="59">
        <f ca="1">AVERAGE(OFFSET($AM$3,0,0,'Données projet'!$E$10+1,1))-AVERAGE(OFFSET($H$3,0,0,'Données projet'!$E$10+1,1))</f>
        <v>348.76139845974495</v>
      </c>
      <c r="AO79" s="59">
        <f t="shared" si="90"/>
        <v>398.5142967182872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128.78509331442407</v>
      </c>
      <c r="AV79" s="21">
        <f>EXP(-LN(2)/25)*AV78+(1-EXP(-LN(2)/25))/(LN(2)/25)*Calculateur!AQ79*Calculateur!AS79*VLOOKUP('Données projet'!$B$10,Paramètres!$A$1:$I$89,3,0)*0.475*44/12</f>
        <v>36.478034293728136</v>
      </c>
      <c r="AW79" s="21">
        <f>EXP(-LN(2)/2)*AW78+(1-EXP(-LN(2)/2))/(LN(2)/2)*AQ79*AT79*VLOOKUP('Données projet'!$B$10,Paramètres!$A$1:$I$89,3,0)*0.475*44/12</f>
        <v>0.18601783445226647</v>
      </c>
      <c r="AX79" s="21">
        <f t="shared" si="60"/>
        <v>165.44914544260448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236.99999999999989</v>
      </c>
      <c r="BE79" s="13">
        <f>BD79*VLOOKUP('Données projet'!$B$11,Paramètres!$A$1:$I$89,3,0)*VLOOKUP('Données projet'!$B$11,Paramètres!$A$1:$I$89,5,0)</f>
        <v>240.3179999999999</v>
      </c>
      <c r="BF79" s="13">
        <f t="shared" si="91"/>
        <v>58.507944457766484</v>
      </c>
      <c r="BG79" s="20">
        <f t="shared" si="61"/>
        <v>520.45518659727634</v>
      </c>
      <c r="BH79" s="59">
        <f t="shared" si="62"/>
        <v>813.78851993060971</v>
      </c>
      <c r="BI79" s="59">
        <f ca="1">AVERAGE(OFFSET($BH$3,0,0,'Données projet'!$E$11+1,1))-AVERAGE(OFFSET($H$3,0,0,'Données projet'!$E$11+1,1))</f>
        <v>413.81510455446738</v>
      </c>
      <c r="BJ79" s="59">
        <f t="shared" si="92"/>
        <v>254.25036207346602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21.567499859818454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21.567499859818454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4.5999999999999996</v>
      </c>
      <c r="BY79" s="12">
        <f>IF('Données projet'!$A$114&gt;35,BY78+BX79-CG78,IF(A79&lt;'Données projet'!$A$114,$BV$205^A79,IF(A79='Données projet'!$A$114,'Données projet'!$B$114,BY78+BX79-CG78)))</f>
        <v>173.6</v>
      </c>
      <c r="BZ79" s="13">
        <f>BY79*VLOOKUP('Données projet'!$B$12,Paramètres!$A$1:$I$89,3,0)*VLOOKUP('Données projet'!$B$12,Paramètres!$A$1:$I$89,5,0)</f>
        <v>165.19776000000002</v>
      </c>
      <c r="CA79" s="13">
        <f t="shared" si="93"/>
        <v>42.012694447196324</v>
      </c>
      <c r="CB79" s="20">
        <f t="shared" si="64"/>
        <v>360.8915414955336</v>
      </c>
      <c r="CC79" s="59">
        <f t="shared" si="65"/>
        <v>654.22487482886686</v>
      </c>
      <c r="CD79" s="59">
        <f ca="1">AVERAGE(OFFSET($CC$3,0,0,'Données projet'!$E$12+1,1))-AVERAGE(OFFSET($H$3,0,0,'Données projet'!$E$12+1,1))</f>
        <v>292.61712942007972</v>
      </c>
      <c r="CE79" s="59">
        <f t="shared" si="94"/>
        <v>152.23954167722536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3.3370126780231284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3.3370126780231284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4.5999999999999996</v>
      </c>
      <c r="CT79" s="12">
        <f>IF('Données projet'!$A$140&gt;35,CT78+CS79-DB78,IF(A79&lt;'Données projet'!$A$140,$CQ$205^A79,IF(A79='Données projet'!$A$140,'Données projet'!$B$140,CT78+CS79-DB78)))</f>
        <v>173.6</v>
      </c>
      <c r="CU79" s="17">
        <f>CT79*VLOOKUP('Données projet'!$B$13,Paramètres!$A$1:$I$89,3,0)*VLOOKUP('Données projet'!$B$13,Paramètres!$A$1:$I$89,5,0)</f>
        <v>167.90591999999998</v>
      </c>
      <c r="CV79" s="13">
        <f t="shared" si="95"/>
        <v>42.620681538886721</v>
      </c>
      <c r="CW79" s="20">
        <f t="shared" si="67"/>
        <v>366.66716434689437</v>
      </c>
      <c r="CX79" s="59">
        <f t="shared" si="68"/>
        <v>660.00049768022768</v>
      </c>
      <c r="CY79" s="59">
        <f ca="1">AVERAGE(OFFSET($CX$3,0,0,'Données projet'!$E$13+1,1))-AVERAGE(OFFSET($H$3,0,0,'Données projet'!$E$13+1,1))</f>
        <v>296.78766823247003</v>
      </c>
      <c r="CZ79" s="59">
        <f t="shared" si="96"/>
        <v>154.08406475869634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229.61973863654862</v>
      </c>
      <c r="T80" s="59">
        <f t="shared" si="88"/>
        <v>254.08208375594052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65.113105379775959</v>
      </c>
      <c r="AA80" s="21">
        <f>EXP(-LN(2)/25)*AA79+(1-EXP(-LN(2)/25))/(LN(2)/25)*Calculateur!V80*Calculateur!X80*VLOOKUP('Données projet'!$B$9,Paramètres!$A$1:$I$89,3,0)*0.475*44/12</f>
        <v>37.205472413824587</v>
      </c>
      <c r="AB80" s="21">
        <f>EXP(-LN(2)/2)*AB79+(1-EXP(-LN(2)/2))/(LN(2)/2)*V80*Y80*VLOOKUP('Données projet'!$B$9,Paramètres!$A$1:$I$89,3,0)*0.475*44/12</f>
        <v>0.15195519727621432</v>
      </c>
      <c r="AC80" s="22">
        <f t="shared" si="57"/>
        <v>102.47053299087676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2.2737367544323206E-13</v>
      </c>
      <c r="AJ80" s="13">
        <f>AI80*VLOOKUP('Données projet'!$B$10,Paramètres!$A$1:$I$89,3,0)*VLOOKUP('Données projet'!$B$10,Paramètres!$A$1:$I$89,5,0)</f>
        <v>1.3596945791505279E-13</v>
      </c>
      <c r="AK80" s="13">
        <f t="shared" si="89"/>
        <v>1.9708830566360721E-12</v>
      </c>
      <c r="AL80" s="20">
        <f t="shared" si="58"/>
        <v>3.669434796176543E-12</v>
      </c>
      <c r="AM80" s="59">
        <f t="shared" si="59"/>
        <v>293.33333333333701</v>
      </c>
      <c r="AN80" s="59">
        <f ca="1">AVERAGE(OFFSET($AM$3,0,0,'Données projet'!$E$10+1,1))-AVERAGE(OFFSET($H$3,0,0,'Données projet'!$E$10+1,1))</f>
        <v>348.76139845974495</v>
      </c>
      <c r="AO80" s="59">
        <f t="shared" si="90"/>
        <v>398.5142967182872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126.25969618567886</v>
      </c>
      <c r="AV80" s="21">
        <f>EXP(-LN(2)/25)*AV79+(1-EXP(-LN(2)/25))/(LN(2)/25)*Calculateur!AQ80*Calculateur!AS80*VLOOKUP('Données projet'!$B$10,Paramètres!$A$1:$I$89,3,0)*0.475*44/12</f>
        <v>35.480540527669689</v>
      </c>
      <c r="AW80" s="21">
        <f>EXP(-LN(2)/2)*AW79+(1-EXP(-LN(2)/2))/(LN(2)/2)*AQ80*AT80*VLOOKUP('Données projet'!$B$10,Paramètres!$A$1:$I$89,3,0)*0.475*44/12</f>
        <v>0.1315344721628342</v>
      </c>
      <c r="AX80" s="21">
        <f t="shared" si="60"/>
        <v>161.87177118551139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242.99999999999989</v>
      </c>
      <c r="BE80" s="13">
        <f>BD80*VLOOKUP('Données projet'!$B$11,Paramètres!$A$1:$I$89,3,0)*VLOOKUP('Données projet'!$B$11,Paramètres!$A$1:$I$89,5,0)</f>
        <v>246.4019999999999</v>
      </c>
      <c r="BF80" s="13">
        <f t="shared" si="91"/>
        <v>59.814834475385474</v>
      </c>
      <c r="BG80" s="20">
        <f t="shared" si="61"/>
        <v>533.32765337796286</v>
      </c>
      <c r="BH80" s="59">
        <f t="shared" si="62"/>
        <v>826.66098671129612</v>
      </c>
      <c r="BI80" s="59">
        <f ca="1">AVERAGE(OFFSET($BH$3,0,0,'Données projet'!$E$11+1,1))-AVERAGE(OFFSET($H$3,0,0,'Données projet'!$E$11+1,1))</f>
        <v>413.81510455446738</v>
      </c>
      <c r="BJ80" s="59">
        <f t="shared" si="92"/>
        <v>254.25036207346602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21.144574342443391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21.144574342443391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4.5999999999999996</v>
      </c>
      <c r="BY80" s="12">
        <f>IF('Données projet'!$A$114&gt;35,BY79+BX80-CG79,IF(A80&lt;'Données projet'!$A$114,$BV$205^A80,IF(A80='Données projet'!$A$114,'Données projet'!$B$114,BY79+BX80-CG79)))</f>
        <v>178.2</v>
      </c>
      <c r="BZ80" s="13">
        <f>BY80*VLOOKUP('Données projet'!$B$12,Paramètres!$A$1:$I$89,3,0)*VLOOKUP('Données projet'!$B$12,Paramètres!$A$1:$I$89,5,0)</f>
        <v>169.57511999999997</v>
      </c>
      <c r="CA80" s="13">
        <f t="shared" si="93"/>
        <v>42.994850744606339</v>
      </c>
      <c r="CB80" s="20">
        <f t="shared" si="64"/>
        <v>370.22603238018934</v>
      </c>
      <c r="CC80" s="59">
        <f t="shared" si="65"/>
        <v>663.55936571352265</v>
      </c>
      <c r="CD80" s="59">
        <f ca="1">AVERAGE(OFFSET($CC$3,0,0,'Données projet'!$E$12+1,1))-AVERAGE(OFFSET($H$3,0,0,'Données projet'!$E$12+1,1))</f>
        <v>292.61712942007972</v>
      </c>
      <c r="CE80" s="59">
        <f t="shared" si="94"/>
        <v>152.23954167722536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3.2715758947838518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3.2715758947838518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4.5999999999999996</v>
      </c>
      <c r="CT80" s="12">
        <f>IF('Données projet'!$A$140&gt;35,CT79+CS80-DB79,IF(A80&lt;'Données projet'!$A$140,$CQ$205^A80,IF(A80='Données projet'!$A$140,'Données projet'!$B$140,CT79+CS80-DB79)))</f>
        <v>178.2</v>
      </c>
      <c r="CU80" s="17">
        <f>CT80*VLOOKUP('Données projet'!$B$13,Paramètres!$A$1:$I$89,3,0)*VLOOKUP('Données projet'!$B$13,Paramètres!$A$1:$I$89,5,0)</f>
        <v>172.35504</v>
      </c>
      <c r="CV80" s="13">
        <f t="shared" si="95"/>
        <v>43.617051120131691</v>
      </c>
      <c r="CW80" s="20">
        <f t="shared" si="67"/>
        <v>376.15139203422933</v>
      </c>
      <c r="CX80" s="59">
        <f t="shared" si="68"/>
        <v>669.48472536756265</v>
      </c>
      <c r="CY80" s="59">
        <f ca="1">AVERAGE(OFFSET($CX$3,0,0,'Données projet'!$E$13+1,1))-AVERAGE(OFFSET($H$3,0,0,'Données projet'!$E$13+1,1))</f>
        <v>296.78766823247003</v>
      </c>
      <c r="CZ80" s="59">
        <f t="shared" si="96"/>
        <v>154.08406475869634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229.61973863654862</v>
      </c>
      <c r="T81" s="59">
        <f t="shared" si="88"/>
        <v>254.08208375594052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63.836277098351296</v>
      </c>
      <c r="AA81" s="21">
        <f>EXP(-LN(2)/25)*AA80+(1-EXP(-LN(2)/25))/(LN(2)/25)*Calculateur!V81*Calculateur!X81*VLOOKUP('Données projet'!$B$9,Paramètres!$A$1:$I$89,3,0)*0.475*44/12</f>
        <v>36.188086814117796</v>
      </c>
      <c r="AB81" s="21">
        <f>EXP(-LN(2)/2)*AB80+(1-EXP(-LN(2)/2))/(LN(2)/2)*V81*Y81*VLOOKUP('Données projet'!$B$9,Paramètres!$A$1:$I$89,3,0)*0.475*44/12</f>
        <v>0.10744855043055075</v>
      </c>
      <c r="AC81" s="22">
        <f t="shared" si="57"/>
        <v>100.13181246289963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2.2737367544323206E-13</v>
      </c>
      <c r="AJ81" s="13">
        <f>AI81*VLOOKUP('Données projet'!$B$10,Paramètres!$A$1:$I$89,3,0)*VLOOKUP('Données projet'!$B$10,Paramètres!$A$1:$I$89,5,0)</f>
        <v>1.3596945791505279E-13</v>
      </c>
      <c r="AK81" s="13">
        <f t="shared" si="89"/>
        <v>1.9708830566360721E-12</v>
      </c>
      <c r="AL81" s="20">
        <f t="shared" si="58"/>
        <v>3.669434796176543E-12</v>
      </c>
      <c r="AM81" s="59">
        <f t="shared" si="59"/>
        <v>293.33333333333701</v>
      </c>
      <c r="AN81" s="59">
        <f ca="1">AVERAGE(OFFSET($AM$3,0,0,'Données projet'!$E$10+1,1))-AVERAGE(OFFSET($H$3,0,0,'Données projet'!$E$10+1,1))</f>
        <v>348.76139845974495</v>
      </c>
      <c r="AO81" s="59">
        <f t="shared" si="90"/>
        <v>398.5142967182872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123.78382055428818</v>
      </c>
      <c r="AV81" s="21">
        <f>EXP(-LN(2)/25)*AV80+(1-EXP(-LN(2)/25))/(LN(2)/25)*Calculateur!AQ81*Calculateur!AS81*VLOOKUP('Données projet'!$B$10,Paramètres!$A$1:$I$89,3,0)*0.475*44/12</f>
        <v>34.510323281100028</v>
      </c>
      <c r="AW81" s="21">
        <f>EXP(-LN(2)/2)*AW80+(1-EXP(-LN(2)/2))/(LN(2)/2)*AQ81*AT81*VLOOKUP('Données projet'!$B$10,Paramètres!$A$1:$I$89,3,0)*0.475*44/12</f>
        <v>9.3008917226133234E-2</v>
      </c>
      <c r="AX81" s="21">
        <f t="shared" si="60"/>
        <v>158.38715275261436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248.99999999999989</v>
      </c>
      <c r="BE81" s="13">
        <f>BD81*VLOOKUP('Données projet'!$B$11,Paramètres!$A$1:$I$89,3,0)*VLOOKUP('Données projet'!$B$11,Paramètres!$A$1:$I$89,5,0)</f>
        <v>252.4859999999999</v>
      </c>
      <c r="BF81" s="13">
        <f t="shared" si="91"/>
        <v>61.117973383957384</v>
      </c>
      <c r="BG81" s="20">
        <f t="shared" si="61"/>
        <v>546.193586977059</v>
      </c>
      <c r="BH81" s="59">
        <f t="shared" si="62"/>
        <v>839.52692031039237</v>
      </c>
      <c r="BI81" s="59">
        <f ca="1">AVERAGE(OFFSET($BH$3,0,0,'Données projet'!$E$11+1,1))-AVERAGE(OFFSET($H$3,0,0,'Données projet'!$E$11+1,1))</f>
        <v>413.81510455446738</v>
      </c>
      <c r="BJ81" s="59">
        <f t="shared" si="92"/>
        <v>254.25036207346602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20.72994213650496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20.72994213650496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4.5999999999999996</v>
      </c>
      <c r="BY81" s="12">
        <f>IF('Données projet'!$A$114&gt;35,BY80+BX81-CG80,IF(A81&lt;'Données projet'!$A$114,$BV$205^A81,IF(A81='Données projet'!$A$114,'Données projet'!$B$114,BY80+BX81-CG80)))</f>
        <v>182.79999999999998</v>
      </c>
      <c r="BZ81" s="13">
        <f>BY81*VLOOKUP('Données projet'!$B$12,Paramètres!$A$1:$I$89,3,0)*VLOOKUP('Données projet'!$B$12,Paramètres!$A$1:$I$89,5,0)</f>
        <v>173.95247999999998</v>
      </c>
      <c r="CA81" s="13">
        <f t="shared" si="93"/>
        <v>43.97406002672421</v>
      </c>
      <c r="CB81" s="20">
        <f t="shared" si="64"/>
        <v>379.55539054654463</v>
      </c>
      <c r="CC81" s="59">
        <f t="shared" si="65"/>
        <v>672.88872387987794</v>
      </c>
      <c r="CD81" s="59">
        <f ca="1">AVERAGE(OFFSET($CC$3,0,0,'Données projet'!$E$12+1,1))-AVERAGE(OFFSET($H$3,0,0,'Données projet'!$E$12+1,1))</f>
        <v>292.61712942007972</v>
      </c>
      <c r="CE81" s="59">
        <f t="shared" si="94"/>
        <v>152.23954167722536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3.2074222869514006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3.2074222869514006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4.5999999999999996</v>
      </c>
      <c r="CT81" s="12">
        <f>IF('Données projet'!$A$140&gt;35,CT80+CS81-DB80,IF(A81&lt;'Données projet'!$A$140,$CQ$205^A81,IF(A81='Données projet'!$A$140,'Données projet'!$B$140,CT80+CS81-DB80)))</f>
        <v>182.79999999999998</v>
      </c>
      <c r="CU81" s="17">
        <f>CT81*VLOOKUP('Données projet'!$B$13,Paramètres!$A$1:$I$89,3,0)*VLOOKUP('Données projet'!$B$13,Paramètres!$A$1:$I$89,5,0)</f>
        <v>176.80415999999997</v>
      </c>
      <c r="CV81" s="13">
        <f t="shared" si="95"/>
        <v>44.610431038325757</v>
      </c>
      <c r="CW81" s="20">
        <f t="shared" si="67"/>
        <v>385.630412725084</v>
      </c>
      <c r="CX81" s="59">
        <f t="shared" si="68"/>
        <v>678.96374605841731</v>
      </c>
      <c r="CY81" s="59">
        <f ca="1">AVERAGE(OFFSET($CX$3,0,0,'Données projet'!$E$13+1,1))-AVERAGE(OFFSET($H$3,0,0,'Données projet'!$E$13+1,1))</f>
        <v>296.78766823247003</v>
      </c>
      <c r="CZ81" s="59">
        <f t="shared" si="96"/>
        <v>154.08406475869634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229.61973863654862</v>
      </c>
      <c r="T82" s="59">
        <f t="shared" si="88"/>
        <v>254.08208375594052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62.584486640737019</v>
      </c>
      <c r="AA82" s="21">
        <f>EXP(-LN(2)/25)*AA81+(1-EXP(-LN(2)/25))/(LN(2)/25)*Calculateur!V82*Calculateur!X82*VLOOKUP('Données projet'!$B$9,Paramètres!$A$1:$I$89,3,0)*0.475*44/12</f>
        <v>35.198521677136966</v>
      </c>
      <c r="AB82" s="21">
        <f>EXP(-LN(2)/2)*AB81+(1-EXP(-LN(2)/2))/(LN(2)/2)*V82*Y82*VLOOKUP('Données projet'!$B$9,Paramètres!$A$1:$I$89,3,0)*0.475*44/12</f>
        <v>7.5977598638107172E-2</v>
      </c>
      <c r="AC82" s="22">
        <f t="shared" si="57"/>
        <v>97.858985916512097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2.2737367544323206E-13</v>
      </c>
      <c r="AJ82" s="13">
        <f>AI82*VLOOKUP('Données projet'!$B$10,Paramètres!$A$1:$I$89,3,0)*VLOOKUP('Données projet'!$B$10,Paramètres!$A$1:$I$89,5,0)</f>
        <v>1.3596945791505279E-13</v>
      </c>
      <c r="AK82" s="13">
        <f t="shared" si="89"/>
        <v>1.9708830566360721E-12</v>
      </c>
      <c r="AL82" s="20">
        <f t="shared" si="58"/>
        <v>3.669434796176543E-12</v>
      </c>
      <c r="AM82" s="59">
        <f t="shared" si="59"/>
        <v>293.33333333333701</v>
      </c>
      <c r="AN82" s="59">
        <f ca="1">AVERAGE(OFFSET($AM$3,0,0,'Données projet'!$E$10+1,1))-AVERAGE(OFFSET($H$3,0,0,'Données projet'!$E$10+1,1))</f>
        <v>348.76139845974495</v>
      </c>
      <c r="AO82" s="59">
        <f t="shared" si="90"/>
        <v>398.5142967182872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121.35649533389406</v>
      </c>
      <c r="AV82" s="21">
        <f>EXP(-LN(2)/25)*AV81+(1-EXP(-LN(2)/25))/(LN(2)/25)*Calculateur!AQ82*Calculateur!AS82*VLOOKUP('Données projet'!$B$10,Paramètres!$A$1:$I$89,3,0)*0.475*44/12</f>
        <v>33.56663667615932</v>
      </c>
      <c r="AW82" s="21">
        <f>EXP(-LN(2)/2)*AW81+(1-EXP(-LN(2)/2))/(LN(2)/2)*AQ82*AT82*VLOOKUP('Données projet'!$B$10,Paramètres!$A$1:$I$89,3,0)*0.475*44/12</f>
        <v>6.5767236081417102E-2</v>
      </c>
      <c r="AX82" s="21">
        <f t="shared" si="60"/>
        <v>154.98889924613482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254.99999999999989</v>
      </c>
      <c r="BE82" s="13">
        <f>BD82*VLOOKUP('Données projet'!$B$11,Paramètres!$A$1:$I$89,3,0)*VLOOKUP('Données projet'!$B$11,Paramètres!$A$1:$I$89,5,0)</f>
        <v>258.56999999999994</v>
      </c>
      <c r="BF82" s="13">
        <f t="shared" si="91"/>
        <v>62.417461971173843</v>
      </c>
      <c r="BG82" s="20">
        <f t="shared" si="61"/>
        <v>559.05316293312762</v>
      </c>
      <c r="BH82" s="59">
        <f t="shared" si="62"/>
        <v>852.38649626646088</v>
      </c>
      <c r="BI82" s="59">
        <f ca="1">AVERAGE(OFFSET($BH$3,0,0,'Données projet'!$E$11+1,1))-AVERAGE(OFFSET($H$3,0,0,'Données projet'!$E$11+1,1))</f>
        <v>413.81510455446738</v>
      </c>
      <c r="BJ82" s="59">
        <f t="shared" si="92"/>
        <v>254.25036207346602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20.323440615224307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20.323440615224307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4.5999999999999996</v>
      </c>
      <c r="BY82" s="12">
        <f>IF('Données projet'!$A$114&gt;35,BY81+BX82-CG81,IF(A82&lt;'Données projet'!$A$114,$BV$205^A82,IF(A82='Données projet'!$A$114,'Données projet'!$B$114,BY81+BX82-CG81)))</f>
        <v>187.39999999999998</v>
      </c>
      <c r="BZ82" s="13">
        <f>BY82*VLOOKUP('Données projet'!$B$12,Paramètres!$A$1:$I$89,3,0)*VLOOKUP('Données projet'!$B$12,Paramètres!$A$1:$I$89,5,0)</f>
        <v>178.32983999999996</v>
      </c>
      <c r="CA82" s="13">
        <f t="shared" si="93"/>
        <v>44.950404981211172</v>
      </c>
      <c r="CB82" s="20">
        <f t="shared" si="64"/>
        <v>388.8797600089427</v>
      </c>
      <c r="CC82" s="59">
        <f t="shared" si="65"/>
        <v>682.21309334227601</v>
      </c>
      <c r="CD82" s="59">
        <f ca="1">AVERAGE(OFFSET($CC$3,0,0,'Données projet'!$E$12+1,1))-AVERAGE(OFFSET($H$3,0,0,'Données projet'!$E$12+1,1))</f>
        <v>292.61712942007972</v>
      </c>
      <c r="CE82" s="59">
        <f t="shared" si="94"/>
        <v>152.23954167722536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3.1445266922387067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3.1445266922387067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4.5999999999999996</v>
      </c>
      <c r="CT82" s="12">
        <f>IF('Données projet'!$A$140&gt;35,CT81+CS82-DB81,IF(A82&lt;'Données projet'!$A$140,$CQ$205^A82,IF(A82='Données projet'!$A$140,'Données projet'!$B$140,CT81+CS82-DB81)))</f>
        <v>187.39999999999998</v>
      </c>
      <c r="CU82" s="17">
        <f>CT82*VLOOKUP('Données projet'!$B$13,Paramètres!$A$1:$I$89,3,0)*VLOOKUP('Données projet'!$B$13,Paramètres!$A$1:$I$89,5,0)</f>
        <v>181.25327999999999</v>
      </c>
      <c r="CV82" s="13">
        <f t="shared" si="95"/>
        <v>45.600905177745403</v>
      </c>
      <c r="CW82" s="20">
        <f t="shared" si="67"/>
        <v>395.10437251790654</v>
      </c>
      <c r="CX82" s="59">
        <f t="shared" si="68"/>
        <v>688.4377058512398</v>
      </c>
      <c r="CY82" s="59">
        <f ca="1">AVERAGE(OFFSET($CX$3,0,0,'Données projet'!$E$13+1,1))-AVERAGE(OFFSET($H$3,0,0,'Données projet'!$E$13+1,1))</f>
        <v>296.78766823247003</v>
      </c>
      <c r="CZ82" s="59">
        <f t="shared" si="96"/>
        <v>154.08406475869634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229.61973863654862</v>
      </c>
      <c r="T83" s="59">
        <f t="shared" si="88"/>
        <v>254.08208375594052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61.357243030479772</v>
      </c>
      <c r="AA83" s="21">
        <f>EXP(-LN(2)/25)*AA82+(1-EXP(-LN(2)/25))/(LN(2)/25)*Calculateur!V83*Calculateur!X83*VLOOKUP('Données projet'!$B$9,Paramètres!$A$1:$I$89,3,0)*0.475*44/12</f>
        <v>34.236016250865852</v>
      </c>
      <c r="AB83" s="21">
        <f>EXP(-LN(2)/2)*AB82+(1-EXP(-LN(2)/2))/(LN(2)/2)*V83*Y83*VLOOKUP('Données projet'!$B$9,Paramètres!$A$1:$I$89,3,0)*0.475*44/12</f>
        <v>5.3724275215275383E-2</v>
      </c>
      <c r="AC83" s="22">
        <f t="shared" si="57"/>
        <v>95.646983556560897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2.2737367544323206E-13</v>
      </c>
      <c r="AJ83" s="13">
        <f>AI83*VLOOKUP('Données projet'!$B$10,Paramètres!$A$1:$I$89,3,0)*VLOOKUP('Données projet'!$B$10,Paramètres!$A$1:$I$89,5,0)</f>
        <v>1.3596945791505279E-13</v>
      </c>
      <c r="AK83" s="13">
        <f t="shared" si="89"/>
        <v>1.9708830566360721E-12</v>
      </c>
      <c r="AL83" s="20">
        <f t="shared" si="58"/>
        <v>3.669434796176543E-12</v>
      </c>
      <c r="AM83" s="59">
        <f t="shared" si="59"/>
        <v>293.33333333333701</v>
      </c>
      <c r="AN83" s="59">
        <f ca="1">AVERAGE(OFFSET($AM$3,0,0,'Données projet'!$E$10+1,1))-AVERAGE(OFFSET($H$3,0,0,'Données projet'!$E$10+1,1))</f>
        <v>348.76139845974495</v>
      </c>
      <c r="AO83" s="59">
        <f t="shared" si="90"/>
        <v>398.5142967182872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118.97676848054967</v>
      </c>
      <c r="AV83" s="21">
        <f>EXP(-LN(2)/25)*AV82+(1-EXP(-LN(2)/25))/(LN(2)/25)*Calculateur!AQ83*Calculateur!AS83*VLOOKUP('Données projet'!$B$10,Paramètres!$A$1:$I$89,3,0)*0.475*44/12</f>
        <v>32.648755231057038</v>
      </c>
      <c r="AW83" s="21">
        <f>EXP(-LN(2)/2)*AW82+(1-EXP(-LN(2)/2))/(LN(2)/2)*AQ83*AT83*VLOOKUP('Données projet'!$B$10,Paramètres!$A$1:$I$89,3,0)*0.475*44/12</f>
        <v>4.6504458613066617E-2</v>
      </c>
      <c r="AX83" s="21">
        <f t="shared" si="60"/>
        <v>151.67202817021979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260.99999999999989</v>
      </c>
      <c r="BE83" s="13">
        <f>BD83*VLOOKUP('Données projet'!$B$11,Paramètres!$A$1:$I$89,3,0)*VLOOKUP('Données projet'!$B$11,Paramètres!$A$1:$I$89,5,0)</f>
        <v>264.65399999999988</v>
      </c>
      <c r="BF83" s="13">
        <f t="shared" si="91"/>
        <v>63.71339601121106</v>
      </c>
      <c r="BG83" s="20">
        <f t="shared" si="61"/>
        <v>571.90654805285897</v>
      </c>
      <c r="BH83" s="59">
        <f t="shared" si="62"/>
        <v>865.23988138619234</v>
      </c>
      <c r="BI83" s="59">
        <f ca="1">AVERAGE(OFFSET($BH$3,0,0,'Données projet'!$E$11+1,1))-AVERAGE(OFFSET($H$3,0,0,'Données projet'!$E$11+1,1))</f>
        <v>413.81510455446738</v>
      </c>
      <c r="BJ83" s="59">
        <f t="shared" si="92"/>
        <v>254.25036207346602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21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25.998200996372379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25.998200996372379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192</v>
      </c>
      <c r="BW83" s="12">
        <f>VLOOKUP(A83,'Données projet'!$A$113:$I$133,9,0)</f>
        <v>4.5999999999999996</v>
      </c>
      <c r="BX83" s="12">
        <f t="array" ref="BX83">INDEX(BW:BW,MIN(IF(ISNUMBER(BW83:BW279),ROW(BW83:BW279),"")))</f>
        <v>4.5999999999999996</v>
      </c>
      <c r="BY83" s="12">
        <f>IF('Données projet'!$A$114&gt;35,BY82+BX83-CG82,IF(A83&lt;'Données projet'!$A$114,$BV$205^A83,IF(A83='Données projet'!$A$114,'Données projet'!$B$114,BY82+BX83-CG82)))</f>
        <v>191.99999999999997</v>
      </c>
      <c r="BZ83" s="13">
        <f>BY83*VLOOKUP('Données projet'!$B$12,Paramètres!$A$1:$I$89,3,0)*VLOOKUP('Données projet'!$B$12,Paramètres!$A$1:$I$89,5,0)</f>
        <v>182.70719999999997</v>
      </c>
      <c r="CA83" s="13">
        <f t="shared" si="93"/>
        <v>45.923964004932436</v>
      </c>
      <c r="CB83" s="20">
        <f t="shared" si="64"/>
        <v>398.19927730859058</v>
      </c>
      <c r="CC83" s="59">
        <f t="shared" si="65"/>
        <v>691.53261064192384</v>
      </c>
      <c r="CD83" s="59">
        <f ca="1">AVERAGE(OFFSET($CC$3,0,0,'Données projet'!$E$12+1,1))-AVERAGE(OFFSET($H$3,0,0,'Données projet'!$E$12+1,1))</f>
        <v>292.61712942007972</v>
      </c>
      <c r="CE83" s="59">
        <f t="shared" si="94"/>
        <v>152.23954167722536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14</v>
      </c>
      <c r="CH83" s="16">
        <f>IF(ISNA(VLOOKUP(A83,'Données projet'!$A$113:$I$133,5,0)),0%,VLOOKUP(A83,'Données projet'!$A$113:$I$133,5,0)*VLOOKUP('Données projet'!$B$12,Paramètres!$A$1:$I$89,7,0))</f>
        <v>8.6000000000000007E-2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4.3494310400247249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4.3494310400247249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192</v>
      </c>
      <c r="CR83" s="12">
        <f>VLOOKUP(A83,'Données projet'!$A$139:$I$159,9,0)</f>
        <v>4.5999999999999996</v>
      </c>
      <c r="CS83" s="12">
        <f t="array" ref="CS83">INDEX(CR:CR,MIN(IF(ISNUMBER(CR83:CR279),ROW(CR83:CR279),"")))</f>
        <v>4.5999999999999996</v>
      </c>
      <c r="CT83" s="12">
        <f>IF('Données projet'!$A$140&gt;35,CT82+CS83-DB82,IF(A83&lt;'Données projet'!$A$140,$CQ$205^A83,IF(A83='Données projet'!$A$140,'Données projet'!$B$140,CT82+CS83-DB82)))</f>
        <v>191.99999999999997</v>
      </c>
      <c r="CU83" s="17">
        <f>CT83*VLOOKUP('Données projet'!$B$13,Paramètres!$A$1:$I$89,3,0)*VLOOKUP('Données projet'!$B$13,Paramètres!$A$1:$I$89,5,0)</f>
        <v>185.70239999999998</v>
      </c>
      <c r="CV83" s="13">
        <f t="shared" si="95"/>
        <v>46.588553069776829</v>
      </c>
      <c r="CW83" s="20">
        <f t="shared" si="67"/>
        <v>404.57340992986127</v>
      </c>
      <c r="CX83" s="59">
        <f t="shared" si="68"/>
        <v>697.90674326319458</v>
      </c>
      <c r="CY83" s="59">
        <f ca="1">AVERAGE(OFFSET($CX$3,0,0,'Données projet'!$E$13+1,1))-AVERAGE(OFFSET($H$3,0,0,'Données projet'!$E$13+1,1))</f>
        <v>296.78766823247003</v>
      </c>
      <c r="CZ83" s="59">
        <f t="shared" si="96"/>
        <v>154.08406475869634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14</v>
      </c>
      <c r="DC83" s="16">
        <f>IF(ISNA(VLOOKUP(A83,'Données projet'!$A$139:$I$159,5,0)),0%,VLOOKUP(A83,'Données projet'!$A$139:$I$159,5,0)*VLOOKUP('Données projet'!$B$13,Paramètres!$A$1:$I$89,7,0))</f>
        <v>0.129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1.9309949776581907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1.9309949776581907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229.61973863654862</v>
      </c>
      <c r="T84" s="59">
        <f t="shared" si="88"/>
        <v>254.08208375594052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60.15406491887498</v>
      </c>
      <c r="AA84" s="21">
        <f>EXP(-LN(2)/25)*AA83+(1-EXP(-LN(2)/25))/(LN(2)/25)*Calculateur!V84*Calculateur!X84*VLOOKUP('Données projet'!$B$9,Paramètres!$A$1:$I$89,3,0)*0.475*44/12</f>
        <v>33.299830586092078</v>
      </c>
      <c r="AB84" s="21">
        <f>EXP(-LN(2)/2)*AB83+(1-EXP(-LN(2)/2))/(LN(2)/2)*V84*Y84*VLOOKUP('Données projet'!$B$9,Paramètres!$A$1:$I$89,3,0)*0.475*44/12</f>
        <v>3.7988799319053593E-2</v>
      </c>
      <c r="AC84" s="22">
        <f t="shared" si="57"/>
        <v>93.491884304286103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2.2737367544323206E-13</v>
      </c>
      <c r="AJ84" s="13">
        <f>AI84*VLOOKUP('Données projet'!$B$10,Paramètres!$A$1:$I$89,3,0)*VLOOKUP('Données projet'!$B$10,Paramètres!$A$1:$I$89,5,0)</f>
        <v>1.3596945791505279E-13</v>
      </c>
      <c r="AK84" s="13">
        <f t="shared" si="89"/>
        <v>1.9708830566360721E-12</v>
      </c>
      <c r="AL84" s="20">
        <f t="shared" si="58"/>
        <v>3.669434796176543E-12</v>
      </c>
      <c r="AM84" s="59">
        <f t="shared" si="59"/>
        <v>293.33333333333701</v>
      </c>
      <c r="AN84" s="59">
        <f ca="1">AVERAGE(OFFSET($AM$3,0,0,'Données projet'!$E$10+1,1))-AVERAGE(OFFSET($H$3,0,0,'Données projet'!$E$10+1,1))</f>
        <v>348.76139845974495</v>
      </c>
      <c r="AO84" s="59">
        <f t="shared" si="90"/>
        <v>398.5142967182872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116.6437066193093</v>
      </c>
      <c r="AV84" s="21">
        <f>EXP(-LN(2)/25)*AV83+(1-EXP(-LN(2)/25))/(LN(2)/25)*Calculateur!AQ84*Calculateur!AS84*VLOOKUP('Données projet'!$B$10,Paramètres!$A$1:$I$89,3,0)*0.475*44/12</f>
        <v>31.755973302340365</v>
      </c>
      <c r="AW84" s="21">
        <f>EXP(-LN(2)/2)*AW83+(1-EXP(-LN(2)/2))/(LN(2)/2)*AQ84*AT84*VLOOKUP('Données projet'!$B$10,Paramètres!$A$1:$I$89,3,0)*0.475*44/12</f>
        <v>3.2883618040708551E-2</v>
      </c>
      <c r="AX84" s="21">
        <f t="shared" si="60"/>
        <v>148.43256353969036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5.8</v>
      </c>
      <c r="BD84" s="12">
        <f>IF('Données projet'!$A$88&gt;35,BD83+BC84-BL83,IF(A84&lt;'Données projet'!$A$88,$BA$205^A84,IF(A84='Données projet'!$A$88,'Données projet'!$B$88,BD83+BC84-BL83)))</f>
        <v>245.7999999999999</v>
      </c>
      <c r="BE84" s="13">
        <f>BD84*VLOOKUP('Données projet'!$B$11,Paramètres!$A$1:$I$89,3,0)*VLOOKUP('Données projet'!$B$11,Paramètres!$A$1:$I$89,5,0)</f>
        <v>249.24119999999988</v>
      </c>
      <c r="BF84" s="13">
        <f t="shared" si="91"/>
        <v>60.42342651744687</v>
      </c>
      <c r="BG84" s="20">
        <f t="shared" si="61"/>
        <v>539.3325578512198</v>
      </c>
      <c r="BH84" s="59">
        <f t="shared" si="62"/>
        <v>832.66589118455317</v>
      </c>
      <c r="BI84" s="59">
        <f ca="1">AVERAGE(OFFSET($BH$3,0,0,'Données projet'!$E$11+1,1))-AVERAGE(OFFSET($H$3,0,0,'Données projet'!$E$11+1,1))</f>
        <v>413.81510455446738</v>
      </c>
      <c r="BJ84" s="59">
        <f t="shared" si="92"/>
        <v>254.25036207346602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25.488392132170343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25.488392132170343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4.4000000000000004</v>
      </c>
      <c r="BY84" s="12">
        <f>IF('Données projet'!$A$114&gt;35,BY83+BX84-CG83,IF(A84&lt;'Données projet'!$A$114,$BV$205^A84,IF(A84='Données projet'!$A$114,'Données projet'!$B$114,BY83+BX84-CG83)))</f>
        <v>182.39999999999998</v>
      </c>
      <c r="BZ84" s="13">
        <f>BY84*VLOOKUP('Données projet'!$B$12,Paramètres!$A$1:$I$89,3,0)*VLOOKUP('Données projet'!$B$12,Paramètres!$A$1:$I$89,5,0)</f>
        <v>173.57183999999998</v>
      </c>
      <c r="CA84" s="13">
        <f t="shared" si="93"/>
        <v>43.889026259091224</v>
      </c>
      <c r="CB84" s="20">
        <f t="shared" si="64"/>
        <v>378.74434206791716</v>
      </c>
      <c r="CC84" s="59">
        <f t="shared" si="65"/>
        <v>672.07767540125042</v>
      </c>
      <c r="CD84" s="59">
        <f ca="1">AVERAGE(OFFSET($CC$3,0,0,'Données projet'!$E$12+1,1))-AVERAGE(OFFSET($H$3,0,0,'Données projet'!$E$12+1,1))</f>
        <v>292.61712942007972</v>
      </c>
      <c r="CE84" s="59">
        <f t="shared" si="94"/>
        <v>152.23954167722536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4.2641413502208234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4.2641413502208234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4.4000000000000004</v>
      </c>
      <c r="CT84" s="12">
        <f>IF('Données projet'!$A$140&gt;35,CT83+CS84-DB83,IF(A84&lt;'Données projet'!$A$140,$CQ$205^A84,IF(A84='Données projet'!$A$140,'Données projet'!$B$140,CT83+CS84-DB83)))</f>
        <v>182.39999999999998</v>
      </c>
      <c r="CU84" s="17">
        <f>CT84*VLOOKUP('Données projet'!$B$13,Paramètres!$A$1:$I$89,3,0)*VLOOKUP('Données projet'!$B$13,Paramètres!$A$1:$I$89,5,0)</f>
        <v>176.41727999999998</v>
      </c>
      <c r="CV84" s="13">
        <f t="shared" si="95"/>
        <v>44.524166703747255</v>
      </c>
      <c r="CW84" s="20">
        <f t="shared" si="67"/>
        <v>384.8063530090264</v>
      </c>
      <c r="CX84" s="59">
        <f t="shared" si="68"/>
        <v>678.13968634235971</v>
      </c>
      <c r="CY84" s="59">
        <f ca="1">AVERAGE(OFFSET($CX$3,0,0,'Données projet'!$E$13+1,1))-AVERAGE(OFFSET($H$3,0,0,'Données projet'!$E$13+1,1))</f>
        <v>296.78766823247003</v>
      </c>
      <c r="CZ84" s="59">
        <f t="shared" si="96"/>
        <v>154.08406475869634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1.8931293439369528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1.8931293439369528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229.61973863654862</v>
      </c>
      <c r="T85" s="59">
        <f t="shared" si="88"/>
        <v>254.08208375594052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58.974480396172567</v>
      </c>
      <c r="AA85" s="21">
        <f>EXP(-LN(2)/25)*AA84+(1-EXP(-LN(2)/25))/(LN(2)/25)*Calculateur!V85*Calculateur!X85*VLOOKUP('Données projet'!$B$9,Paramètres!$A$1:$I$89,3,0)*0.475*44/12</f>
        <v>32.38924496755341</v>
      </c>
      <c r="AB85" s="21">
        <f>EXP(-LN(2)/2)*AB84+(1-EXP(-LN(2)/2))/(LN(2)/2)*V85*Y85*VLOOKUP('Données projet'!$B$9,Paramètres!$A$1:$I$89,3,0)*0.475*44/12</f>
        <v>2.6862137607637695E-2</v>
      </c>
      <c r="AC85" s="22">
        <f t="shared" si="57"/>
        <v>91.390587501333613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2.2737367544323206E-13</v>
      </c>
      <c r="AJ85" s="13">
        <f>AI85*VLOOKUP('Données projet'!$B$10,Paramètres!$A$1:$I$89,3,0)*VLOOKUP('Données projet'!$B$10,Paramètres!$A$1:$I$89,5,0)</f>
        <v>1.3596945791505279E-13</v>
      </c>
      <c r="AK85" s="13">
        <f t="shared" si="89"/>
        <v>1.9708830566360721E-12</v>
      </c>
      <c r="AL85" s="20">
        <f t="shared" si="58"/>
        <v>3.669434796176543E-12</v>
      </c>
      <c r="AM85" s="59">
        <f t="shared" si="59"/>
        <v>293.33333333333701</v>
      </c>
      <c r="AN85" s="59">
        <f ca="1">AVERAGE(OFFSET($AM$3,0,0,'Données projet'!$E$10+1,1))-AVERAGE(OFFSET($H$3,0,0,'Données projet'!$E$10+1,1))</f>
        <v>348.76139845974495</v>
      </c>
      <c r="AO85" s="59">
        <f t="shared" si="90"/>
        <v>398.5142967182872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114.35639467814063</v>
      </c>
      <c r="AV85" s="21">
        <f>EXP(-LN(2)/25)*AV84+(1-EXP(-LN(2)/25))/(LN(2)/25)*Calculateur!AQ85*Calculateur!AS85*VLOOKUP('Données projet'!$B$10,Paramètres!$A$1:$I$89,3,0)*0.475*44/12</f>
        <v>30.887604542413811</v>
      </c>
      <c r="AW85" s="21">
        <f>EXP(-LN(2)/2)*AW84+(1-EXP(-LN(2)/2))/(LN(2)/2)*AQ85*AT85*VLOOKUP('Données projet'!$B$10,Paramètres!$A$1:$I$89,3,0)*0.475*44/12</f>
        <v>2.3252229306533308E-2</v>
      </c>
      <c r="AX85" s="21">
        <f t="shared" si="60"/>
        <v>145.26725144986096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5.8</v>
      </c>
      <c r="BD85" s="12">
        <f>IF('Données projet'!$A$88&gt;35,BD84+BC85-BL84,IF(A85&lt;'Données projet'!$A$88,$BA$205^A85,IF(A85='Données projet'!$A$88,'Données projet'!$B$88,BD84+BC85-BL84)))</f>
        <v>251.59999999999991</v>
      </c>
      <c r="BE85" s="13">
        <f>BD85*VLOOKUP('Données projet'!$B$11,Paramètres!$A$1:$I$89,3,0)*VLOOKUP('Données projet'!$B$11,Paramètres!$A$1:$I$89,5,0)</f>
        <v>255.12239999999991</v>
      </c>
      <c r="BF85" s="13">
        <f t="shared" si="91"/>
        <v>61.681527554261443</v>
      </c>
      <c r="BG85" s="20">
        <f t="shared" si="61"/>
        <v>551.7668404903385</v>
      </c>
      <c r="BH85" s="59">
        <f t="shared" si="62"/>
        <v>845.10017382367187</v>
      </c>
      <c r="BI85" s="59">
        <f ca="1">AVERAGE(OFFSET($BH$3,0,0,'Données projet'!$E$11+1,1))-AVERAGE(OFFSET($H$3,0,0,'Données projet'!$E$11+1,1))</f>
        <v>413.81510455446738</v>
      </c>
      <c r="BJ85" s="59">
        <f t="shared" si="92"/>
        <v>254.25036207346602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24.988580308842607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24.988580308842607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4.4000000000000004</v>
      </c>
      <c r="BY85" s="12">
        <f>IF('Données projet'!$A$114&gt;35,BY84+BX85-CG84,IF(A85&lt;'Données projet'!$A$114,$BV$205^A85,IF(A85='Données projet'!$A$114,'Données projet'!$B$114,BY84+BX85-CG84)))</f>
        <v>186.79999999999998</v>
      </c>
      <c r="BZ85" s="13">
        <f>BY85*VLOOKUP('Données projet'!$B$12,Paramètres!$A$1:$I$89,3,0)*VLOOKUP('Données projet'!$B$12,Paramètres!$A$1:$I$89,5,0)</f>
        <v>177.75888</v>
      </c>
      <c r="CA85" s="13">
        <f t="shared" si="93"/>
        <v>44.823215265943972</v>
      </c>
      <c r="CB85" s="20">
        <f t="shared" si="64"/>
        <v>387.66381592151902</v>
      </c>
      <c r="CC85" s="59">
        <f t="shared" si="65"/>
        <v>680.99714925485227</v>
      </c>
      <c r="CD85" s="59">
        <f ca="1">AVERAGE(OFFSET($CC$3,0,0,'Données projet'!$E$12+1,1))-AVERAGE(OFFSET($H$3,0,0,'Données projet'!$E$12+1,1))</f>
        <v>292.61712942007972</v>
      </c>
      <c r="CE85" s="59">
        <f t="shared" si="94"/>
        <v>152.23954167722536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4.1805241392124017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4.1805241392124017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4.4000000000000004</v>
      </c>
      <c r="CT85" s="12">
        <f>IF('Données projet'!$A$140&gt;35,CT84+CS85-DB84,IF(A85&lt;'Données projet'!$A$140,$CQ$205^A85,IF(A85='Données projet'!$A$140,'Données projet'!$B$140,CT84+CS85-DB84)))</f>
        <v>186.79999999999998</v>
      </c>
      <c r="CU85" s="17">
        <f>CT85*VLOOKUP('Données projet'!$B$13,Paramètres!$A$1:$I$89,3,0)*VLOOKUP('Données projet'!$B$13,Paramètres!$A$1:$I$89,5,0)</f>
        <v>180.67295999999999</v>
      </c>
      <c r="CV85" s="13">
        <f t="shared" si="95"/>
        <v>45.471874835351194</v>
      </c>
      <c r="CW85" s="20">
        <f t="shared" si="67"/>
        <v>393.86892067156992</v>
      </c>
      <c r="CX85" s="59">
        <f t="shared" si="68"/>
        <v>687.20225400490324</v>
      </c>
      <c r="CY85" s="59">
        <f ca="1">AVERAGE(OFFSET($CX$3,0,0,'Données projet'!$E$13+1,1))-AVERAGE(OFFSET($H$3,0,0,'Données projet'!$E$13+1,1))</f>
        <v>296.78766823247003</v>
      </c>
      <c r="CZ85" s="59">
        <f t="shared" si="96"/>
        <v>154.08406475869634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1.8560062321972324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1.8560062321972324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229.61973863654862</v>
      </c>
      <c r="T86" s="59">
        <f t="shared" si="88"/>
        <v>254.08208375594052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57.818026806484838</v>
      </c>
      <c r="AA86" s="21">
        <f>EXP(-LN(2)/25)*AA85+(1-EXP(-LN(2)/25))/(LN(2)/25)*Calculateur!V86*Calculateur!X86*VLOOKUP('Données projet'!$B$9,Paramètres!$A$1:$I$89,3,0)*0.475*44/12</f>
        <v>31.503559360639294</v>
      </c>
      <c r="AB86" s="21">
        <f>EXP(-LN(2)/2)*AB85+(1-EXP(-LN(2)/2))/(LN(2)/2)*V86*Y86*VLOOKUP('Données projet'!$B$9,Paramètres!$A$1:$I$89,3,0)*0.475*44/12</f>
        <v>1.8994399659526796E-2</v>
      </c>
      <c r="AC86" s="22">
        <f t="shared" si="57"/>
        <v>89.340580566783672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2.2737367544323206E-13</v>
      </c>
      <c r="AJ86" s="13">
        <f>AI86*VLOOKUP('Données projet'!$B$10,Paramètres!$A$1:$I$89,3,0)*VLOOKUP('Données projet'!$B$10,Paramètres!$A$1:$I$89,5,0)</f>
        <v>1.3596945791505279E-13</v>
      </c>
      <c r="AK86" s="13">
        <f t="shared" si="89"/>
        <v>1.9708830566360721E-12</v>
      </c>
      <c r="AL86" s="20">
        <f t="shared" si="58"/>
        <v>3.669434796176543E-12</v>
      </c>
      <c r="AM86" s="59">
        <f t="shared" si="59"/>
        <v>293.33333333333701</v>
      </c>
      <c r="AN86" s="59">
        <f ca="1">AVERAGE(OFFSET($AM$3,0,0,'Données projet'!$E$10+1,1))-AVERAGE(OFFSET($H$3,0,0,'Données projet'!$E$10+1,1))</f>
        <v>348.76139845974495</v>
      </c>
      <c r="AO86" s="59">
        <f t="shared" si="90"/>
        <v>398.5142967182872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112.11393552901576</v>
      </c>
      <c r="AV86" s="21">
        <f>EXP(-LN(2)/25)*AV85+(1-EXP(-LN(2)/25))/(LN(2)/25)*Calculateur!AQ86*Calculateur!AS86*VLOOKUP('Données projet'!$B$10,Paramètres!$A$1:$I$89,3,0)*0.475*44/12</f>
        <v>30.042981371892978</v>
      </c>
      <c r="AW86" s="21">
        <f>EXP(-LN(2)/2)*AW85+(1-EXP(-LN(2)/2))/(LN(2)/2)*AQ86*AT86*VLOOKUP('Données projet'!$B$10,Paramètres!$A$1:$I$89,3,0)*0.475*44/12</f>
        <v>1.6441809020354275E-2</v>
      </c>
      <c r="AX86" s="21">
        <f t="shared" si="60"/>
        <v>142.17335870992912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5.8</v>
      </c>
      <c r="BD86" s="12">
        <f>IF('Données projet'!$A$88&gt;35,BD85+BC86-BL85,IF(A86&lt;'Données projet'!$A$88,$BA$205^A86,IF(A86='Données projet'!$A$88,'Données projet'!$B$88,BD85+BC86-BL85)))</f>
        <v>257.39999999999992</v>
      </c>
      <c r="BE86" s="13">
        <f>BD86*VLOOKUP('Données projet'!$B$11,Paramètres!$A$1:$I$89,3,0)*VLOOKUP('Données projet'!$B$11,Paramètres!$A$1:$I$89,5,0)</f>
        <v>261.00359999999995</v>
      </c>
      <c r="BF86" s="13">
        <f t="shared" si="91"/>
        <v>62.936256929541173</v>
      </c>
      <c r="BG86" s="20">
        <f t="shared" si="61"/>
        <v>564.19525081895074</v>
      </c>
      <c r="BH86" s="59">
        <f t="shared" si="62"/>
        <v>857.52858415228411</v>
      </c>
      <c r="BI86" s="59">
        <f ca="1">AVERAGE(OFFSET($BH$3,0,0,'Données projet'!$E$11+1,1))-AVERAGE(OFFSET($H$3,0,0,'Données projet'!$E$11+1,1))</f>
        <v>413.81510455446738</v>
      </c>
      <c r="BJ86" s="59">
        <f t="shared" si="92"/>
        <v>254.25036207346602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24.498569490515216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24.498569490515216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4.4000000000000004</v>
      </c>
      <c r="BY86" s="12">
        <f>IF('Données projet'!$A$114&gt;35,BY85+BX86-CG85,IF(A86&lt;'Données projet'!$A$114,$BV$205^A86,IF(A86='Données projet'!$A$114,'Données projet'!$B$114,BY85+BX86-CG85)))</f>
        <v>191.2</v>
      </c>
      <c r="BZ86" s="13">
        <f>BY86*VLOOKUP('Données projet'!$B$12,Paramètres!$A$1:$I$89,3,0)*VLOOKUP('Données projet'!$B$12,Paramètres!$A$1:$I$89,5,0)</f>
        <v>181.94592</v>
      </c>
      <c r="CA86" s="13">
        <f t="shared" si="93"/>
        <v>45.754846212632849</v>
      </c>
      <c r="CB86" s="20">
        <f t="shared" si="64"/>
        <v>396.57883448700221</v>
      </c>
      <c r="CC86" s="59">
        <f t="shared" si="65"/>
        <v>689.91216782033553</v>
      </c>
      <c r="CD86" s="59">
        <f ca="1">AVERAGE(OFFSET($CC$3,0,0,'Données projet'!$E$12+1,1))-AVERAGE(OFFSET($H$3,0,0,'Données projet'!$E$12+1,1))</f>
        <v>292.61712942007972</v>
      </c>
      <c r="CE86" s="59">
        <f t="shared" si="94"/>
        <v>152.23954167722536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4.0985466107103932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4.0985466107103932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4.4000000000000004</v>
      </c>
      <c r="CT86" s="12">
        <f>IF('Données projet'!$A$140&gt;35,CT85+CS86-DB85,IF(A86&lt;'Données projet'!$A$140,$CQ$205^A86,IF(A86='Données projet'!$A$140,'Données projet'!$B$140,CT85+CS86-DB85)))</f>
        <v>191.2</v>
      </c>
      <c r="CU86" s="17">
        <f>CT86*VLOOKUP('Données projet'!$B$13,Paramètres!$A$1:$I$89,3,0)*VLOOKUP('Données projet'!$B$13,Paramètres!$A$1:$I$89,5,0)</f>
        <v>184.92864</v>
      </c>
      <c r="CV86" s="13">
        <f t="shared" si="95"/>
        <v>46.416987887800225</v>
      </c>
      <c r="CW86" s="20">
        <f t="shared" si="67"/>
        <v>402.92696857125202</v>
      </c>
      <c r="CX86" s="59">
        <f t="shared" si="68"/>
        <v>696.26030190458528</v>
      </c>
      <c r="CY86" s="59">
        <f ca="1">AVERAGE(OFFSET($CX$3,0,0,'Données projet'!$E$13+1,1))-AVERAGE(OFFSET($H$3,0,0,'Données projet'!$E$13+1,1))</f>
        <v>296.78766823247003</v>
      </c>
      <c r="CZ86" s="59">
        <f t="shared" si="96"/>
        <v>154.08406475869634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1.8196110820358655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1.8196110820358655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229.61973863654862</v>
      </c>
      <c r="T87" s="59">
        <f t="shared" si="88"/>
        <v>254.08208375594052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56.68425056632384</v>
      </c>
      <c r="AA87" s="21">
        <f>EXP(-LN(2)/25)*AA86+(1-EXP(-LN(2)/25))/(LN(2)/25)*Calculateur!V87*Calculateur!X87*VLOOKUP('Données projet'!$B$9,Paramètres!$A$1:$I$89,3,0)*0.475*44/12</f>
        <v>30.642092873222428</v>
      </c>
      <c r="AB87" s="21">
        <f>EXP(-LN(2)/2)*AB86+(1-EXP(-LN(2)/2))/(LN(2)/2)*V87*Y87*VLOOKUP('Données projet'!$B$9,Paramètres!$A$1:$I$89,3,0)*0.475*44/12</f>
        <v>1.3431068803818847E-2</v>
      </c>
      <c r="AC87" s="22">
        <f t="shared" si="57"/>
        <v>87.339774508350089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2.2737367544323206E-13</v>
      </c>
      <c r="AJ87" s="13">
        <f>AI87*VLOOKUP('Données projet'!$B$10,Paramètres!$A$1:$I$89,3,0)*VLOOKUP('Données projet'!$B$10,Paramètres!$A$1:$I$89,5,0)</f>
        <v>1.3596945791505279E-13</v>
      </c>
      <c r="AK87" s="13">
        <f t="shared" si="89"/>
        <v>1.9708830566360721E-12</v>
      </c>
      <c r="AL87" s="20">
        <f t="shared" si="58"/>
        <v>3.669434796176543E-12</v>
      </c>
      <c r="AM87" s="59">
        <f t="shared" si="59"/>
        <v>293.33333333333701</v>
      </c>
      <c r="AN87" s="59">
        <f ca="1">AVERAGE(OFFSET($AM$3,0,0,'Données projet'!$E$10+1,1))-AVERAGE(OFFSET($H$3,0,0,'Données projet'!$E$10+1,1))</f>
        <v>348.76139845974495</v>
      </c>
      <c r="AO87" s="59">
        <f t="shared" si="90"/>
        <v>398.5142967182872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109.91544963604019</v>
      </c>
      <c r="AV87" s="21">
        <f>EXP(-LN(2)/25)*AV86+(1-EXP(-LN(2)/25))/(LN(2)/25)*Calculateur!AQ87*Calculateur!AS87*VLOOKUP('Données projet'!$B$10,Paramètres!$A$1:$I$89,3,0)*0.475*44/12</f>
        <v>29.221454466386838</v>
      </c>
      <c r="AW87" s="21">
        <f>EXP(-LN(2)/2)*AW86+(1-EXP(-LN(2)/2))/(LN(2)/2)*AQ87*AT87*VLOOKUP('Données projet'!$B$10,Paramètres!$A$1:$I$89,3,0)*0.475*44/12</f>
        <v>1.1626114653266654E-2</v>
      </c>
      <c r="AX87" s="21">
        <f t="shared" si="60"/>
        <v>139.14853021708029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5.8</v>
      </c>
      <c r="BD87" s="12">
        <f>IF('Données projet'!$A$88&gt;35,BD86+BC87-BL86,IF(A87&lt;'Données projet'!$A$88,$BA$205^A87,IF(A87='Données projet'!$A$88,'Données projet'!$B$88,BD86+BC87-BL86)))</f>
        <v>263.19999999999993</v>
      </c>
      <c r="BE87" s="13">
        <f>BD87*VLOOKUP('Données projet'!$B$11,Paramètres!$A$1:$I$89,3,0)*VLOOKUP('Données projet'!$B$11,Paramètres!$A$1:$I$89,5,0)</f>
        <v>266.88479999999993</v>
      </c>
      <c r="BF87" s="13">
        <f t="shared" si="91"/>
        <v>64.18769936370569</v>
      </c>
      <c r="BG87" s="20">
        <f t="shared" si="61"/>
        <v>576.61793639178723</v>
      </c>
      <c r="BH87" s="59">
        <f t="shared" si="62"/>
        <v>869.95126972512048</v>
      </c>
      <c r="BI87" s="59">
        <f ca="1">AVERAGE(OFFSET($BH$3,0,0,'Données projet'!$E$11+1,1))-AVERAGE(OFFSET($H$3,0,0,'Données projet'!$E$11+1,1))</f>
        <v>413.81510455446738</v>
      </c>
      <c r="BJ87" s="59">
        <f t="shared" si="92"/>
        <v>254.25036207346602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24.018167485458136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24.018167485458136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4.4000000000000004</v>
      </c>
      <c r="BY87" s="12">
        <f>IF('Données projet'!$A$114&gt;35,BY86+BX87-CG86,IF(A87&lt;'Données projet'!$A$114,$BV$205^A87,IF(A87='Données projet'!$A$114,'Données projet'!$B$114,BY86+BX87-CG86)))</f>
        <v>195.6</v>
      </c>
      <c r="BZ87" s="13">
        <f>BY87*VLOOKUP('Données projet'!$B$12,Paramètres!$A$1:$I$89,3,0)*VLOOKUP('Données projet'!$B$12,Paramètres!$A$1:$I$89,5,0)</f>
        <v>186.13296</v>
      </c>
      <c r="CA87" s="13">
        <f t="shared" si="93"/>
        <v>46.683984742595676</v>
      </c>
      <c r="CB87" s="20">
        <f t="shared" si="64"/>
        <v>405.48951209335405</v>
      </c>
      <c r="CC87" s="59">
        <f t="shared" si="65"/>
        <v>698.82284542668731</v>
      </c>
      <c r="CD87" s="59">
        <f ca="1">AVERAGE(OFFSET($CC$3,0,0,'Données projet'!$E$12+1,1))-AVERAGE(OFFSET($H$3,0,0,'Données projet'!$E$12+1,1))</f>
        <v>292.61712942007972</v>
      </c>
      <c r="CE87" s="59">
        <f t="shared" si="94"/>
        <v>152.23954167722536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4.0181766115409534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4.0181766115409534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4.4000000000000004</v>
      </c>
      <c r="CT87" s="12">
        <f>IF('Données projet'!$A$140&gt;35,CT86+CS87-DB86,IF(A87&lt;'Données projet'!$A$140,$CQ$205^A87,IF(A87='Données projet'!$A$140,'Données projet'!$B$140,CT86+CS87-DB86)))</f>
        <v>195.6</v>
      </c>
      <c r="CU87" s="17">
        <f>CT87*VLOOKUP('Données projet'!$B$13,Paramètres!$A$1:$I$89,3,0)*VLOOKUP('Données projet'!$B$13,Paramètres!$A$1:$I$89,5,0)</f>
        <v>189.18431999999999</v>
      </c>
      <c r="CV87" s="13">
        <f t="shared" si="95"/>
        <v>47.359572454491783</v>
      </c>
      <c r="CW87" s="20">
        <f t="shared" si="67"/>
        <v>411.98061269157319</v>
      </c>
      <c r="CX87" s="59">
        <f t="shared" si="68"/>
        <v>705.3139460249065</v>
      </c>
      <c r="CY87" s="59">
        <f ca="1">AVERAGE(OFFSET($CX$3,0,0,'Données projet'!$E$13+1,1))-AVERAGE(OFFSET($H$3,0,0,'Données projet'!$E$13+1,1))</f>
        <v>296.78766823247003</v>
      </c>
      <c r="CZ87" s="59">
        <f t="shared" si="96"/>
        <v>154.08406475869634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1.7839296185703133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1.7839296185703133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229.61973863654862</v>
      </c>
      <c r="T88" s="59">
        <f t="shared" si="88"/>
        <v>254.08208375594052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55.572706986697177</v>
      </c>
      <c r="AA88" s="21">
        <f>EXP(-LN(2)/25)*AA87+(1-EXP(-LN(2)/25))/(LN(2)/25)*Calculateur!V88*Calculateur!X88*VLOOKUP('Données projet'!$B$9,Paramètres!$A$1:$I$89,3,0)*0.475*44/12</f>
        <v>29.80418323220653</v>
      </c>
      <c r="AB88" s="21">
        <f>EXP(-LN(2)/2)*AB87+(1-EXP(-LN(2)/2))/(LN(2)/2)*V88*Y88*VLOOKUP('Données projet'!$B$9,Paramètres!$A$1:$I$89,3,0)*0.475*44/12</f>
        <v>9.4971998297633982E-3</v>
      </c>
      <c r="AC88" s="22">
        <f t="shared" si="57"/>
        <v>85.386387418733477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2.2737367544323206E-13</v>
      </c>
      <c r="AJ88" s="13">
        <f>AI88*VLOOKUP('Données projet'!$B$10,Paramètres!$A$1:$I$89,3,0)*VLOOKUP('Données projet'!$B$10,Paramètres!$A$1:$I$89,5,0)</f>
        <v>1.3596945791505279E-13</v>
      </c>
      <c r="AK88" s="13">
        <f t="shared" si="89"/>
        <v>1.9708830566360721E-12</v>
      </c>
      <c r="AL88" s="20">
        <f t="shared" si="58"/>
        <v>3.669434796176543E-12</v>
      </c>
      <c r="AM88" s="59">
        <f t="shared" si="59"/>
        <v>293.33333333333701</v>
      </c>
      <c r="AN88" s="59">
        <f ca="1">AVERAGE(OFFSET($AM$3,0,0,'Données projet'!$E$10+1,1))-AVERAGE(OFFSET($H$3,0,0,'Données projet'!$E$10+1,1))</f>
        <v>348.76139845974495</v>
      </c>
      <c r="AO88" s="59">
        <f t="shared" si="90"/>
        <v>398.5142967182872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107.7600747104819</v>
      </c>
      <c r="AV88" s="21">
        <f>EXP(-LN(2)/25)*AV87+(1-EXP(-LN(2)/25))/(LN(2)/25)*Calculateur!AQ88*Calculateur!AS88*VLOOKUP('Données projet'!$B$10,Paramètres!$A$1:$I$89,3,0)*0.475*44/12</f>
        <v>28.422392257313987</v>
      </c>
      <c r="AW88" s="21">
        <f>EXP(-LN(2)/2)*AW87+(1-EXP(-LN(2)/2))/(LN(2)/2)*AQ88*AT88*VLOOKUP('Données projet'!$B$10,Paramètres!$A$1:$I$89,3,0)*0.475*44/12</f>
        <v>8.2209045101771377E-3</v>
      </c>
      <c r="AX88" s="21">
        <f t="shared" si="60"/>
        <v>136.19068787230609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269</v>
      </c>
      <c r="BB88" s="12">
        <f>VLOOKUP(A88,'Données projet'!$A$87:$I$107,9,0)</f>
        <v>5.8</v>
      </c>
      <c r="BC88" s="12">
        <f t="array" ref="BC88">INDEX(BB:BB,MIN(IF(ISNUMBER(BB88:BB284),ROW(BB88:BB284),"")))</f>
        <v>5.8</v>
      </c>
      <c r="BD88" s="12">
        <f>IF('Données projet'!$A$88&gt;35,BD87+BC88-BL87,IF(A88&lt;'Données projet'!$A$88,$BA$205^A88,IF(A88='Données projet'!$A$88,'Données projet'!$B$88,BD87+BC88-BL87)))</f>
        <v>268.99999999999994</v>
      </c>
      <c r="BE88" s="13">
        <f>BD88*VLOOKUP('Données projet'!$B$11,Paramètres!$A$1:$I$89,3,0)*VLOOKUP('Données projet'!$B$11,Paramètres!$A$1:$I$89,5,0)</f>
        <v>272.76599999999996</v>
      </c>
      <c r="BF88" s="13">
        <f t="shared" si="91"/>
        <v>65.43593563008757</v>
      </c>
      <c r="BG88" s="20">
        <f t="shared" si="61"/>
        <v>589.03503788906914</v>
      </c>
      <c r="BH88" s="59">
        <f t="shared" si="62"/>
        <v>882.3683712224024</v>
      </c>
      <c r="BI88" s="59">
        <f ca="1">AVERAGE(OFFSET($BH$3,0,0,'Données projet'!$E$11+1,1))-AVERAGE(OFFSET($H$3,0,0,'Données projet'!$E$11+1,1))</f>
        <v>413.81510455446738</v>
      </c>
      <c r="BJ88" s="59">
        <f t="shared" si="92"/>
        <v>254.25036207346602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21</v>
      </c>
      <c r="BM88" s="16">
        <f>IF(ISNA(VLOOKUP(A88,'Données projet'!$A$87:$I$107,5,0)),0%,VLOOKUP(A88,'Données projet'!$A$87:$I$107,5,0)*VLOOKUP('Données projet'!$B$11,Paramètres!$A$1:$I$89,7,0))</f>
        <v>0.25800000000000001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29.620476526241795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29.620476526241795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200</v>
      </c>
      <c r="BW88" s="12">
        <f>VLOOKUP(A88,'Données projet'!$A$113:$I$133,9,0)</f>
        <v>4.4000000000000004</v>
      </c>
      <c r="BX88" s="12">
        <f t="array" ref="BX88">INDEX(BW:BW,MIN(IF(ISNUMBER(BW88:BW284),ROW(BW88:BW284),"")))</f>
        <v>4.4000000000000004</v>
      </c>
      <c r="BY88" s="12">
        <f>IF('Données projet'!$A$114&gt;35,BY87+BX88-CG87,IF(A88&lt;'Données projet'!$A$114,$BV$205^A88,IF(A88='Données projet'!$A$114,'Données projet'!$B$114,BY87+BX88-CG87)))</f>
        <v>200</v>
      </c>
      <c r="BZ88" s="13">
        <f>BY88*VLOOKUP('Données projet'!$B$12,Paramètres!$A$1:$I$89,3,0)*VLOOKUP('Données projet'!$B$12,Paramètres!$A$1:$I$89,5,0)</f>
        <v>190.32</v>
      </c>
      <c r="CA88" s="13">
        <f t="shared" si="93"/>
        <v>47.61069337740188</v>
      </c>
      <c r="CB88" s="20">
        <f t="shared" si="64"/>
        <v>414.39595763230818</v>
      </c>
      <c r="CC88" s="59">
        <f t="shared" si="65"/>
        <v>707.72929096564144</v>
      </c>
      <c r="CD88" s="59">
        <f ca="1">AVERAGE(OFFSET($CC$3,0,0,'Données projet'!$E$12+1,1))-AVERAGE(OFFSET($H$3,0,0,'Données projet'!$E$12+1,1))</f>
        <v>292.61712942007972</v>
      </c>
      <c r="CE88" s="59">
        <f t="shared" si="94"/>
        <v>152.23954167722536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14</v>
      </c>
      <c r="CH88" s="16">
        <f>IF(ISNA(VLOOKUP(A88,'Données projet'!$A$113:$I$133,5,0)),0%,VLOOKUP(A88,'Données projet'!$A$113:$I$133,5,0)*VLOOKUP('Données projet'!$B$12,Paramètres!$A$1:$I$89,7,0))</f>
        <v>0.129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5.8392325164077477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5.8392325164077477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200</v>
      </c>
      <c r="CR88" s="12">
        <f>VLOOKUP(A88,'Données projet'!$A$139:$I$159,9,0)</f>
        <v>4.4000000000000004</v>
      </c>
      <c r="CS88" s="12">
        <f t="array" ref="CS88">INDEX(CR:CR,MIN(IF(ISNUMBER(CR88:CR284),ROW(CR88:CR284),"")))</f>
        <v>4.4000000000000004</v>
      </c>
      <c r="CT88" s="12">
        <f>IF('Données projet'!$A$140&gt;35,CT87+CS88-DB87,IF(A88&lt;'Données projet'!$A$140,$CQ$205^A88,IF(A88='Données projet'!$A$140,'Données projet'!$B$140,CT87+CS88-DB87)))</f>
        <v>200</v>
      </c>
      <c r="CU88" s="17">
        <f>CT88*VLOOKUP('Données projet'!$B$13,Paramètres!$A$1:$I$89,3,0)*VLOOKUP('Données projet'!$B$13,Paramètres!$A$1:$I$89,5,0)</f>
        <v>193.44</v>
      </c>
      <c r="CV88" s="13">
        <f t="shared" si="95"/>
        <v>48.299691961776745</v>
      </c>
      <c r="CW88" s="20">
        <f t="shared" si="67"/>
        <v>421.02996350009448</v>
      </c>
      <c r="CX88" s="59">
        <f t="shared" si="68"/>
        <v>714.36329683342774</v>
      </c>
      <c r="CY88" s="59">
        <f ca="1">AVERAGE(OFFSET($CX$3,0,0,'Données projet'!$E$13+1,1))-AVERAGE(OFFSET($H$3,0,0,'Données projet'!$E$13+1,1))</f>
        <v>296.78766823247003</v>
      </c>
      <c r="CZ88" s="59">
        <f t="shared" si="96"/>
        <v>154.08406475869634</v>
      </c>
      <c r="DA88" s="15">
        <f>IF(ISNA(VLOOKUP(A88,'Données projet'!$A$139:$I$159,3,0)),0,VLOOKUP(A88,'Données projet'!$A$139:$I$159,3,0))</f>
        <v>13</v>
      </c>
      <c r="DB88" s="15">
        <f>IF(ISNA(VLOOKUP(A88,'Données projet'!$A$139:$I$159,4,0)),0,VLOOKUP(A88,'Données projet'!$A$139:$I$159,4,0))</f>
        <v>14</v>
      </c>
      <c r="DC88" s="16">
        <f>IF(ISNA(VLOOKUP(A88,'Données projet'!$A$139:$I$159,5,0)),0%,VLOOKUP(A88,'Données projet'!$A$139:$I$159,5,0)*VLOOKUP('Données projet'!$B$13,Paramètres!$A$1:$I$89,7,0))</f>
        <v>0.17200000000000001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4.3236078170506973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4.3236078170506973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229.61973863654862</v>
      </c>
      <c r="T89" s="59">
        <f t="shared" si="88"/>
        <v>254.08208375594052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54.482960098692352</v>
      </c>
      <c r="AA89" s="21">
        <f>EXP(-LN(2)/25)*AA88+(1-EXP(-LN(2)/25))/(LN(2)/25)*Calculateur!V89*Calculateur!X89*VLOOKUP('Données projet'!$B$9,Paramètres!$A$1:$I$89,3,0)*0.475*44/12</f>
        <v>28.989186274387965</v>
      </c>
      <c r="AB89" s="21">
        <f>EXP(-LN(2)/2)*AB88+(1-EXP(-LN(2)/2))/(LN(2)/2)*V89*Y89*VLOOKUP('Données projet'!$B$9,Paramètres!$A$1:$I$89,3,0)*0.475*44/12</f>
        <v>6.7155344019094237E-3</v>
      </c>
      <c r="AC89" s="22">
        <f t="shared" si="57"/>
        <v>83.478861907482226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2.2737367544323206E-13</v>
      </c>
      <c r="AJ89" s="13">
        <f>AI89*VLOOKUP('Données projet'!$B$10,Paramètres!$A$1:$I$89,3,0)*VLOOKUP('Données projet'!$B$10,Paramètres!$A$1:$I$89,5,0)</f>
        <v>1.3596945791505279E-13</v>
      </c>
      <c r="AK89" s="13">
        <f t="shared" si="89"/>
        <v>1.9708830566360721E-12</v>
      </c>
      <c r="AL89" s="20">
        <f t="shared" si="58"/>
        <v>3.669434796176543E-12</v>
      </c>
      <c r="AM89" s="59">
        <f t="shared" si="59"/>
        <v>293.33333333333701</v>
      </c>
      <c r="AN89" s="59">
        <f ca="1">AVERAGE(OFFSET($AM$3,0,0,'Données projet'!$E$10+1,1))-AVERAGE(OFFSET($H$3,0,0,'Données projet'!$E$10+1,1))</f>
        <v>348.76139845974495</v>
      </c>
      <c r="AO89" s="59">
        <f t="shared" si="90"/>
        <v>398.5142967182872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105.64696537256491</v>
      </c>
      <c r="AV89" s="21">
        <f>EXP(-LN(2)/25)*AV88+(1-EXP(-LN(2)/25))/(LN(2)/25)*Calculateur!AQ89*Calculateur!AS89*VLOOKUP('Données projet'!$B$10,Paramètres!$A$1:$I$89,3,0)*0.475*44/12</f>
        <v>27.645180446369089</v>
      </c>
      <c r="AW89" s="21">
        <f>EXP(-LN(2)/2)*AW88+(1-EXP(-LN(2)/2))/(LN(2)/2)*AQ89*AT89*VLOOKUP('Données projet'!$B$10,Paramètres!$A$1:$I$89,3,0)*0.475*44/12</f>
        <v>5.8130573266333271E-3</v>
      </c>
      <c r="AX89" s="21">
        <f t="shared" si="60"/>
        <v>133.29795887626062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5.4</v>
      </c>
      <c r="BD89" s="12">
        <f>IF('Données projet'!$A$88&gt;35,BD88+BC89-BL88,IF(A89&lt;'Données projet'!$A$88,$BA$205^A89,IF(A89='Données projet'!$A$88,'Données projet'!$B$88,BD88+BC89-BL88)))</f>
        <v>253.39999999999992</v>
      </c>
      <c r="BE89" s="13">
        <f>BD89*VLOOKUP('Données projet'!$B$11,Paramètres!$A$1:$I$89,3,0)*VLOOKUP('Données projet'!$B$11,Paramètres!$A$1:$I$89,5,0)</f>
        <v>256.94759999999991</v>
      </c>
      <c r="BF89" s="13">
        <f t="shared" si="91"/>
        <v>62.071283104858246</v>
      </c>
      <c r="BG89" s="20">
        <f t="shared" si="61"/>
        <v>555.62455474096134</v>
      </c>
      <c r="BH89" s="59">
        <f t="shared" si="62"/>
        <v>848.95788807429471</v>
      </c>
      <c r="BI89" s="59">
        <f ca="1">AVERAGE(OFFSET($BH$3,0,0,'Données projet'!$E$11+1,1))-AVERAGE(OFFSET($H$3,0,0,'Données projet'!$E$11+1,1))</f>
        <v>413.81510455446738</v>
      </c>
      <c r="BJ89" s="59">
        <f t="shared" si="92"/>
        <v>254.25036207346602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29.039637048268936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29.039637048268936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4.2</v>
      </c>
      <c r="BY89" s="12">
        <f>IF('Données projet'!$A$114&gt;35,BY88+BX89-CG88,IF(A89&lt;'Données projet'!$A$114,$BV$205^A89,IF(A89='Données projet'!$A$114,'Données projet'!$B$114,BY88+BX89-CG88)))</f>
        <v>190.2</v>
      </c>
      <c r="BZ89" s="13">
        <f>BY89*VLOOKUP('Données projet'!$B$12,Paramètres!$A$1:$I$89,3,0)*VLOOKUP('Données projet'!$B$12,Paramètres!$A$1:$I$89,5,0)</f>
        <v>180.99431999999999</v>
      </c>
      <c r="CA89" s="13">
        <f t="shared" si="93"/>
        <v>45.543333072238994</v>
      </c>
      <c r="CB89" s="20">
        <f t="shared" si="64"/>
        <v>394.55307910081621</v>
      </c>
      <c r="CC89" s="59">
        <f t="shared" si="65"/>
        <v>687.88641243414952</v>
      </c>
      <c r="CD89" s="59">
        <f ca="1">AVERAGE(OFFSET($CC$3,0,0,'Données projet'!$E$12+1,1))-AVERAGE(OFFSET($H$3,0,0,'Données projet'!$E$12+1,1))</f>
        <v>292.61712942007972</v>
      </c>
      <c r="CE89" s="59">
        <f t="shared" si="94"/>
        <v>152.23954167722536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5.7247287283411499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5.7247287283411499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4.2</v>
      </c>
      <c r="CT89" s="12">
        <f>IF('Données projet'!$A$140&gt;35,CT88+CS89-DB88,IF(A89&lt;'Données projet'!$A$140,$CQ$205^A89,IF(A89='Données projet'!$A$140,'Données projet'!$B$140,CT88+CS89-DB88)))</f>
        <v>190.2</v>
      </c>
      <c r="CU89" s="17">
        <f>CT89*VLOOKUP('Données projet'!$B$13,Paramètres!$A$1:$I$89,3,0)*VLOOKUP('Données projet'!$B$13,Paramètres!$A$1:$I$89,5,0)</f>
        <v>183.96143999999998</v>
      </c>
      <c r="CV89" s="13">
        <f t="shared" si="95"/>
        <v>46.202413833061925</v>
      </c>
      <c r="CW89" s="20">
        <f t="shared" si="67"/>
        <v>400.86871209258283</v>
      </c>
      <c r="CX89" s="59">
        <f t="shared" si="68"/>
        <v>694.20204542591614</v>
      </c>
      <c r="CY89" s="59">
        <f ca="1">AVERAGE(OFFSET($CX$3,0,0,'Données projet'!$E$13+1,1))-AVERAGE(OFFSET($H$3,0,0,'Données projet'!$E$13+1,1))</f>
        <v>296.78766823247003</v>
      </c>
      <c r="CZ89" s="59">
        <f t="shared" si="96"/>
        <v>154.08406475869634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4.2388245048987052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4.2388245048987052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229.61973863654862</v>
      </c>
      <c r="T90" s="59">
        <f t="shared" si="88"/>
        <v>254.08208375594052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53.414582482481336</v>
      </c>
      <c r="AA90" s="21">
        <f>EXP(-LN(2)/25)*AA89+(1-EXP(-LN(2)/25))/(LN(2)/25)*Calculateur!V90*Calculateur!X90*VLOOKUP('Données projet'!$B$9,Paramètres!$A$1:$I$89,3,0)*0.475*44/12</f>
        <v>28.196475451239774</v>
      </c>
      <c r="AB90" s="21">
        <f>EXP(-LN(2)/2)*AB89+(1-EXP(-LN(2)/2))/(LN(2)/2)*V90*Y90*VLOOKUP('Données projet'!$B$9,Paramètres!$A$1:$I$89,3,0)*0.475*44/12</f>
        <v>4.7485999148816991E-3</v>
      </c>
      <c r="AC90" s="22">
        <f t="shared" si="57"/>
        <v>81.61580653363599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2.2737367544323206E-13</v>
      </c>
      <c r="AJ90" s="13">
        <f>AI90*VLOOKUP('Données projet'!$B$10,Paramètres!$A$1:$I$89,3,0)*VLOOKUP('Données projet'!$B$10,Paramètres!$A$1:$I$89,5,0)</f>
        <v>1.3596945791505279E-13</v>
      </c>
      <c r="AK90" s="13">
        <f t="shared" si="89"/>
        <v>1.9708830566360721E-12</v>
      </c>
      <c r="AL90" s="20">
        <f t="shared" si="58"/>
        <v>3.669434796176543E-12</v>
      </c>
      <c r="AM90" s="59">
        <f t="shared" si="59"/>
        <v>293.33333333333701</v>
      </c>
      <c r="AN90" s="59">
        <f ca="1">AVERAGE(OFFSET($AM$3,0,0,'Données projet'!$E$10+1,1))-AVERAGE(OFFSET($H$3,0,0,'Données projet'!$E$10+1,1))</f>
        <v>348.76139845974495</v>
      </c>
      <c r="AO90" s="59">
        <f t="shared" si="90"/>
        <v>398.5142967182872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103.57529281989504</v>
      </c>
      <c r="AV90" s="21">
        <f>EXP(-LN(2)/25)*AV89+(1-EXP(-LN(2)/25))/(LN(2)/25)*Calculateur!AQ90*Calculateur!AS90*VLOOKUP('Données projet'!$B$10,Paramètres!$A$1:$I$89,3,0)*0.475*44/12</f>
        <v>26.889221533266269</v>
      </c>
      <c r="AW90" s="21">
        <f>EXP(-LN(2)/2)*AW89+(1-EXP(-LN(2)/2))/(LN(2)/2)*AQ90*AT90*VLOOKUP('Données projet'!$B$10,Paramètres!$A$1:$I$89,3,0)*0.475*44/12</f>
        <v>4.1104522550885689E-3</v>
      </c>
      <c r="AX90" s="21">
        <f t="shared" si="60"/>
        <v>130.4686248054164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5.4</v>
      </c>
      <c r="BD90" s="12">
        <f>IF('Données projet'!$A$88&gt;35,BD89+BC90-BL89,IF(A90&lt;'Données projet'!$A$88,$BA$205^A90,IF(A90='Données projet'!$A$88,'Données projet'!$B$88,BD89+BC90-BL89)))</f>
        <v>258.7999999999999</v>
      </c>
      <c r="BE90" s="13">
        <f>BD90*VLOOKUP('Données projet'!$B$11,Paramètres!$A$1:$I$89,3,0)*VLOOKUP('Données projet'!$B$11,Paramètres!$A$1:$I$89,5,0)</f>
        <v>262.42319999999989</v>
      </c>
      <c r="BF90" s="13">
        <f t="shared" si="91"/>
        <v>63.238627062047733</v>
      </c>
      <c r="BG90" s="20">
        <f t="shared" si="61"/>
        <v>567.19434879973289</v>
      </c>
      <c r="BH90" s="59">
        <f t="shared" si="62"/>
        <v>860.52768213306626</v>
      </c>
      <c r="BI90" s="59">
        <f ca="1">AVERAGE(OFFSET($BH$3,0,0,'Données projet'!$E$11+1,1))-AVERAGE(OFFSET($H$3,0,0,'Données projet'!$E$11+1,1))</f>
        <v>413.81510455446738</v>
      </c>
      <c r="BJ90" s="59">
        <f t="shared" si="92"/>
        <v>254.25036207346602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28.470187478182023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28.470187478182023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4.2</v>
      </c>
      <c r="BY90" s="12">
        <f>IF('Données projet'!$A$114&gt;35,BY89+BX90-CG89,IF(A90&lt;'Données projet'!$A$114,$BV$205^A90,IF(A90='Données projet'!$A$114,'Données projet'!$B$114,BY89+BX90-CG89)))</f>
        <v>194.39999999999998</v>
      </c>
      <c r="BZ90" s="13">
        <f>BY90*VLOOKUP('Données projet'!$B$12,Paramètres!$A$1:$I$89,3,0)*VLOOKUP('Données projet'!$B$12,Paramètres!$A$1:$I$89,5,0)</f>
        <v>184.99104</v>
      </c>
      <c r="CA90" s="13">
        <f t="shared" si="93"/>
        <v>46.430826882655644</v>
      </c>
      <c r="CB90" s="20">
        <f t="shared" si="64"/>
        <v>403.05975148729186</v>
      </c>
      <c r="CC90" s="59">
        <f t="shared" si="65"/>
        <v>696.39308482062518</v>
      </c>
      <c r="CD90" s="59">
        <f ca="1">AVERAGE(OFFSET($CC$3,0,0,'Données projet'!$E$12+1,1))-AVERAGE(OFFSET($H$3,0,0,'Données projet'!$E$12+1,1))</f>
        <v>292.61712942007972</v>
      </c>
      <c r="CE90" s="59">
        <f t="shared" si="94"/>
        <v>152.23954167722536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5.6124702897181233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5.6124702897181233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4.2</v>
      </c>
      <c r="CT90" s="12">
        <f>IF('Données projet'!$A$140&gt;35,CT89+CS90-DB89,IF(A90&lt;'Données projet'!$A$140,$CQ$205^A90,IF(A90='Données projet'!$A$140,'Données projet'!$B$140,CT89+CS90-DB89)))</f>
        <v>194.39999999999998</v>
      </c>
      <c r="CU90" s="17">
        <f>CT90*VLOOKUP('Données projet'!$B$13,Paramètres!$A$1:$I$89,3,0)*VLOOKUP('Données projet'!$B$13,Paramètres!$A$1:$I$89,5,0)</f>
        <v>188.02367999999998</v>
      </c>
      <c r="CV90" s="13">
        <f t="shared" si="95"/>
        <v>47.102751018267753</v>
      </c>
      <c r="CW90" s="20">
        <f t="shared" si="67"/>
        <v>409.51186735681631</v>
      </c>
      <c r="CX90" s="59">
        <f t="shared" si="68"/>
        <v>702.84520069014957</v>
      </c>
      <c r="CY90" s="59">
        <f ca="1">AVERAGE(OFFSET($CX$3,0,0,'Données projet'!$E$13+1,1))-AVERAGE(OFFSET($H$3,0,0,'Données projet'!$E$13+1,1))</f>
        <v>296.78766823247003</v>
      </c>
      <c r="CZ90" s="59">
        <f t="shared" si="96"/>
        <v>154.08406475869634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4.1557037417852998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4.1557037417852998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229.61973863654862</v>
      </c>
      <c r="T91" s="59">
        <f t="shared" si="88"/>
        <v>254.08208375594052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52.367155099678214</v>
      </c>
      <c r="AA91" s="21">
        <f>EXP(-LN(2)/25)*AA90+(1-EXP(-LN(2)/25))/(LN(2)/25)*Calculateur!V91*Calculateur!X91*VLOOKUP('Données projet'!$B$9,Paramètres!$A$1:$I$89,3,0)*0.475*44/12</f>
        <v>27.425441347237424</v>
      </c>
      <c r="AB91" s="21">
        <f>EXP(-LN(2)/2)*AB90+(1-EXP(-LN(2)/2))/(LN(2)/2)*V91*Y91*VLOOKUP('Données projet'!$B$9,Paramètres!$A$1:$I$89,3,0)*0.475*44/12</f>
        <v>3.3577672009547119E-3</v>
      </c>
      <c r="AC91" s="22">
        <f t="shared" si="57"/>
        <v>79.795954214116591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2.2737367544323206E-13</v>
      </c>
      <c r="AJ91" s="13">
        <f>AI91*VLOOKUP('Données projet'!$B$10,Paramètres!$A$1:$I$89,3,0)*VLOOKUP('Données projet'!$B$10,Paramètres!$A$1:$I$89,5,0)</f>
        <v>1.3596945791505279E-13</v>
      </c>
      <c r="AK91" s="13">
        <f t="shared" si="89"/>
        <v>1.9708830566360721E-12</v>
      </c>
      <c r="AL91" s="20">
        <f t="shared" si="58"/>
        <v>3.669434796176543E-12</v>
      </c>
      <c r="AM91" s="59">
        <f t="shared" si="59"/>
        <v>293.33333333333701</v>
      </c>
      <c r="AN91" s="59">
        <f ca="1">AVERAGE(OFFSET($AM$3,0,0,'Données projet'!$E$10+1,1))-AVERAGE(OFFSET($H$3,0,0,'Données projet'!$E$10+1,1))</f>
        <v>348.76139845974495</v>
      </c>
      <c r="AO91" s="59">
        <f t="shared" si="90"/>
        <v>398.5142967182872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101.54424450238754</v>
      </c>
      <c r="AV91" s="21">
        <f>EXP(-LN(2)/25)*AV90+(1-EXP(-LN(2)/25))/(LN(2)/25)*Calculateur!AQ91*Calculateur!AS91*VLOOKUP('Données projet'!$B$10,Paramètres!$A$1:$I$89,3,0)*0.475*44/12</f>
        <v>26.153934356396398</v>
      </c>
      <c r="AW91" s="21">
        <f>EXP(-LN(2)/2)*AW90+(1-EXP(-LN(2)/2))/(LN(2)/2)*AQ91*AT91*VLOOKUP('Données projet'!$B$10,Paramètres!$A$1:$I$89,3,0)*0.475*44/12</f>
        <v>2.9065286633166636E-3</v>
      </c>
      <c r="AX91" s="21">
        <f t="shared" si="60"/>
        <v>127.70108538744725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5.4</v>
      </c>
      <c r="BD91" s="12">
        <f>IF('Données projet'!$A$88&gt;35,BD90+BC91-BL90,IF(A91&lt;'Données projet'!$A$88,$BA$205^A91,IF(A91='Données projet'!$A$88,'Données projet'!$B$88,BD90+BC91-BL90)))</f>
        <v>264.19999999999987</v>
      </c>
      <c r="BE91" s="13">
        <f>BD91*VLOOKUP('Données projet'!$B$11,Paramètres!$A$1:$I$89,3,0)*VLOOKUP('Données projet'!$B$11,Paramètres!$A$1:$I$89,5,0)</f>
        <v>267.89879999999988</v>
      </c>
      <c r="BF91" s="13">
        <f t="shared" si="91"/>
        <v>64.403139057834508</v>
      </c>
      <c r="BG91" s="20">
        <f t="shared" si="61"/>
        <v>578.75921052572812</v>
      </c>
      <c r="BH91" s="59">
        <f t="shared" si="62"/>
        <v>872.09254385906138</v>
      </c>
      <c r="BI91" s="59">
        <f ca="1">AVERAGE(OFFSET($BH$3,0,0,'Données projet'!$E$11+1,1))-AVERAGE(OFFSET($H$3,0,0,'Données projet'!$E$11+1,1))</f>
        <v>413.81510455446738</v>
      </c>
      <c r="BJ91" s="59">
        <f t="shared" si="92"/>
        <v>254.25036207346602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27.911904466834574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27.911904466834574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4.2</v>
      </c>
      <c r="BY91" s="12">
        <f>IF('Données projet'!$A$114&gt;35,BY90+BX91-CG90,IF(A91&lt;'Données projet'!$A$114,$BV$205^A91,IF(A91='Données projet'!$A$114,'Données projet'!$B$114,BY90+BX91-CG90)))</f>
        <v>198.59999999999997</v>
      </c>
      <c r="BZ91" s="13">
        <f>BY91*VLOOKUP('Données projet'!$B$12,Paramètres!$A$1:$I$89,3,0)*VLOOKUP('Données projet'!$B$12,Paramètres!$A$1:$I$89,5,0)</f>
        <v>188.98775999999995</v>
      </c>
      <c r="CA91" s="13">
        <f t="shared" si="93"/>
        <v>47.316091431214247</v>
      </c>
      <c r="CB91" s="20">
        <f t="shared" si="64"/>
        <v>411.56254124269799</v>
      </c>
      <c r="CC91" s="59">
        <f t="shared" si="65"/>
        <v>704.89587457603125</v>
      </c>
      <c r="CD91" s="59">
        <f ca="1">AVERAGE(OFFSET($CC$3,0,0,'Données projet'!$E$12+1,1))-AVERAGE(OFFSET($H$3,0,0,'Données projet'!$E$12+1,1))</f>
        <v>292.61712942007972</v>
      </c>
      <c r="CE91" s="59">
        <f t="shared" si="94"/>
        <v>152.23954167722536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5.5024131706056076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5.5024131706056076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4.2</v>
      </c>
      <c r="CT91" s="12">
        <f>IF('Données projet'!$A$140&gt;35,CT90+CS91-DB90,IF(A91&lt;'Données projet'!$A$140,$CQ$205^A91,IF(A91='Données projet'!$A$140,'Données projet'!$B$140,CT90+CS91-DB90)))</f>
        <v>198.59999999999997</v>
      </c>
      <c r="CU91" s="17">
        <f>CT91*VLOOKUP('Données projet'!$B$13,Paramètres!$A$1:$I$89,3,0)*VLOOKUP('Données projet'!$B$13,Paramètres!$A$1:$I$89,5,0)</f>
        <v>192.08591999999996</v>
      </c>
      <c r="CV91" s="13">
        <f t="shared" si="95"/>
        <v>48.000826680832176</v>
      </c>
      <c r="CW91" s="20">
        <f t="shared" si="67"/>
        <v>418.15108380244925</v>
      </c>
      <c r="CX91" s="59">
        <f t="shared" si="68"/>
        <v>711.48441713578256</v>
      </c>
      <c r="CY91" s="59">
        <f ca="1">AVERAGE(OFFSET($CX$3,0,0,'Données projet'!$E$13+1,1))-AVERAGE(OFFSET($H$3,0,0,'Données projet'!$E$13+1,1))</f>
        <v>296.78766823247003</v>
      </c>
      <c r="CZ91" s="59">
        <f t="shared" si="96"/>
        <v>154.08406475869634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4.0742129261378892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4.0742129261378892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229.61973863654862</v>
      </c>
      <c r="T92" s="59">
        <f t="shared" si="88"/>
        <v>254.08208375594052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51.340267128984244</v>
      </c>
      <c r="AA92" s="21">
        <f>EXP(-LN(2)/25)*AA91+(1-EXP(-LN(2)/25))/(LN(2)/25)*Calculateur!V92*Calculateur!X92*VLOOKUP('Données projet'!$B$9,Paramètres!$A$1:$I$89,3,0)*0.475*44/12</f>
        <v>26.675491211355936</v>
      </c>
      <c r="AB92" s="21">
        <f>EXP(-LN(2)/2)*AB91+(1-EXP(-LN(2)/2))/(LN(2)/2)*V92*Y92*VLOOKUP('Données projet'!$B$9,Paramètres!$A$1:$I$89,3,0)*0.475*44/12</f>
        <v>2.3742999574408495E-3</v>
      </c>
      <c r="AC92" s="22">
        <f t="shared" si="57"/>
        <v>78.018132640297623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2.2737367544323206E-13</v>
      </c>
      <c r="AJ92" s="13">
        <f>AI92*VLOOKUP('Données projet'!$B$10,Paramètres!$A$1:$I$89,3,0)*VLOOKUP('Données projet'!$B$10,Paramètres!$A$1:$I$89,5,0)</f>
        <v>1.3596945791505279E-13</v>
      </c>
      <c r="AK92" s="13">
        <f t="shared" si="89"/>
        <v>1.9708830566360721E-12</v>
      </c>
      <c r="AL92" s="20">
        <f t="shared" si="58"/>
        <v>3.669434796176543E-12</v>
      </c>
      <c r="AM92" s="59">
        <f t="shared" si="59"/>
        <v>293.33333333333701</v>
      </c>
      <c r="AN92" s="59">
        <f ca="1">AVERAGE(OFFSET($AM$3,0,0,'Données projet'!$E$10+1,1))-AVERAGE(OFFSET($H$3,0,0,'Données projet'!$E$10+1,1))</f>
        <v>348.76139845974495</v>
      </c>
      <c r="AO92" s="59">
        <f t="shared" si="90"/>
        <v>398.5142967182872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99.553023803569204</v>
      </c>
      <c r="AV92" s="21">
        <f>EXP(-LN(2)/25)*AV91+(1-EXP(-LN(2)/25))/(LN(2)/25)*Calculateur!AQ92*Calculateur!AS92*VLOOKUP('Données projet'!$B$10,Paramètres!$A$1:$I$89,3,0)*0.475*44/12</f>
        <v>25.438753646045107</v>
      </c>
      <c r="AW92" s="21">
        <f>EXP(-LN(2)/2)*AW91+(1-EXP(-LN(2)/2))/(LN(2)/2)*AQ92*AT92*VLOOKUP('Données projet'!$B$10,Paramètres!$A$1:$I$89,3,0)*0.475*44/12</f>
        <v>2.0552261275442844E-3</v>
      </c>
      <c r="AX92" s="21">
        <f t="shared" si="60"/>
        <v>124.99383267574186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5.4</v>
      </c>
      <c r="BD92" s="12">
        <f>IF('Données projet'!$A$88&gt;35,BD91+BC92-BL91,IF(A92&lt;'Données projet'!$A$88,$BA$205^A92,IF(A92='Données projet'!$A$88,'Données projet'!$B$88,BD91+BC92-BL91)))</f>
        <v>269.59999999999985</v>
      </c>
      <c r="BE92" s="13">
        <f>BD92*VLOOKUP('Données projet'!$B$11,Paramètres!$A$1:$I$89,3,0)*VLOOKUP('Données projet'!$B$11,Paramètres!$A$1:$I$89,5,0)</f>
        <v>273.37439999999987</v>
      </c>
      <c r="BF92" s="13">
        <f t="shared" si="91"/>
        <v>65.564883644654373</v>
      </c>
      <c r="BG92" s="20">
        <f t="shared" si="61"/>
        <v>590.3192523477727</v>
      </c>
      <c r="BH92" s="59">
        <f t="shared" si="62"/>
        <v>883.65258568110607</v>
      </c>
      <c r="BI92" s="59">
        <f ca="1">AVERAGE(OFFSET($BH$3,0,0,'Données projet'!$E$11+1,1))-AVERAGE(OFFSET($H$3,0,0,'Données projet'!$E$11+1,1))</f>
        <v>413.81510455446738</v>
      </c>
      <c r="BJ92" s="59">
        <f t="shared" si="92"/>
        <v>254.25036207346602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27.364569044820634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27.364569044820634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4.2</v>
      </c>
      <c r="BY92" s="12">
        <f>IF('Données projet'!$A$114&gt;35,BY91+BX92-CG91,IF(A92&lt;'Données projet'!$A$114,$BV$205^A92,IF(A92='Données projet'!$A$114,'Données projet'!$B$114,BY91+BX92-CG91)))</f>
        <v>202.79999999999995</v>
      </c>
      <c r="BZ92" s="13">
        <f>BY92*VLOOKUP('Données projet'!$B$12,Paramètres!$A$1:$I$89,3,0)*VLOOKUP('Données projet'!$B$12,Paramètres!$A$1:$I$89,5,0)</f>
        <v>192.98447999999996</v>
      </c>
      <c r="CA92" s="13">
        <f t="shared" si="93"/>
        <v>48.199179293232802</v>
      </c>
      <c r="CB92" s="20">
        <f t="shared" si="64"/>
        <v>420.06153993571371</v>
      </c>
      <c r="CC92" s="59">
        <f t="shared" si="65"/>
        <v>713.39487326904703</v>
      </c>
      <c r="CD92" s="59">
        <f ca="1">AVERAGE(OFFSET($CC$3,0,0,'Données projet'!$E$12+1,1))-AVERAGE(OFFSET($H$3,0,0,'Données projet'!$E$12+1,1))</f>
        <v>292.61712942007972</v>
      </c>
      <c r="CE92" s="59">
        <f t="shared" si="94"/>
        <v>152.23954167722536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5.3945142044706742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5.3945142044706742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4.2</v>
      </c>
      <c r="CT92" s="12">
        <f>IF('Données projet'!$A$140&gt;35,CT91+CS92-DB91,IF(A92&lt;'Données projet'!$A$140,$CQ$205^A92,IF(A92='Données projet'!$A$140,'Données projet'!$B$140,CT91+CS92-DB91)))</f>
        <v>202.79999999999995</v>
      </c>
      <c r="CU92" s="17">
        <f>CT92*VLOOKUP('Données projet'!$B$13,Paramètres!$A$1:$I$89,3,0)*VLOOKUP('Données projet'!$B$13,Paramètres!$A$1:$I$89,5,0)</f>
        <v>196.14815999999996</v>
      </c>
      <c r="CV92" s="13">
        <f t="shared" si="95"/>
        <v>48.896694156917398</v>
      </c>
      <c r="CW92" s="20">
        <f t="shared" si="67"/>
        <v>426.78645432329768</v>
      </c>
      <c r="CX92" s="59">
        <f t="shared" si="68"/>
        <v>720.11978765663093</v>
      </c>
      <c r="CY92" s="59">
        <f ca="1">AVERAGE(OFFSET($CX$3,0,0,'Données projet'!$E$13+1,1))-AVERAGE(OFFSET($H$3,0,0,'Données projet'!$E$13+1,1))</f>
        <v>296.78766823247003</v>
      </c>
      <c r="CZ92" s="59">
        <f t="shared" si="96"/>
        <v>154.08406475869634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3.9943200956808345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3.9943200956808345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229.61973863654862</v>
      </c>
      <c r="T93" s="59">
        <f t="shared" si="88"/>
        <v>254.08208375594052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50.333515805055768</v>
      </c>
      <c r="AA93" s="21">
        <f>EXP(-LN(2)/25)*AA92+(1-EXP(-LN(2)/25))/(LN(2)/25)*Calculateur!V93*Calculateur!X93*VLOOKUP('Données projet'!$B$9,Paramètres!$A$1:$I$89,3,0)*0.475*44/12</f>
        <v>25.946048501378293</v>
      </c>
      <c r="AB93" s="21">
        <f>EXP(-LN(2)/2)*AB92+(1-EXP(-LN(2)/2))/(LN(2)/2)*V93*Y93*VLOOKUP('Données projet'!$B$9,Paramètres!$A$1:$I$89,3,0)*0.475*44/12</f>
        <v>1.6788836004773559E-3</v>
      </c>
      <c r="AC93" s="22">
        <f t="shared" si="57"/>
        <v>76.28124319003453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2.2737367544323206E-13</v>
      </c>
      <c r="AJ93" s="13">
        <f>AI93*VLOOKUP('Données projet'!$B$10,Paramètres!$A$1:$I$89,3,0)*VLOOKUP('Données projet'!$B$10,Paramètres!$A$1:$I$89,5,0)</f>
        <v>1.3596945791505279E-13</v>
      </c>
      <c r="AK93" s="13">
        <f t="shared" si="89"/>
        <v>1.9708830566360721E-12</v>
      </c>
      <c r="AL93" s="20">
        <f t="shared" si="58"/>
        <v>3.669434796176543E-12</v>
      </c>
      <c r="AM93" s="59">
        <f t="shared" si="59"/>
        <v>293.33333333333701</v>
      </c>
      <c r="AN93" s="59">
        <f ca="1">AVERAGE(OFFSET($AM$3,0,0,'Données projet'!$E$10+1,1))-AVERAGE(OFFSET($H$3,0,0,'Données projet'!$E$10+1,1))</f>
        <v>348.76139845974495</v>
      </c>
      <c r="AO93" s="59">
        <f t="shared" si="90"/>
        <v>398.5142967182872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97.600849728130001</v>
      </c>
      <c r="AV93" s="21">
        <f>EXP(-LN(2)/25)*AV92+(1-EXP(-LN(2)/25))/(LN(2)/25)*Calculateur!AQ93*Calculateur!AS93*VLOOKUP('Données projet'!$B$10,Paramètres!$A$1:$I$89,3,0)*0.475*44/12</f>
        <v>24.74312958982809</v>
      </c>
      <c r="AW93" s="21">
        <f>EXP(-LN(2)/2)*AW92+(1-EXP(-LN(2)/2))/(LN(2)/2)*AQ93*AT93*VLOOKUP('Données projet'!$B$10,Paramètres!$A$1:$I$89,3,0)*0.475*44/12</f>
        <v>1.4532643316583318E-3</v>
      </c>
      <c r="AX93" s="21">
        <f t="shared" si="60"/>
        <v>122.34543258228975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275</v>
      </c>
      <c r="BB93" s="12">
        <f>VLOOKUP(A93,'Données projet'!$A$87:$I$107,9,0)</f>
        <v>5.4</v>
      </c>
      <c r="BC93" s="12">
        <f t="array" ref="BC93">INDEX(BB:BB,MIN(IF(ISNUMBER(BB93:BB289),ROW(BB93:BB289),"")))</f>
        <v>5.4</v>
      </c>
      <c r="BD93" s="12">
        <f>IF('Données projet'!$A$88&gt;35,BD92+BC93-BL92,IF(A93&lt;'Données projet'!$A$88,$BA$205^A93,IF(A93='Données projet'!$A$88,'Données projet'!$B$88,BD92+BC93-BL92)))</f>
        <v>274.99999999999983</v>
      </c>
      <c r="BE93" s="13">
        <f>BD93*VLOOKUP('Données projet'!$B$11,Paramètres!$A$1:$I$89,3,0)*VLOOKUP('Données projet'!$B$11,Paramètres!$A$1:$I$89,5,0)</f>
        <v>278.84999999999985</v>
      </c>
      <c r="BF93" s="13">
        <f t="shared" si="91"/>
        <v>66.723922641152967</v>
      </c>
      <c r="BG93" s="20">
        <f t="shared" si="61"/>
        <v>601.87458193334112</v>
      </c>
      <c r="BH93" s="59">
        <f t="shared" si="62"/>
        <v>895.20791526667449</v>
      </c>
      <c r="BI93" s="59">
        <f ca="1">AVERAGE(OFFSET($BH$3,0,0,'Données projet'!$E$11+1,1))-AVERAGE(OFFSET($H$3,0,0,'Données projet'!$E$11+1,1))</f>
        <v>413.81510455446738</v>
      </c>
      <c r="BJ93" s="59">
        <f t="shared" si="92"/>
        <v>254.25036207346602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21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33.913472301384914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33.913472301384914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207</v>
      </c>
      <c r="BW93" s="12">
        <f>VLOOKUP(A93,'Données projet'!$A$113:$I$133,9,0)</f>
        <v>4.2</v>
      </c>
      <c r="BX93" s="12">
        <f t="array" ref="BX93">INDEX(BW:BW,MIN(IF(ISNUMBER(BW93:BW289),ROW(BW93:BW289),"")))</f>
        <v>4.2</v>
      </c>
      <c r="BY93" s="12">
        <f>IF('Données projet'!$A$114&gt;35,BY92+BX93-CG92,IF(A93&lt;'Données projet'!$A$114,$BV$205^A93,IF(A93='Données projet'!$A$114,'Données projet'!$B$114,BY92+BX93-CG92)))</f>
        <v>206.99999999999994</v>
      </c>
      <c r="BZ93" s="13">
        <f>BY93*VLOOKUP('Données projet'!$B$12,Paramètres!$A$1:$I$89,3,0)*VLOOKUP('Données projet'!$B$12,Paramètres!$A$1:$I$89,5,0)</f>
        <v>196.98119999999994</v>
      </c>
      <c r="CA93" s="13">
        <f t="shared" si="93"/>
        <v>49.080140741894134</v>
      </c>
      <c r="CB93" s="20">
        <f t="shared" si="64"/>
        <v>428.55683512546551</v>
      </c>
      <c r="CC93" s="59">
        <f t="shared" si="65"/>
        <v>721.89016845879883</v>
      </c>
      <c r="CD93" s="59">
        <f ca="1">AVERAGE(OFFSET($CC$3,0,0,'Données projet'!$E$12+1,1))-AVERAGE(OFFSET($H$3,0,0,'Données projet'!$E$12+1,1))</f>
        <v>292.61712942007972</v>
      </c>
      <c r="CE93" s="59">
        <f t="shared" si="94"/>
        <v>152.23954167722536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14</v>
      </c>
      <c r="CH93" s="16">
        <f>IF(ISNA(VLOOKUP(A93,'Données projet'!$A$113:$I$133,5,0)),0%,VLOOKUP(A93,'Données projet'!$A$113:$I$133,5,0)*VLOOKUP('Données projet'!$B$12,Paramètres!$A$1:$I$89,7,0))</f>
        <v>0.129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7.1885809686231568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7.1885809686231568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207</v>
      </c>
      <c r="CR93" s="12">
        <f>VLOOKUP(A93,'Données projet'!$A$139:$I$159,9,0)</f>
        <v>4.2</v>
      </c>
      <c r="CS93" s="12">
        <f t="array" ref="CS93">INDEX(CR:CR,MIN(IF(ISNUMBER(CR93:CR289),ROW(CR93:CR289),"")))</f>
        <v>4.2</v>
      </c>
      <c r="CT93" s="12">
        <f>IF('Données projet'!$A$140&gt;35,CT92+CS93-DB92,IF(A93&lt;'Données projet'!$A$140,$CQ$205^A93,IF(A93='Données projet'!$A$140,'Données projet'!$B$140,CT92+CS93-DB92)))</f>
        <v>206.99999999999994</v>
      </c>
      <c r="CU93" s="17">
        <f>CT93*VLOOKUP('Données projet'!$B$13,Paramètres!$A$1:$I$89,3,0)*VLOOKUP('Données projet'!$B$13,Paramètres!$A$1:$I$89,5,0)</f>
        <v>200.21039999999996</v>
      </c>
      <c r="CV93" s="13">
        <f t="shared" si="95"/>
        <v>49.790404447235048</v>
      </c>
      <c r="CW93" s="20">
        <f t="shared" si="67"/>
        <v>435.41806774560092</v>
      </c>
      <c r="CX93" s="59">
        <f t="shared" si="68"/>
        <v>728.75140107893424</v>
      </c>
      <c r="CY93" s="59">
        <f ca="1">AVERAGE(OFFSET($CX$3,0,0,'Données projet'!$E$13+1,1))-AVERAGE(OFFSET($H$3,0,0,'Données projet'!$E$13+1,1))</f>
        <v>296.78766823247003</v>
      </c>
      <c r="CZ93" s="59">
        <f t="shared" si="96"/>
        <v>154.08406475869634</v>
      </c>
      <c r="DA93" s="15">
        <f>IF(ISNA(VLOOKUP(A93,'Données projet'!$A$139:$I$159,3,0)),0,VLOOKUP(A93,'Données projet'!$A$139:$I$159,3,0))</f>
        <v>14</v>
      </c>
      <c r="DB93" s="15">
        <f>IF(ISNA(VLOOKUP(A93,'Données projet'!$A$139:$I$159,4,0)),0,VLOOKUP(A93,'Données projet'!$A$139:$I$159,4,0))</f>
        <v>14</v>
      </c>
      <c r="DC93" s="16">
        <f>IF(ISNA(VLOOKUP(A93,'Données projet'!$A$139:$I$159,5,0)),0%,VLOOKUP(A93,'Données projet'!$A$139:$I$159,5,0)*VLOOKUP('Données projet'!$B$13,Paramètres!$A$1:$I$89,7,0))</f>
        <v>0.215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7.1343188776628779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7.1343188776628779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229.61973863654862</v>
      </c>
      <c r="T94" s="59">
        <f t="shared" si="88"/>
        <v>254.08208375594052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49.346506260531854</v>
      </c>
      <c r="AA94" s="21">
        <f>EXP(-LN(2)/25)*AA93+(1-EXP(-LN(2)/25))/(LN(2)/25)*Calculateur!V94*Calculateur!X94*VLOOKUP('Données projet'!$B$9,Paramètres!$A$1:$I$89,3,0)*0.475*44/12</f>
        <v>25.236552440664713</v>
      </c>
      <c r="AB94" s="21">
        <f>EXP(-LN(2)/2)*AB93+(1-EXP(-LN(2)/2))/(LN(2)/2)*V94*Y94*VLOOKUP('Données projet'!$B$9,Paramètres!$A$1:$I$89,3,0)*0.475*44/12</f>
        <v>1.1871499787204248E-3</v>
      </c>
      <c r="AC94" s="22">
        <f t="shared" si="57"/>
        <v>74.584245851175282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2.2737367544323206E-13</v>
      </c>
      <c r="AJ94" s="13">
        <f>AI94*VLOOKUP('Données projet'!$B$10,Paramètres!$A$1:$I$89,3,0)*VLOOKUP('Données projet'!$B$10,Paramètres!$A$1:$I$89,5,0)</f>
        <v>1.3596945791505279E-13</v>
      </c>
      <c r="AK94" s="13">
        <f t="shared" si="89"/>
        <v>1.9708830566360721E-12</v>
      </c>
      <c r="AL94" s="20">
        <f t="shared" si="58"/>
        <v>3.669434796176543E-12</v>
      </c>
      <c r="AM94" s="59">
        <f t="shared" si="59"/>
        <v>293.33333333333701</v>
      </c>
      <c r="AN94" s="59">
        <f ca="1">AVERAGE(OFFSET($AM$3,0,0,'Données projet'!$E$10+1,1))-AVERAGE(OFFSET($H$3,0,0,'Données projet'!$E$10+1,1))</f>
        <v>348.76139845974495</v>
      </c>
      <c r="AO94" s="59">
        <f t="shared" si="90"/>
        <v>398.5142967182872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95.686956595601544</v>
      </c>
      <c r="AV94" s="21">
        <f>EXP(-LN(2)/25)*AV93+(1-EXP(-LN(2)/25))/(LN(2)/25)*Calculateur!AQ94*Calculateur!AS94*VLOOKUP('Données projet'!$B$10,Paramètres!$A$1:$I$89,3,0)*0.475*44/12</f>
        <v>24.066527410009606</v>
      </c>
      <c r="AW94" s="21">
        <f>EXP(-LN(2)/2)*AW93+(1-EXP(-LN(2)/2))/(LN(2)/2)*AQ94*AT94*VLOOKUP('Données projet'!$B$10,Paramètres!$A$1:$I$89,3,0)*0.475*44/12</f>
        <v>1.0276130637721422E-3</v>
      </c>
      <c r="AX94" s="21">
        <f t="shared" si="60"/>
        <v>119.75451161867491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2.8</v>
      </c>
      <c r="BD94" s="12">
        <f>IF('Données projet'!$A$88&gt;35,BD93+BC94-BL93,IF(A94&lt;'Données projet'!$A$88,$BA$205^A94,IF(A94='Données projet'!$A$88,'Données projet'!$B$88,BD93+BC94-BL93)))</f>
        <v>256.79999999999984</v>
      </c>
      <c r="BE94" s="13">
        <f>BD94*VLOOKUP('Données projet'!$B$11,Paramètres!$A$1:$I$89,3,0)*VLOOKUP('Données projet'!$B$11,Paramètres!$A$1:$I$89,5,0)</f>
        <v>260.39519999999987</v>
      </c>
      <c r="BF94" s="13">
        <f t="shared" si="91"/>
        <v>62.806611177714331</v>
      </c>
      <c r="BG94" s="20">
        <f t="shared" si="61"/>
        <v>562.90982113451889</v>
      </c>
      <c r="BH94" s="59">
        <f t="shared" si="62"/>
        <v>856.24315446785226</v>
      </c>
      <c r="BI94" s="59">
        <f ca="1">AVERAGE(OFFSET($BH$3,0,0,'Données projet'!$E$11+1,1))-AVERAGE(OFFSET($H$3,0,0,'Données projet'!$E$11+1,1))</f>
        <v>413.81510455446738</v>
      </c>
      <c r="BJ94" s="59">
        <f t="shared" si="92"/>
        <v>254.25036207346602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33.248449794730369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33.248449794730369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2.2999999999999998</v>
      </c>
      <c r="BY94" s="12">
        <f>IF('Données projet'!$A$114&gt;35,BY93+BX94-CG93,IF(A94&lt;'Données projet'!$A$114,$BV$205^A94,IF(A94='Données projet'!$A$114,'Données projet'!$B$114,BY93+BX94-CG93)))</f>
        <v>195.29999999999995</v>
      </c>
      <c r="BZ94" s="13">
        <f>BY94*VLOOKUP('Données projet'!$B$12,Paramètres!$A$1:$I$89,3,0)*VLOOKUP('Données projet'!$B$12,Paramètres!$A$1:$I$89,5,0)</f>
        <v>185.84747999999996</v>
      </c>
      <c r="CA94" s="13">
        <f t="shared" si="93"/>
        <v>46.620712268437735</v>
      </c>
      <c r="CB94" s="20">
        <f t="shared" si="64"/>
        <v>404.88210153419567</v>
      </c>
      <c r="CC94" s="59">
        <f t="shared" si="65"/>
        <v>698.21543486752898</v>
      </c>
      <c r="CD94" s="59">
        <f ca="1">AVERAGE(OFFSET($CC$3,0,0,'Données projet'!$E$12+1,1))-AVERAGE(OFFSET($H$3,0,0,'Données projet'!$E$12+1,1))</f>
        <v>292.61712942007972</v>
      </c>
      <c r="CE94" s="59">
        <f t="shared" si="94"/>
        <v>152.23954167722536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7.047617280429904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7.047617280429904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2.2999999999999998</v>
      </c>
      <c r="CT94" s="12">
        <f>IF('Données projet'!$A$140&gt;35,CT93+CS94-DB93,IF(A94&lt;'Données projet'!$A$140,$CQ$205^A94,IF(A94='Données projet'!$A$140,'Données projet'!$B$140,CT93+CS94-DB93)))</f>
        <v>195.29999999999995</v>
      </c>
      <c r="CU94" s="17">
        <f>CT94*VLOOKUP('Données projet'!$B$13,Paramètres!$A$1:$I$89,3,0)*VLOOKUP('Données projet'!$B$13,Paramètres!$A$1:$I$89,5,0)</f>
        <v>188.89415999999997</v>
      </c>
      <c r="CV94" s="13">
        <f t="shared" si="95"/>
        <v>47.295384332145751</v>
      </c>
      <c r="CW94" s="20">
        <f t="shared" si="67"/>
        <v>411.36345637848711</v>
      </c>
      <c r="CX94" s="59">
        <f t="shared" si="68"/>
        <v>704.69678971182043</v>
      </c>
      <c r="CY94" s="59">
        <f ca="1">AVERAGE(OFFSET($CX$3,0,0,'Données projet'!$E$13+1,1))-AVERAGE(OFFSET($H$3,0,0,'Données projet'!$E$13+1,1))</f>
        <v>296.78766823247003</v>
      </c>
      <c r="CZ94" s="59">
        <f t="shared" si="96"/>
        <v>154.08406475869634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6.994419235976749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6.994419235976749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229.61973863654862</v>
      </c>
      <c r="T95" s="59">
        <f t="shared" si="88"/>
        <v>254.08208375594052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48.378851371159676</v>
      </c>
      <c r="AA95" s="21">
        <f>EXP(-LN(2)/25)*AA94+(1-EXP(-LN(2)/25))/(LN(2)/25)*Calculateur!V95*Calculateur!X95*VLOOKUP('Données projet'!$B$9,Paramètres!$A$1:$I$89,3,0)*0.475*44/12</f>
        <v>24.546457587042124</v>
      </c>
      <c r="AB95" s="21">
        <f>EXP(-LN(2)/2)*AB94+(1-EXP(-LN(2)/2))/(LN(2)/2)*V95*Y95*VLOOKUP('Données projet'!$B$9,Paramètres!$A$1:$I$89,3,0)*0.475*44/12</f>
        <v>8.3944180023867796E-4</v>
      </c>
      <c r="AC95" s="22">
        <f t="shared" si="57"/>
        <v>72.926148400002035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2.2737367544323206E-13</v>
      </c>
      <c r="AJ95" s="13">
        <f>AI95*VLOOKUP('Données projet'!$B$10,Paramètres!$A$1:$I$89,3,0)*VLOOKUP('Données projet'!$B$10,Paramètres!$A$1:$I$89,5,0)</f>
        <v>1.3596945791505279E-13</v>
      </c>
      <c r="AK95" s="13">
        <f t="shared" si="89"/>
        <v>1.9708830566360721E-12</v>
      </c>
      <c r="AL95" s="20">
        <f t="shared" si="58"/>
        <v>3.669434796176543E-12</v>
      </c>
      <c r="AM95" s="59">
        <f t="shared" si="59"/>
        <v>293.33333333333701</v>
      </c>
      <c r="AN95" s="59">
        <f ca="1">AVERAGE(OFFSET($AM$3,0,0,'Données projet'!$E$10+1,1))-AVERAGE(OFFSET($H$3,0,0,'Données projet'!$E$10+1,1))</f>
        <v>348.76139845974495</v>
      </c>
      <c r="AO95" s="59">
        <f t="shared" si="90"/>
        <v>398.5142967182872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93.810593740042421</v>
      </c>
      <c r="AV95" s="21">
        <f>EXP(-LN(2)/25)*AV94+(1-EXP(-LN(2)/25))/(LN(2)/25)*Calculateur!AQ95*Calculateur!AS95*VLOOKUP('Données projet'!$B$10,Paramètres!$A$1:$I$89,3,0)*0.475*44/12</f>
        <v>23.408426952379223</v>
      </c>
      <c r="AW95" s="21">
        <f>EXP(-LN(2)/2)*AW94+(1-EXP(-LN(2)/2))/(LN(2)/2)*AQ95*AT95*VLOOKUP('Données projet'!$B$10,Paramètres!$A$1:$I$89,3,0)*0.475*44/12</f>
        <v>7.2663216582916589E-4</v>
      </c>
      <c r="AX95" s="21">
        <f t="shared" si="60"/>
        <v>117.21974732458747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2.8</v>
      </c>
      <c r="BD95" s="12">
        <f>IF('Données projet'!$A$88&gt;35,BD94+BC95-BL94,IF(A95&lt;'Données projet'!$A$88,$BA$205^A95,IF(A95='Données projet'!$A$88,'Données projet'!$B$88,BD94+BC95-BL94)))</f>
        <v>259.59999999999985</v>
      </c>
      <c r="BE95" s="13">
        <f>BD95*VLOOKUP('Données projet'!$B$11,Paramètres!$A$1:$I$89,3,0)*VLOOKUP('Données projet'!$B$11,Paramètres!$A$1:$I$89,5,0)</f>
        <v>263.23439999999988</v>
      </c>
      <c r="BF95" s="13">
        <f t="shared" si="91"/>
        <v>63.411324464279346</v>
      </c>
      <c r="BG95" s="20">
        <f t="shared" si="61"/>
        <v>568.90797010861957</v>
      </c>
      <c r="BH95" s="59">
        <f t="shared" si="62"/>
        <v>862.24130344195282</v>
      </c>
      <c r="BI95" s="59">
        <f ca="1">AVERAGE(OFFSET($BH$3,0,0,'Données projet'!$E$11+1,1))-AVERAGE(OFFSET($H$3,0,0,'Données projet'!$E$11+1,1))</f>
        <v>413.81510455446738</v>
      </c>
      <c r="BJ95" s="59">
        <f t="shared" si="92"/>
        <v>254.25036207346602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32.596467973807641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32.596467973807641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2.2999999999999998</v>
      </c>
      <c r="BY95" s="12">
        <f>IF('Données projet'!$A$114&gt;35,BY94+BX95-CG94,IF(A95&lt;'Données projet'!$A$114,$BV$205^A95,IF(A95='Données projet'!$A$114,'Données projet'!$B$114,BY94+BX95-CG94)))</f>
        <v>197.59999999999997</v>
      </c>
      <c r="BZ95" s="13">
        <f>BY95*VLOOKUP('Données projet'!$B$12,Paramètres!$A$1:$I$89,3,0)*VLOOKUP('Données projet'!$B$12,Paramètres!$A$1:$I$89,5,0)</f>
        <v>188.03615999999997</v>
      </c>
      <c r="CA95" s="13">
        <f t="shared" si="93"/>
        <v>47.105513518601285</v>
      </c>
      <c r="CB95" s="20">
        <f t="shared" si="64"/>
        <v>409.5384147115638</v>
      </c>
      <c r="CC95" s="59">
        <f t="shared" si="65"/>
        <v>702.87174804489712</v>
      </c>
      <c r="CD95" s="59">
        <f ca="1">AVERAGE(OFFSET($CC$3,0,0,'Données projet'!$E$12+1,1))-AVERAGE(OFFSET($H$3,0,0,'Données projet'!$E$12+1,1))</f>
        <v>292.61712942007972</v>
      </c>
      <c r="CE95" s="59">
        <f t="shared" si="94"/>
        <v>152.23954167722536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6.9094178041827607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6.9094178041827607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2.2999999999999998</v>
      </c>
      <c r="CT95" s="12">
        <f>IF('Données projet'!$A$140&gt;35,CT94+CS95-DB94,IF(A95&lt;'Données projet'!$A$140,$CQ$205^A95,IF(A95='Données projet'!$A$140,'Données projet'!$B$140,CT94+CS95-DB94)))</f>
        <v>197.59999999999997</v>
      </c>
      <c r="CU95" s="17">
        <f>CT95*VLOOKUP('Données projet'!$B$13,Paramètres!$A$1:$I$89,3,0)*VLOOKUP('Données projet'!$B$13,Paramètres!$A$1:$I$89,5,0)</f>
        <v>191.11871999999997</v>
      </c>
      <c r="CV95" s="13">
        <f t="shared" si="95"/>
        <v>47.787201388032145</v>
      </c>
      <c r="CW95" s="20">
        <f t="shared" si="67"/>
        <v>416.09447975082259</v>
      </c>
      <c r="CX95" s="59">
        <f t="shared" si="68"/>
        <v>709.4278130841559</v>
      </c>
      <c r="CY95" s="59">
        <f ca="1">AVERAGE(OFFSET($CX$3,0,0,'Données projet'!$E$13+1,1))-AVERAGE(OFFSET($H$3,0,0,'Données projet'!$E$13+1,1))</f>
        <v>296.78766823247003</v>
      </c>
      <c r="CZ95" s="59">
        <f t="shared" si="96"/>
        <v>154.08406475869634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6.8572629409337296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6.8572629409337296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229.61973863654862</v>
      </c>
      <c r="T96" s="59">
        <f t="shared" si="88"/>
        <v>254.08208375594052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47.430171603956879</v>
      </c>
      <c r="AA96" s="21">
        <f>EXP(-LN(2)/25)*AA95+(1-EXP(-LN(2)/25))/(LN(2)/25)*Calculateur!V96*Calculateur!X96*VLOOKUP('Données projet'!$B$9,Paramètres!$A$1:$I$89,3,0)*0.475*44/12</f>
        <v>23.875233413482356</v>
      </c>
      <c r="AB96" s="21">
        <f>EXP(-LN(2)/2)*AB95+(1-EXP(-LN(2)/2))/(LN(2)/2)*V96*Y96*VLOOKUP('Données projet'!$B$9,Paramètres!$A$1:$I$89,3,0)*0.475*44/12</f>
        <v>5.9357498936021239E-4</v>
      </c>
      <c r="AC96" s="22">
        <f t="shared" si="57"/>
        <v>71.305998592428594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2.2737367544323206E-13</v>
      </c>
      <c r="AJ96" s="13">
        <f>AI96*VLOOKUP('Données projet'!$B$10,Paramètres!$A$1:$I$89,3,0)*VLOOKUP('Données projet'!$B$10,Paramètres!$A$1:$I$89,5,0)</f>
        <v>1.3596945791505279E-13</v>
      </c>
      <c r="AK96" s="13">
        <f t="shared" si="89"/>
        <v>1.9708830566360721E-12</v>
      </c>
      <c r="AL96" s="20">
        <f t="shared" si="58"/>
        <v>3.669434796176543E-12</v>
      </c>
      <c r="AM96" s="59">
        <f t="shared" si="59"/>
        <v>293.33333333333701</v>
      </c>
      <c r="AN96" s="59">
        <f ca="1">AVERAGE(OFFSET($AM$3,0,0,'Données projet'!$E$10+1,1))-AVERAGE(OFFSET($H$3,0,0,'Données projet'!$E$10+1,1))</f>
        <v>348.76139845974495</v>
      </c>
      <c r="AO96" s="59">
        <f t="shared" si="90"/>
        <v>398.5142967182872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91.971025215612485</v>
      </c>
      <c r="AV96" s="21">
        <f>EXP(-LN(2)/25)*AV95+(1-EXP(-LN(2)/25))/(LN(2)/25)*Calculateur!AQ96*Calculateur!AS96*VLOOKUP('Données projet'!$B$10,Paramètres!$A$1:$I$89,3,0)*0.475*44/12</f>
        <v>22.76832228637074</v>
      </c>
      <c r="AW96" s="21">
        <f>EXP(-LN(2)/2)*AW95+(1-EXP(-LN(2)/2))/(LN(2)/2)*AQ96*AT96*VLOOKUP('Données projet'!$B$10,Paramètres!$A$1:$I$89,3,0)*0.475*44/12</f>
        <v>5.1380653188607111E-4</v>
      </c>
      <c r="AX96" s="21">
        <f t="shared" si="60"/>
        <v>114.7398613085151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2.8</v>
      </c>
      <c r="BD96" s="12">
        <f>IF('Données projet'!$A$88&gt;35,BD95+BC96-BL95,IF(A96&lt;'Données projet'!$A$88,$BA$205^A96,IF(A96='Données projet'!$A$88,'Données projet'!$B$88,BD95+BC96-BL95)))</f>
        <v>262.39999999999986</v>
      </c>
      <c r="BE96" s="13">
        <f>BD96*VLOOKUP('Données projet'!$B$11,Paramètres!$A$1:$I$89,3,0)*VLOOKUP('Données projet'!$B$11,Paramètres!$A$1:$I$89,5,0)</f>
        <v>266.07359999999989</v>
      </c>
      <c r="BF96" s="13">
        <f t="shared" si="91"/>
        <v>64.015279012301079</v>
      </c>
      <c r="BG96" s="20">
        <f t="shared" si="61"/>
        <v>574.90479761309086</v>
      </c>
      <c r="BH96" s="59">
        <f t="shared" si="62"/>
        <v>868.23813094642423</v>
      </c>
      <c r="BI96" s="59">
        <f ca="1">AVERAGE(OFFSET($BH$3,0,0,'Données projet'!$E$11+1,1))-AVERAGE(OFFSET($H$3,0,0,'Données projet'!$E$11+1,1))</f>
        <v>413.81510455446738</v>
      </c>
      <c r="BJ96" s="59">
        <f t="shared" si="92"/>
        <v>254.25036207346602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31.957271118723565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31.957271118723565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2.2999999999999998</v>
      </c>
      <c r="BY96" s="12">
        <f>IF('Données projet'!$A$114&gt;35,BY95+BX96-CG95,IF(A96&lt;'Données projet'!$A$114,$BV$205^A96,IF(A96='Données projet'!$A$114,'Données projet'!$B$114,BY95+BX96-CG95)))</f>
        <v>199.89999999999998</v>
      </c>
      <c r="BZ96" s="13">
        <f>BY96*VLOOKUP('Données projet'!$B$12,Paramètres!$A$1:$I$89,3,0)*VLOOKUP('Données projet'!$B$12,Paramètres!$A$1:$I$89,5,0)</f>
        <v>190.22483999999997</v>
      </c>
      <c r="CA96" s="13">
        <f t="shared" si="93"/>
        <v>47.589658360852624</v>
      </c>
      <c r="CB96" s="20">
        <f t="shared" si="64"/>
        <v>414.19358464515159</v>
      </c>
      <c r="CC96" s="59">
        <f t="shared" si="65"/>
        <v>707.5269179784849</v>
      </c>
      <c r="CD96" s="59">
        <f ca="1">AVERAGE(OFFSET($CC$3,0,0,'Données projet'!$E$12+1,1))-AVERAGE(OFFSET($H$3,0,0,'Données projet'!$E$12+1,1))</f>
        <v>292.61712942007972</v>
      </c>
      <c r="CE96" s="59">
        <f t="shared" si="94"/>
        <v>152.23954167722536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6.7739283353714672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6.7739283353714672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2.2999999999999998</v>
      </c>
      <c r="CT96" s="12">
        <f>IF('Données projet'!$A$140&gt;35,CT95+CS96-DB95,IF(A96&lt;'Données projet'!$A$140,$CQ$205^A96,IF(A96='Données projet'!$A$140,'Données projet'!$B$140,CT95+CS96-DB95)))</f>
        <v>199.89999999999998</v>
      </c>
      <c r="CU96" s="17">
        <f>CT96*VLOOKUP('Données projet'!$B$13,Paramètres!$A$1:$I$89,3,0)*VLOOKUP('Données projet'!$B$13,Paramètres!$A$1:$I$89,5,0)</f>
        <v>193.34327999999999</v>
      </c>
      <c r="CV96" s="13">
        <f t="shared" si="95"/>
        <v>48.278352536793228</v>
      </c>
      <c r="CW96" s="20">
        <f t="shared" si="67"/>
        <v>420.82434333491483</v>
      </c>
      <c r="CX96" s="59">
        <f t="shared" si="68"/>
        <v>714.15767666824809</v>
      </c>
      <c r="CY96" s="59">
        <f ca="1">AVERAGE(OFFSET($CX$3,0,0,'Données projet'!$E$13+1,1))-AVERAGE(OFFSET($H$3,0,0,'Données projet'!$E$13+1,1))</f>
        <v>296.78766823247003</v>
      </c>
      <c r="CZ96" s="59">
        <f t="shared" si="96"/>
        <v>154.08406475869634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6.7227961971794237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6.7227961971794237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229.61973863654862</v>
      </c>
      <c r="T97" s="59">
        <f t="shared" si="88"/>
        <v>254.08208375594052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46.500094868351404</v>
      </c>
      <c r="AA97" s="21">
        <f>EXP(-LN(2)/25)*AA96+(1-EXP(-LN(2)/25))/(LN(2)/25)*Calculateur!V97*Calculateur!X97*VLOOKUP('Données projet'!$B$9,Paramètres!$A$1:$I$89,3,0)*0.475*44/12</f>
        <v>23.222363900246723</v>
      </c>
      <c r="AB97" s="21">
        <f>EXP(-LN(2)/2)*AB96+(1-EXP(-LN(2)/2))/(LN(2)/2)*V97*Y97*VLOOKUP('Données projet'!$B$9,Paramètres!$A$1:$I$89,3,0)*0.475*44/12</f>
        <v>4.1972090011933898E-4</v>
      </c>
      <c r="AC97" s="22">
        <f t="shared" si="57"/>
        <v>69.722878489498257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2.2737367544323206E-13</v>
      </c>
      <c r="AJ97" s="13">
        <f>AI97*VLOOKUP('Données projet'!$B$10,Paramètres!$A$1:$I$89,3,0)*VLOOKUP('Données projet'!$B$10,Paramètres!$A$1:$I$89,5,0)</f>
        <v>1.3596945791505279E-13</v>
      </c>
      <c r="AK97" s="13">
        <f t="shared" si="89"/>
        <v>1.9708830566360721E-12</v>
      </c>
      <c r="AL97" s="20">
        <f t="shared" si="58"/>
        <v>3.669434796176543E-12</v>
      </c>
      <c r="AM97" s="59">
        <f t="shared" si="59"/>
        <v>293.33333333333701</v>
      </c>
      <c r="AN97" s="59">
        <f ca="1">AVERAGE(OFFSET($AM$3,0,0,'Données projet'!$E$10+1,1))-AVERAGE(OFFSET($H$3,0,0,'Données projet'!$E$10+1,1))</f>
        <v>348.76139845974495</v>
      </c>
      <c r="AO97" s="59">
        <f t="shared" si="90"/>
        <v>398.5142967182872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90.167529507920605</v>
      </c>
      <c r="AV97" s="21">
        <f>EXP(-LN(2)/25)*AV96+(1-EXP(-LN(2)/25))/(LN(2)/25)*Calculateur!AQ97*Calculateur!AS97*VLOOKUP('Données projet'!$B$10,Paramètres!$A$1:$I$89,3,0)*0.475*44/12</f>
        <v>22.1457213161159</v>
      </c>
      <c r="AW97" s="21">
        <f>EXP(-LN(2)/2)*AW96+(1-EXP(-LN(2)/2))/(LN(2)/2)*AQ97*AT97*VLOOKUP('Données projet'!$B$10,Paramètres!$A$1:$I$89,3,0)*0.475*44/12</f>
        <v>3.6331608291458294E-4</v>
      </c>
      <c r="AX97" s="21">
        <f t="shared" si="60"/>
        <v>112.31361414011941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2.8</v>
      </c>
      <c r="BD97" s="12">
        <f>IF('Données projet'!$A$88&gt;35,BD96+BC97-BL96,IF(A97&lt;'Données projet'!$A$88,$BA$205^A97,IF(A97='Données projet'!$A$88,'Données projet'!$B$88,BD96+BC97-BL96)))</f>
        <v>265.19999999999987</v>
      </c>
      <c r="BE97" s="13">
        <f>BD97*VLOOKUP('Données projet'!$B$11,Paramètres!$A$1:$I$89,3,0)*VLOOKUP('Données projet'!$B$11,Paramètres!$A$1:$I$89,5,0)</f>
        <v>268.91279999999989</v>
      </c>
      <c r="BF97" s="13">
        <f t="shared" si="91"/>
        <v>64.618483855217121</v>
      </c>
      <c r="BG97" s="20">
        <f t="shared" si="61"/>
        <v>580.90031938116965</v>
      </c>
      <c r="BH97" s="59">
        <f t="shared" si="62"/>
        <v>874.23365271450302</v>
      </c>
      <c r="BI97" s="59">
        <f ca="1">AVERAGE(OFFSET($BH$3,0,0,'Données projet'!$E$11+1,1))-AVERAGE(OFFSET($H$3,0,0,'Données projet'!$E$11+1,1))</f>
        <v>413.81510455446738</v>
      </c>
      <c r="BJ97" s="59">
        <f t="shared" si="92"/>
        <v>254.25036207346602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31.330608524096103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31.330608524096103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2.2999999999999998</v>
      </c>
      <c r="BY97" s="12">
        <f>IF('Données projet'!$A$114&gt;35,BY96+BX97-CG96,IF(A97&lt;'Données projet'!$A$114,$BV$205^A97,IF(A97='Données projet'!$A$114,'Données projet'!$B$114,BY96+BX97-CG96)))</f>
        <v>202.2</v>
      </c>
      <c r="BZ97" s="13">
        <f>BY97*VLOOKUP('Données projet'!$B$12,Paramètres!$A$1:$I$89,3,0)*VLOOKUP('Données projet'!$B$12,Paramètres!$A$1:$I$89,5,0)</f>
        <v>192.41351999999998</v>
      </c>
      <c r="CA97" s="13">
        <f t="shared" si="93"/>
        <v>48.073155221496386</v>
      </c>
      <c r="CB97" s="20">
        <f t="shared" si="64"/>
        <v>418.84762601077279</v>
      </c>
      <c r="CC97" s="59">
        <f t="shared" si="65"/>
        <v>712.1809593441061</v>
      </c>
      <c r="CD97" s="59">
        <f ca="1">AVERAGE(OFFSET($CC$3,0,0,'Données projet'!$E$12+1,1))-AVERAGE(OFFSET($H$3,0,0,'Données projet'!$E$12+1,1))</f>
        <v>292.61712942007972</v>
      </c>
      <c r="CE97" s="59">
        <f t="shared" si="94"/>
        <v>152.23954167722536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6.641095732403147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6.641095732403147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2.2999999999999998</v>
      </c>
      <c r="CT97" s="12">
        <f>IF('Données projet'!$A$140&gt;35,CT96+CS97-DB96,IF(A97&lt;'Données projet'!$A$140,$CQ$205^A97,IF(A97='Données projet'!$A$140,'Données projet'!$B$140,CT96+CS97-DB96)))</f>
        <v>202.2</v>
      </c>
      <c r="CU97" s="17">
        <f>CT97*VLOOKUP('Données projet'!$B$13,Paramètres!$A$1:$I$89,3,0)*VLOOKUP('Données projet'!$B$13,Paramètres!$A$1:$I$89,5,0)</f>
        <v>195.56783999999999</v>
      </c>
      <c r="CV97" s="13">
        <f t="shared" si="95"/>
        <v>48.768846326674975</v>
      </c>
      <c r="CW97" s="20">
        <f t="shared" si="67"/>
        <v>425.55306201895888</v>
      </c>
      <c r="CX97" s="59">
        <f t="shared" si="68"/>
        <v>718.8863953522922</v>
      </c>
      <c r="CY97" s="59">
        <f ca="1">AVERAGE(OFFSET($CX$3,0,0,'Données projet'!$E$13+1,1))-AVERAGE(OFFSET($H$3,0,0,'Données projet'!$E$13+1,1))</f>
        <v>296.78766823247003</v>
      </c>
      <c r="CZ97" s="59">
        <f t="shared" si="96"/>
        <v>154.08406475869634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6.5909662642535247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6.5909662642535247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229.61973863654862</v>
      </c>
      <c r="T98" s="59">
        <f t="shared" si="88"/>
        <v>254.08208375594052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45.588256370240366</v>
      </c>
      <c r="AA98" s="21">
        <f>EXP(-LN(2)/25)*AA97+(1-EXP(-LN(2)/25))/(LN(2)/25)*Calculateur!V98*Calculateur!X98*VLOOKUP('Données projet'!$B$9,Paramètres!$A$1:$I$89,3,0)*0.475*44/12</f>
        <v>22.587347138183436</v>
      </c>
      <c r="AB98" s="21">
        <f>EXP(-LN(2)/2)*AB97+(1-EXP(-LN(2)/2))/(LN(2)/2)*V98*Y98*VLOOKUP('Données projet'!$B$9,Paramètres!$A$1:$I$89,3,0)*0.475*44/12</f>
        <v>2.9678749468010619E-4</v>
      </c>
      <c r="AC98" s="22">
        <f t="shared" si="57"/>
        <v>68.175900295918481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2.2737367544323206E-13</v>
      </c>
      <c r="AJ98" s="13">
        <f>AI98*VLOOKUP('Données projet'!$B$10,Paramètres!$A$1:$I$89,3,0)*VLOOKUP('Données projet'!$B$10,Paramètres!$A$1:$I$89,5,0)</f>
        <v>1.3596945791505279E-13</v>
      </c>
      <c r="AK98" s="13">
        <f t="shared" si="89"/>
        <v>1.9708830566360721E-12</v>
      </c>
      <c r="AL98" s="20">
        <f t="shared" si="58"/>
        <v>3.669434796176543E-12</v>
      </c>
      <c r="AM98" s="59">
        <f t="shared" si="59"/>
        <v>293.33333333333701</v>
      </c>
      <c r="AN98" s="59">
        <f ca="1">AVERAGE(OFFSET($AM$3,0,0,'Données projet'!$E$10+1,1))-AVERAGE(OFFSET($H$3,0,0,'Données projet'!$E$10+1,1))</f>
        <v>348.76139845974495</v>
      </c>
      <c r="AO98" s="59">
        <f t="shared" si="90"/>
        <v>398.5142967182872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88.399399251032804</v>
      </c>
      <c r="AV98" s="21">
        <f>EXP(-LN(2)/25)*AV97+(1-EXP(-LN(2)/25))/(LN(2)/25)*Calculateur!AQ98*Calculateur!AS98*VLOOKUP('Données projet'!$B$10,Paramètres!$A$1:$I$89,3,0)*0.475*44/12</f>
        <v>21.540145402133842</v>
      </c>
      <c r="AW98" s="21">
        <f>EXP(-LN(2)/2)*AW97+(1-EXP(-LN(2)/2))/(LN(2)/2)*AQ98*AT98*VLOOKUP('Données projet'!$B$10,Paramètres!$A$1:$I$89,3,0)*0.475*44/12</f>
        <v>2.5690326594303555E-4</v>
      </c>
      <c r="AX98" s="21">
        <f t="shared" si="60"/>
        <v>109.9398015564326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2.8</v>
      </c>
      <c r="BD98" s="12">
        <f>IF('Données projet'!$A$88&gt;35,BD97+BC98-BL97,IF(A98&lt;'Données projet'!$A$88,$BA$205^A98,IF(A98='Données projet'!$A$88,'Données projet'!$B$88,BD97+BC98-BL97)))</f>
        <v>267.99999999999989</v>
      </c>
      <c r="BE98" s="13">
        <f>BD98*VLOOKUP('Données projet'!$B$11,Paramètres!$A$1:$I$89,3,0)*VLOOKUP('Données projet'!$B$11,Paramètres!$A$1:$I$89,5,0)</f>
        <v>271.7519999999999</v>
      </c>
      <c r="BF98" s="13">
        <f t="shared" si="91"/>
        <v>65.220947824724931</v>
      </c>
      <c r="BG98" s="20">
        <f t="shared" si="61"/>
        <v>586.89455079472907</v>
      </c>
      <c r="BH98" s="59">
        <f t="shared" si="62"/>
        <v>880.22788412806244</v>
      </c>
      <c r="BI98" s="59">
        <f ca="1">AVERAGE(OFFSET($BH$3,0,0,'Données projet'!$E$11+1,1))-AVERAGE(OFFSET($H$3,0,0,'Données projet'!$E$11+1,1))</f>
        <v>413.81510455446738</v>
      </c>
      <c r="BJ98" s="59">
        <f t="shared" si="92"/>
        <v>254.25036207346602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30.716234400722843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30.716234400722843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2.2999999999999998</v>
      </c>
      <c r="BY98" s="12">
        <f>IF('Données projet'!$A$114&gt;35,BY97+BX98-CG97,IF(A98&lt;'Données projet'!$A$114,$BV$205^A98,IF(A98='Données projet'!$A$114,'Données projet'!$B$114,BY97+BX98-CG97)))</f>
        <v>204.5</v>
      </c>
      <c r="BZ98" s="13">
        <f>BY98*VLOOKUP('Données projet'!$B$12,Paramètres!$A$1:$I$89,3,0)*VLOOKUP('Données projet'!$B$12,Paramètres!$A$1:$I$89,5,0)</f>
        <v>194.60219999999998</v>
      </c>
      <c r="CA98" s="13">
        <f t="shared" si="93"/>
        <v>48.556012324105197</v>
      </c>
      <c r="CB98" s="20">
        <f t="shared" si="64"/>
        <v>423.50055313114984</v>
      </c>
      <c r="CC98" s="59">
        <f t="shared" si="65"/>
        <v>716.83388646448316</v>
      </c>
      <c r="CD98" s="59">
        <f ca="1">AVERAGE(OFFSET($CC$3,0,0,'Données projet'!$E$12+1,1))-AVERAGE(OFFSET($H$3,0,0,'Données projet'!$E$12+1,1))</f>
        <v>292.61712942007972</v>
      </c>
      <c r="CE98" s="59">
        <f t="shared" si="94"/>
        <v>152.23954167722536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6.5108678957591479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6.5108678957591479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2.2999999999999998</v>
      </c>
      <c r="CT98" s="12">
        <f>IF('Données projet'!$A$140&gt;35,CT97+CS98-DB97,IF(A98&lt;'Données projet'!$A$140,$CQ$205^A98,IF(A98='Données projet'!$A$140,'Données projet'!$B$140,CT97+CS98-DB97)))</f>
        <v>204.5</v>
      </c>
      <c r="CU98" s="17">
        <f>CT98*VLOOKUP('Données projet'!$B$13,Paramètres!$A$1:$I$89,3,0)*VLOOKUP('Données projet'!$B$13,Paramètres!$A$1:$I$89,5,0)</f>
        <v>197.79239999999999</v>
      </c>
      <c r="CV98" s="13">
        <f t="shared" si="95"/>
        <v>49.258691100257529</v>
      </c>
      <c r="CW98" s="20">
        <f t="shared" si="67"/>
        <v>430.28065033294848</v>
      </c>
      <c r="CX98" s="59">
        <f t="shared" si="68"/>
        <v>723.6139836662818</v>
      </c>
      <c r="CY98" s="59">
        <f ca="1">AVERAGE(OFFSET($CX$3,0,0,'Données projet'!$E$13+1,1))-AVERAGE(OFFSET($H$3,0,0,'Données projet'!$E$13+1,1))</f>
        <v>296.78766823247003</v>
      </c>
      <c r="CZ98" s="59">
        <f t="shared" si="96"/>
        <v>154.08406475869634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6.461721435903983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6.461721435903983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229.61973863654862</v>
      </c>
      <c r="T99" s="59">
        <f t="shared" si="88"/>
        <v>254.08208375594052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44.694298468910716</v>
      </c>
      <c r="AA99" s="21">
        <f>EXP(-LN(2)/25)*AA98+(1-EXP(-LN(2)/25))/(LN(2)/25)*Calculateur!V99*Calculateur!X99*VLOOKUP('Données projet'!$B$9,Paramètres!$A$1:$I$89,3,0)*0.475*44/12</f>
        <v>21.969694942872849</v>
      </c>
      <c r="AB99" s="21">
        <f>EXP(-LN(2)/2)*AB98+(1-EXP(-LN(2)/2))/(LN(2)/2)*V99*Y99*VLOOKUP('Données projet'!$B$9,Paramètres!$A$1:$I$89,3,0)*0.475*44/12</f>
        <v>2.0986045005966949E-4</v>
      </c>
      <c r="AC99" s="22">
        <f t="shared" si="57"/>
        <v>66.664203272233621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2.2737367544323206E-13</v>
      </c>
      <c r="AJ99" s="13">
        <f>AI99*VLOOKUP('Données projet'!$B$10,Paramètres!$A$1:$I$89,3,0)*VLOOKUP('Données projet'!$B$10,Paramètres!$A$1:$I$89,5,0)</f>
        <v>1.3596945791505279E-13</v>
      </c>
      <c r="AK99" s="13">
        <f t="shared" si="89"/>
        <v>1.9708830566360721E-12</v>
      </c>
      <c r="AL99" s="20">
        <f t="shared" si="58"/>
        <v>3.669434796176543E-12</v>
      </c>
      <c r="AM99" s="59">
        <f t="shared" si="59"/>
        <v>293.33333333333701</v>
      </c>
      <c r="AN99" s="59">
        <f ca="1">AVERAGE(OFFSET($AM$3,0,0,'Données projet'!$E$10+1,1))-AVERAGE(OFFSET($H$3,0,0,'Données projet'!$E$10+1,1))</f>
        <v>348.76139845974495</v>
      </c>
      <c r="AO99" s="59">
        <f t="shared" si="90"/>
        <v>398.5142967182872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86.665940950029608</v>
      </c>
      <c r="AV99" s="21">
        <f>EXP(-LN(2)/25)*AV98+(1-EXP(-LN(2)/25))/(LN(2)/25)*Calculateur!AQ99*Calculateur!AS99*VLOOKUP('Données projet'!$B$10,Paramètres!$A$1:$I$89,3,0)*0.475*44/12</f>
        <v>20.951128993365476</v>
      </c>
      <c r="AW99" s="21">
        <f>EXP(-LN(2)/2)*AW98+(1-EXP(-LN(2)/2))/(LN(2)/2)*AQ99*AT99*VLOOKUP('Données projet'!$B$10,Paramètres!$A$1:$I$89,3,0)*0.475*44/12</f>
        <v>1.8165804145729147E-4</v>
      </c>
      <c r="AX99" s="21">
        <f t="shared" si="60"/>
        <v>107.61725160143654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2.8</v>
      </c>
      <c r="BD99" s="12">
        <f>IF('Données projet'!$A$88&gt;35,BD98+BC99-BL98,IF(A99&lt;'Données projet'!$A$88,$BA$205^A99,IF(A99='Données projet'!$A$88,'Données projet'!$B$88,BD98+BC99-BL98)))</f>
        <v>270.7999999999999</v>
      </c>
      <c r="BE99" s="13">
        <f>BD99*VLOOKUP('Données projet'!$B$11,Paramètres!$A$1:$I$89,3,0)*VLOOKUP('Données projet'!$B$11,Paramètres!$A$1:$I$89,5,0)</f>
        <v>274.59119999999996</v>
      </c>
      <c r="BF99" s="13">
        <f t="shared" si="91"/>
        <v>65.822679557346859</v>
      </c>
      <c r="BG99" s="20">
        <f t="shared" si="61"/>
        <v>592.88750689571236</v>
      </c>
      <c r="BH99" s="59">
        <f t="shared" si="62"/>
        <v>886.22084022904573</v>
      </c>
      <c r="BI99" s="59">
        <f ca="1">AVERAGE(OFFSET($BH$3,0,0,'Données projet'!$E$11+1,1))-AVERAGE(OFFSET($H$3,0,0,'Données projet'!$E$11+1,1))</f>
        <v>413.81510455446738</v>
      </c>
      <c r="BJ99" s="59">
        <f t="shared" si="92"/>
        <v>254.25036207346602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30.113907779177719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30.113907779177719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2.2999999999999998</v>
      </c>
      <c r="BY99" s="12">
        <f>IF('Données projet'!$A$114&gt;35,BY98+BX99-CG98,IF(A99&lt;'Données projet'!$A$114,$BV$205^A99,IF(A99='Données projet'!$A$114,'Données projet'!$B$114,BY98+BX99-CG98)))</f>
        <v>206.8</v>
      </c>
      <c r="BZ99" s="13">
        <f>BY99*VLOOKUP('Données projet'!$B$12,Paramètres!$A$1:$I$89,3,0)*VLOOKUP('Données projet'!$B$12,Paramètres!$A$1:$I$89,5,0)</f>
        <v>196.79088000000002</v>
      </c>
      <c r="CA99" s="13">
        <f t="shared" si="93"/>
        <v>49.03823769662182</v>
      </c>
      <c r="CB99" s="20">
        <f t="shared" si="64"/>
        <v>428.15237998828303</v>
      </c>
      <c r="CC99" s="59">
        <f t="shared" si="65"/>
        <v>721.48571332161634</v>
      </c>
      <c r="CD99" s="59">
        <f ca="1">AVERAGE(OFFSET($CC$3,0,0,'Données projet'!$E$12+1,1))-AVERAGE(OFFSET($H$3,0,0,'Données projet'!$E$12+1,1))</f>
        <v>292.61712942007972</v>
      </c>
      <c r="CE99" s="59">
        <f t="shared" si="94"/>
        <v>152.23954167722536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6.3831937475606004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6.3831937475606004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2.2999999999999998</v>
      </c>
      <c r="CT99" s="12">
        <f>IF('Données projet'!$A$140&gt;35,CT98+CS99-DB98,IF(A99&lt;'Données projet'!$A$140,$CQ$205^A99,IF(A99='Données projet'!$A$140,'Données projet'!$B$140,CT98+CS99-DB98)))</f>
        <v>206.8</v>
      </c>
      <c r="CU99" s="17">
        <f>CT99*VLOOKUP('Données projet'!$B$13,Paramètres!$A$1:$I$89,3,0)*VLOOKUP('Données projet'!$B$13,Paramètres!$A$1:$I$89,5,0)</f>
        <v>200.01696000000001</v>
      </c>
      <c r="CV99" s="13">
        <f t="shared" si="95"/>
        <v>49.747895001660083</v>
      </c>
      <c r="CW99" s="20">
        <f t="shared" si="67"/>
        <v>435.0071224612247</v>
      </c>
      <c r="CX99" s="59">
        <f t="shared" si="68"/>
        <v>728.34045579455801</v>
      </c>
      <c r="CY99" s="59">
        <f ca="1">AVERAGE(OFFSET($CX$3,0,0,'Données projet'!$E$13+1,1))-AVERAGE(OFFSET($H$3,0,0,'Données projet'!$E$13+1,1))</f>
        <v>296.78766823247003</v>
      </c>
      <c r="CZ99" s="59">
        <f t="shared" si="96"/>
        <v>154.08406475869634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6.3350110198068146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6.3350110198068146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229.61973863654862</v>
      </c>
      <c r="T100" s="59">
        <f t="shared" si="88"/>
        <v>254.08208375594052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43.81787053676566</v>
      </c>
      <c r="AA100" s="21">
        <f>EXP(-LN(2)/25)*AA99+(1-EXP(-LN(2)/25))/(LN(2)/25)*Calculateur!V100*Calculateur!X100*VLOOKUP('Données projet'!$B$9,Paramètres!$A$1:$I$89,3,0)*0.475*44/12</f>
        <v>21.368932479323945</v>
      </c>
      <c r="AB100" s="21">
        <f>EXP(-LN(2)/2)*AB99+(1-EXP(-LN(2)/2))/(LN(2)/2)*V100*Y100*VLOOKUP('Données projet'!$B$9,Paramètres!$A$1:$I$89,3,0)*0.475*44/12</f>
        <v>1.483937473400531E-4</v>
      </c>
      <c r="AC100" s="22">
        <f t="shared" si="57"/>
        <v>65.186951409836951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2.2737367544323206E-13</v>
      </c>
      <c r="AJ100" s="13">
        <f>AI100*VLOOKUP('Données projet'!$B$10,Paramètres!$A$1:$I$89,3,0)*VLOOKUP('Données projet'!$B$10,Paramètres!$A$1:$I$89,5,0)</f>
        <v>1.3596945791505279E-13</v>
      </c>
      <c r="AK100" s="13">
        <f t="shared" si="89"/>
        <v>1.9708830566360721E-12</v>
      </c>
      <c r="AL100" s="20">
        <f t="shared" si="58"/>
        <v>3.669434796176543E-12</v>
      </c>
      <c r="AM100" s="59">
        <f t="shared" si="59"/>
        <v>293.33333333333701</v>
      </c>
      <c r="AN100" s="59">
        <f ca="1">AVERAGE(OFFSET($AM$3,0,0,'Données projet'!$E$10+1,1))-AVERAGE(OFFSET($H$3,0,0,'Données projet'!$E$10+1,1))</f>
        <v>348.76139845974495</v>
      </c>
      <c r="AO100" s="59">
        <f t="shared" si="90"/>
        <v>398.5142967182872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84.966474709003919</v>
      </c>
      <c r="AV100" s="21">
        <f>EXP(-LN(2)/25)*AV99+(1-EXP(-LN(2)/25))/(LN(2)/25)*Calculateur!AQ100*Calculateur!AS100*VLOOKUP('Données projet'!$B$10,Paramètres!$A$1:$I$89,3,0)*0.475*44/12</f>
        <v>20.378219269269909</v>
      </c>
      <c r="AW100" s="21">
        <f>EXP(-LN(2)/2)*AW99+(1-EXP(-LN(2)/2))/(LN(2)/2)*AQ100*AT100*VLOOKUP('Données projet'!$B$10,Paramètres!$A$1:$I$89,3,0)*0.475*44/12</f>
        <v>1.2845163297151778E-4</v>
      </c>
      <c r="AX100" s="21">
        <f t="shared" si="60"/>
        <v>105.3448224299068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2.8</v>
      </c>
      <c r="BD100" s="12">
        <f>IF('Données projet'!$A$88&gt;35,BD99+BC100-BL99,IF(A100&lt;'Données projet'!$A$88,$BA$205^A100,IF(A100='Données projet'!$A$88,'Données projet'!$B$88,BD99+BC100-BL99)))</f>
        <v>273.59999999999991</v>
      </c>
      <c r="BE100" s="13">
        <f>BD100*VLOOKUP('Données projet'!$B$11,Paramètres!$A$1:$I$89,3,0)*VLOOKUP('Données projet'!$B$11,Paramètres!$A$1:$I$89,5,0)</f>
        <v>277.43039999999991</v>
      </c>
      <c r="BF100" s="13">
        <f t="shared" si="91"/>
        <v>66.423687500715673</v>
      </c>
      <c r="BG100" s="20">
        <f t="shared" si="61"/>
        <v>598.87920239707955</v>
      </c>
      <c r="BH100" s="59">
        <f t="shared" si="62"/>
        <v>892.21253573041281</v>
      </c>
      <c r="BI100" s="59">
        <f ca="1">AVERAGE(OFFSET($BH$3,0,0,'Données projet'!$E$11+1,1))-AVERAGE(OFFSET($H$3,0,0,'Données projet'!$E$11+1,1))</f>
        <v>413.81510455446738</v>
      </c>
      <c r="BJ100" s="59">
        <f t="shared" si="92"/>
        <v>254.25036207346602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29.523392415298133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29.523392415298133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2.2999999999999998</v>
      </c>
      <c r="BY100" s="12">
        <f>IF('Données projet'!$A$114&gt;35,BY99+BX100-CG99,IF(A100&lt;'Données projet'!$A$114,$BV$205^A100,IF(A100='Données projet'!$A$114,'Données projet'!$B$114,BY99+BX100-CG99)))</f>
        <v>209.10000000000002</v>
      </c>
      <c r="BZ100" s="13">
        <f>BY100*VLOOKUP('Données projet'!$B$12,Paramètres!$A$1:$I$89,3,0)*VLOOKUP('Données projet'!$B$12,Paramètres!$A$1:$I$89,5,0)</f>
        <v>198.97956000000002</v>
      </c>
      <c r="CA100" s="13">
        <f t="shared" si="93"/>
        <v>49.519839178135342</v>
      </c>
      <c r="CB100" s="20">
        <f t="shared" si="64"/>
        <v>432.80312023525244</v>
      </c>
      <c r="CC100" s="59">
        <f t="shared" si="65"/>
        <v>726.13645356858569</v>
      </c>
      <c r="CD100" s="59">
        <f ca="1">AVERAGE(OFFSET($CC$3,0,0,'Données projet'!$E$12+1,1))-AVERAGE(OFFSET($H$3,0,0,'Données projet'!$E$12+1,1))</f>
        <v>292.61712942007972</v>
      </c>
      <c r="CE100" s="59">
        <f t="shared" si="94"/>
        <v>152.23954167722536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6.2580232115346854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6.2580232115346854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2.2999999999999998</v>
      </c>
      <c r="CT100" s="12">
        <f>IF('Données projet'!$A$140&gt;35,CT99+CS100-DB99,IF(A100&lt;'Données projet'!$A$140,$CQ$205^A100,IF(A100='Données projet'!$A$140,'Données projet'!$B$140,CT99+CS100-DB99)))</f>
        <v>209.10000000000002</v>
      </c>
      <c r="CU100" s="17">
        <f>CT100*VLOOKUP('Données projet'!$B$13,Paramètres!$A$1:$I$89,3,0)*VLOOKUP('Données projet'!$B$13,Paramètres!$A$1:$I$89,5,0)</f>
        <v>202.24152000000004</v>
      </c>
      <c r="CV100" s="13">
        <f t="shared" si="95"/>
        <v>50.236465983415187</v>
      </c>
      <c r="CW100" s="20">
        <f t="shared" si="67"/>
        <v>439.73249225444823</v>
      </c>
      <c r="CX100" s="59">
        <f t="shared" si="68"/>
        <v>733.06582558778155</v>
      </c>
      <c r="CY100" s="59">
        <f ca="1">AVERAGE(OFFSET($CX$3,0,0,'Données projet'!$E$13+1,1))-AVERAGE(OFFSET($H$3,0,0,'Données projet'!$E$13+1,1))</f>
        <v>296.78766823247003</v>
      </c>
      <c r="CZ100" s="59">
        <f t="shared" si="96"/>
        <v>154.08406475869634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6.2107853176835892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6.2107853176835892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229.61973863654862</v>
      </c>
      <c r="T101" s="59">
        <f t="shared" si="88"/>
        <v>254.08208375594052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42.958628821801717</v>
      </c>
      <c r="AA101" s="21">
        <f>EXP(-LN(2)/25)*AA100+(1-EXP(-LN(2)/25))/(LN(2)/25)*Calculateur!V101*Calculateur!X101*VLOOKUP('Données projet'!$B$9,Paramètres!$A$1:$I$89,3,0)*0.475*44/12</f>
        <v>20.784597896933512</v>
      </c>
      <c r="AB101" s="21">
        <f>EXP(-LN(2)/2)*AB100+(1-EXP(-LN(2)/2))/(LN(2)/2)*V101*Y101*VLOOKUP('Données projet'!$B$9,Paramètres!$A$1:$I$89,3,0)*0.475*44/12</f>
        <v>1.0493022502983475E-4</v>
      </c>
      <c r="AC101" s="22">
        <f t="shared" si="57"/>
        <v>63.743331648960257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2.2737367544323206E-13</v>
      </c>
      <c r="AJ101" s="13">
        <f>AI101*VLOOKUP('Données projet'!$B$10,Paramètres!$A$1:$I$89,3,0)*VLOOKUP('Données projet'!$B$10,Paramètres!$A$1:$I$89,5,0)</f>
        <v>1.3596945791505279E-13</v>
      </c>
      <c r="AK101" s="13">
        <f t="shared" si="89"/>
        <v>1.9708830566360721E-12</v>
      </c>
      <c r="AL101" s="20">
        <f t="shared" si="58"/>
        <v>3.669434796176543E-12</v>
      </c>
      <c r="AM101" s="59">
        <f t="shared" si="59"/>
        <v>293.33333333333701</v>
      </c>
      <c r="AN101" s="59">
        <f ca="1">AVERAGE(OFFSET($AM$3,0,0,'Données projet'!$E$10+1,1))-AVERAGE(OFFSET($H$3,0,0,'Données projet'!$E$10+1,1))</f>
        <v>348.76139845974495</v>
      </c>
      <c r="AO101" s="59">
        <f t="shared" si="90"/>
        <v>398.5142967182872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83.300333964392692</v>
      </c>
      <c r="AV101" s="21">
        <f>EXP(-LN(2)/25)*AV100+(1-EXP(-LN(2)/25))/(LN(2)/25)*Calculateur!AQ101*Calculateur!AS101*VLOOKUP('Données projet'!$B$10,Paramètres!$A$1:$I$89,3,0)*0.475*44/12</f>
        <v>19.820975791707745</v>
      </c>
      <c r="AW101" s="21">
        <f>EXP(-LN(2)/2)*AW100+(1-EXP(-LN(2)/2))/(LN(2)/2)*AQ101*AT101*VLOOKUP('Données projet'!$B$10,Paramètres!$A$1:$I$89,3,0)*0.475*44/12</f>
        <v>9.0829020728645736E-5</v>
      </c>
      <c r="AX101" s="21">
        <f t="shared" si="60"/>
        <v>103.12140058512117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2.8</v>
      </c>
      <c r="BD101" s="12">
        <f>IF('Données projet'!$A$88&gt;35,BD100+BC101-BL100,IF(A101&lt;'Données projet'!$A$88,$BA$205^A101,IF(A101='Données projet'!$A$88,'Données projet'!$B$88,BD100+BC101-BL100)))</f>
        <v>276.39999999999992</v>
      </c>
      <c r="BE101" s="13">
        <f>BD101*VLOOKUP('Données projet'!$B$11,Paramètres!$A$1:$I$89,3,0)*VLOOKUP('Données projet'!$B$11,Paramètres!$A$1:$I$89,5,0)</f>
        <v>280.26959999999997</v>
      </c>
      <c r="BF101" s="13">
        <f t="shared" si="91"/>
        <v>67.023979919595945</v>
      </c>
      <c r="BG101" s="20">
        <f t="shared" si="61"/>
        <v>604.86965169329608</v>
      </c>
      <c r="BH101" s="59">
        <f t="shared" si="62"/>
        <v>898.20298502662945</v>
      </c>
      <c r="BI101" s="59">
        <f ca="1">AVERAGE(OFFSET($BH$3,0,0,'Données projet'!$E$11+1,1))-AVERAGE(OFFSET($H$3,0,0,'Données projet'!$E$11+1,1))</f>
        <v>413.81510455446738</v>
      </c>
      <c r="BJ101" s="59">
        <f t="shared" si="92"/>
        <v>254.25036207346602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28.944456697525418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28.944456697525418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2.2999999999999998</v>
      </c>
      <c r="BY101" s="12">
        <f>IF('Données projet'!$A$114&gt;35,BY100+BX101-CG100,IF(A101&lt;'Données projet'!$A$114,$BV$205^A101,IF(A101='Données projet'!$A$114,'Données projet'!$B$114,BY100+BX101-CG100)))</f>
        <v>211.40000000000003</v>
      </c>
      <c r="BZ101" s="13">
        <f>BY101*VLOOKUP('Données projet'!$B$12,Paramètres!$A$1:$I$89,3,0)*VLOOKUP('Données projet'!$B$12,Paramètres!$A$1:$I$89,5,0)</f>
        <v>201.16824000000003</v>
      </c>
      <c r="CA101" s="13">
        <f t="shared" si="93"/>
        <v>50.000824425351645</v>
      </c>
      <c r="CB101" s="20">
        <f t="shared" si="64"/>
        <v>437.45278720748746</v>
      </c>
      <c r="CC101" s="59">
        <f t="shared" si="65"/>
        <v>730.78612054082078</v>
      </c>
      <c r="CD101" s="59">
        <f ca="1">AVERAGE(OFFSET($CC$3,0,0,'Données projet'!$E$12+1,1))-AVERAGE(OFFSET($H$3,0,0,'Données projet'!$E$12+1,1))</f>
        <v>292.61712942007972</v>
      </c>
      <c r="CE101" s="59">
        <f t="shared" si="94"/>
        <v>152.23954167722536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6.13530719337375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6.13530719337375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2.2999999999999998</v>
      </c>
      <c r="CT101" s="12">
        <f>IF('Données projet'!$A$140&gt;35,CT100+CS101-DB100,IF(A101&lt;'Données projet'!$A$140,$CQ$205^A101,IF(A101='Données projet'!$A$140,'Données projet'!$B$140,CT100+CS101-DB100)))</f>
        <v>211.40000000000003</v>
      </c>
      <c r="CU101" s="17">
        <f>CT101*VLOOKUP('Données projet'!$B$13,Paramètres!$A$1:$I$89,3,0)*VLOOKUP('Données projet'!$B$13,Paramètres!$A$1:$I$89,5,0)</f>
        <v>204.46608000000003</v>
      </c>
      <c r="CV101" s="13">
        <f t="shared" si="95"/>
        <v>50.724411813032809</v>
      </c>
      <c r="CW101" s="20">
        <f t="shared" si="67"/>
        <v>444.45677324103218</v>
      </c>
      <c r="CX101" s="59">
        <f t="shared" si="68"/>
        <v>737.7901065743655</v>
      </c>
      <c r="CY101" s="59">
        <f ca="1">AVERAGE(OFFSET($CX$3,0,0,'Données projet'!$E$13+1,1))-AVERAGE(OFFSET($H$3,0,0,'Données projet'!$E$13+1,1))</f>
        <v>296.78766823247003</v>
      </c>
      <c r="CZ101" s="59">
        <f t="shared" si="96"/>
        <v>154.08406475869634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6.0889956058088037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6.0889956058088037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229.61973863654862</v>
      </c>
      <c r="T102" s="59">
        <f t="shared" si="88"/>
        <v>254.08208375594052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42.116236312782519</v>
      </c>
      <c r="AA102" s="21">
        <f>EXP(-LN(2)/25)*AA101+(1-EXP(-LN(2)/25))/(LN(2)/25)*Calculateur!V102*Calculateur!X102*VLOOKUP('Données projet'!$B$9,Paramètres!$A$1:$I$89,3,0)*0.475*44/12</f>
        <v>20.216241974427366</v>
      </c>
      <c r="AB102" s="21">
        <f>EXP(-LN(2)/2)*AB101+(1-EXP(-LN(2)/2))/(LN(2)/2)*V102*Y102*VLOOKUP('Données projet'!$B$9,Paramètres!$A$1:$I$89,3,0)*0.475*44/12</f>
        <v>7.4196873670026548E-5</v>
      </c>
      <c r="AC102" s="22">
        <f t="shared" si="57"/>
        <v>62.33255248408355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2.2737367544323206E-13</v>
      </c>
      <c r="AJ102" s="13">
        <f>AI102*VLOOKUP('Données projet'!$B$10,Paramètres!$A$1:$I$89,3,0)*VLOOKUP('Données projet'!$B$10,Paramètres!$A$1:$I$89,5,0)</f>
        <v>1.3596945791505279E-13</v>
      </c>
      <c r="AK102" s="13">
        <f t="shared" si="89"/>
        <v>1.9708830566360721E-12</v>
      </c>
      <c r="AL102" s="20">
        <f t="shared" si="58"/>
        <v>3.669434796176543E-12</v>
      </c>
      <c r="AM102" s="59">
        <f t="shared" si="59"/>
        <v>293.33333333333701</v>
      </c>
      <c r="AN102" s="59">
        <f ca="1">AVERAGE(OFFSET($AM$3,0,0,'Données projet'!$E$10+1,1))-AVERAGE(OFFSET($H$3,0,0,'Données projet'!$E$10+1,1))</f>
        <v>348.76139845974495</v>
      </c>
      <c r="AO102" s="59">
        <f t="shared" si="90"/>
        <v>398.5142967182872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81.666865223537783</v>
      </c>
      <c r="AV102" s="21">
        <f>EXP(-LN(2)/25)*AV101+(1-EXP(-LN(2)/25))/(LN(2)/25)*Calculateur!AQ102*Calculateur!AS102*VLOOKUP('Données projet'!$B$10,Paramètres!$A$1:$I$89,3,0)*0.475*44/12</f>
        <v>19.278970166343683</v>
      </c>
      <c r="AW102" s="21">
        <f>EXP(-LN(2)/2)*AW101+(1-EXP(-LN(2)/2))/(LN(2)/2)*AQ102*AT102*VLOOKUP('Données projet'!$B$10,Paramètres!$A$1:$I$89,3,0)*0.475*44/12</f>
        <v>6.4225816485758889E-5</v>
      </c>
      <c r="AX102" s="21">
        <f t="shared" si="60"/>
        <v>100.94589961569795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2.8</v>
      </c>
      <c r="BD102" s="12">
        <f>IF('Données projet'!$A$88&gt;35,BD101+BC102-BL101,IF(A102&lt;'Données projet'!$A$88,$BA$205^A102,IF(A102='Données projet'!$A$88,'Données projet'!$B$88,BD101+BC102-BL101)))</f>
        <v>279.19999999999993</v>
      </c>
      <c r="BE102" s="13">
        <f>BD102*VLOOKUP('Données projet'!$B$11,Paramètres!$A$1:$I$89,3,0)*VLOOKUP('Données projet'!$B$11,Paramètres!$A$1:$I$89,5,0)</f>
        <v>283.10879999999997</v>
      </c>
      <c r="BF102" s="13">
        <f t="shared" si="91"/>
        <v>67.623564901653808</v>
      </c>
      <c r="BG102" s="20">
        <f t="shared" si="61"/>
        <v>610.85886887038032</v>
      </c>
      <c r="BH102" s="59">
        <f t="shared" si="62"/>
        <v>904.19220220371358</v>
      </c>
      <c r="BI102" s="59">
        <f ca="1">AVERAGE(OFFSET($BH$3,0,0,'Données projet'!$E$11+1,1))-AVERAGE(OFFSET($H$3,0,0,'Données projet'!$E$11+1,1))</f>
        <v>413.81510455446738</v>
      </c>
      <c r="BJ102" s="59">
        <f t="shared" si="92"/>
        <v>254.25036207346602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28.376873556062304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28.376873556062304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2.2999999999999998</v>
      </c>
      <c r="BY102" s="12">
        <f>IF('Données projet'!$A$114&gt;35,BY101+BX102-CG101,IF(A102&lt;'Données projet'!$A$114,$BV$205^A102,IF(A102='Données projet'!$A$114,'Données projet'!$B$114,BY101+BX102-CG101)))</f>
        <v>213.70000000000005</v>
      </c>
      <c r="BZ102" s="13">
        <f>BY102*VLOOKUP('Données projet'!$B$12,Paramètres!$A$1:$I$89,3,0)*VLOOKUP('Données projet'!$B$12,Paramètres!$A$1:$I$89,5,0)</f>
        <v>203.35692000000006</v>
      </c>
      <c r="CA102" s="13">
        <f t="shared" si="93"/>
        <v>50.481200918773602</v>
      </c>
      <c r="CB102" s="20">
        <f t="shared" si="64"/>
        <v>442.1013939335308</v>
      </c>
      <c r="CC102" s="59">
        <f t="shared" si="65"/>
        <v>735.43472726686412</v>
      </c>
      <c r="CD102" s="59">
        <f ca="1">AVERAGE(OFFSET($CC$3,0,0,'Données projet'!$E$12+1,1))-AVERAGE(OFFSET($H$3,0,0,'Données projet'!$E$12+1,1))</f>
        <v>292.61712942007972</v>
      </c>
      <c r="CE102" s="59">
        <f t="shared" si="94"/>
        <v>152.23954167722536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6.0149975614795705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6.0149975614795705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2.2999999999999998</v>
      </c>
      <c r="CT102" s="12">
        <f>IF('Données projet'!$A$140&gt;35,CT101+CS102-DB101,IF(A102&lt;'Données projet'!$A$140,$CQ$205^A102,IF(A102='Données projet'!$A$140,'Données projet'!$B$140,CT101+CS102-DB101)))</f>
        <v>213.70000000000005</v>
      </c>
      <c r="CU102" s="17">
        <f>CT102*VLOOKUP('Données projet'!$B$13,Paramètres!$A$1:$I$89,3,0)*VLOOKUP('Données projet'!$B$13,Paramètres!$A$1:$I$89,5,0)</f>
        <v>206.69064000000006</v>
      </c>
      <c r="CV102" s="13">
        <f t="shared" si="95"/>
        <v>51.211740079270029</v>
      </c>
      <c r="CW102" s="20">
        <f t="shared" si="67"/>
        <v>449.17997863806204</v>
      </c>
      <c r="CX102" s="59">
        <f t="shared" si="68"/>
        <v>742.5133119713953</v>
      </c>
      <c r="CY102" s="59">
        <f ca="1">AVERAGE(OFFSET($CX$3,0,0,'Données projet'!$E$13+1,1))-AVERAGE(OFFSET($H$3,0,0,'Données projet'!$E$13+1,1))</f>
        <v>296.78766823247003</v>
      </c>
      <c r="CZ102" s="59">
        <f t="shared" si="96"/>
        <v>154.08406475869634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5.9695941158994934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5.9695941158994934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229.61973863654862</v>
      </c>
      <c r="T103" s="59">
        <f t="shared" si="88"/>
        <v>254.08208375594052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41.290362607056487</v>
      </c>
      <c r="AA103" s="21">
        <f>EXP(-LN(2)/25)*AA102+(1-EXP(-LN(2)/25))/(LN(2)/25)*Calculateur!V103*Calculateur!X103*VLOOKUP('Données projet'!$B$9,Paramètres!$A$1:$I$89,3,0)*0.475*44/12</f>
        <v>19.663427774510687</v>
      </c>
      <c r="AB103" s="21">
        <f>EXP(-LN(2)/2)*AB102+(1-EXP(-LN(2)/2))/(LN(2)/2)*V103*Y103*VLOOKUP('Données projet'!$B$9,Paramètres!$A$1:$I$89,3,0)*0.475*44/12</f>
        <v>5.2465112514917373E-5</v>
      </c>
      <c r="AC103" s="22">
        <f t="shared" si="57"/>
        <v>60.953842846679692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2.2737367544323206E-13</v>
      </c>
      <c r="AJ103" s="13">
        <f>AI103*VLOOKUP('Données projet'!$B$10,Paramètres!$A$1:$I$89,3,0)*VLOOKUP('Données projet'!$B$10,Paramètres!$A$1:$I$89,5,0)</f>
        <v>1.3596945791505279E-13</v>
      </c>
      <c r="AK103" s="13">
        <f t="shared" si="89"/>
        <v>1.9708830566360721E-12</v>
      </c>
      <c r="AL103" s="20">
        <f t="shared" si="58"/>
        <v>3.669434796176543E-12</v>
      </c>
      <c r="AM103" s="59">
        <f t="shared" si="59"/>
        <v>293.33333333333701</v>
      </c>
      <c r="AN103" s="59">
        <f ca="1">AVERAGE(OFFSET($AM$3,0,0,'Données projet'!$E$10+1,1))-AVERAGE(OFFSET($H$3,0,0,'Données projet'!$E$10+1,1))</f>
        <v>348.76139845974495</v>
      </c>
      <c r="AO103" s="59">
        <f t="shared" si="90"/>
        <v>398.5142967182872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80.065427808373485</v>
      </c>
      <c r="AV103" s="21">
        <f>EXP(-LN(2)/25)*AV102+(1-EXP(-LN(2)/25))/(LN(2)/25)*Calculateur!AQ103*Calculateur!AS103*VLOOKUP('Données projet'!$B$10,Paramètres!$A$1:$I$89,3,0)*0.475*44/12</f>
        <v>18.751785713308038</v>
      </c>
      <c r="AW103" s="21">
        <f>EXP(-LN(2)/2)*AW102+(1-EXP(-LN(2)/2))/(LN(2)/2)*AQ103*AT103*VLOOKUP('Données projet'!$B$10,Paramètres!$A$1:$I$89,3,0)*0.475*44/12</f>
        <v>4.5414510364322868E-5</v>
      </c>
      <c r="AX103" s="21">
        <f t="shared" si="60"/>
        <v>98.817258936191891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282</v>
      </c>
      <c r="BB103" s="12">
        <f>VLOOKUP(A103,'Données projet'!$A$87:$I$107,9,0)</f>
        <v>2.8</v>
      </c>
      <c r="BC103" s="12">
        <f t="array" ref="BC103">INDEX(BB:BB,MIN(IF(ISNUMBER(BB103:BB299),ROW(BB103:BB299),"")))</f>
        <v>2.8</v>
      </c>
      <c r="BD103" s="12">
        <f>IF('Données projet'!$A$88&gt;35,BD102+BC103-BL102,IF(A103&lt;'Données projet'!$A$88,$BA$205^A103,IF(A103='Données projet'!$A$88,'Données projet'!$B$88,BD102+BC103-BL102)))</f>
        <v>281.99999999999994</v>
      </c>
      <c r="BE103" s="13">
        <f>BD103*VLOOKUP('Données projet'!$B$11,Paramètres!$A$1:$I$89,3,0)*VLOOKUP('Données projet'!$B$11,Paramètres!$A$1:$I$89,5,0)</f>
        <v>285.94799999999998</v>
      </c>
      <c r="BF103" s="13">
        <f t="shared" si="91"/>
        <v>68.222450362989363</v>
      </c>
      <c r="BG103" s="20">
        <f t="shared" si="61"/>
        <v>616.84686771553982</v>
      </c>
      <c r="BH103" s="59">
        <f t="shared" si="62"/>
        <v>910.18020104887319</v>
      </c>
      <c r="BI103" s="59">
        <f ca="1">AVERAGE(OFFSET($BH$3,0,0,'Données projet'!$E$11+1,1))-AVERAGE(OFFSET($H$3,0,0,'Données projet'!$E$11+1,1))</f>
        <v>413.81510455446738</v>
      </c>
      <c r="BJ103" s="59">
        <f t="shared" si="92"/>
        <v>254.25036207346602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21</v>
      </c>
      <c r="BM103" s="16">
        <f>IF(ISNA(VLOOKUP(A103,'Données projet'!$A$87:$I$107,5,0)),0%,VLOOKUP(A103,'Données projet'!$A$87:$I$107,5,0)*VLOOKUP('Données projet'!$B$11,Paramètres!$A$1:$I$89,7,0))</f>
        <v>0.30099999999999999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34.905926138605921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34.905926138605921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216</v>
      </c>
      <c r="BW103" s="12">
        <f>VLOOKUP(A103,'Données projet'!$A$113:$I$133,9,0)</f>
        <v>2.2999999999999998</v>
      </c>
      <c r="BX103" s="12">
        <f t="array" ref="BX103">INDEX(BW:BW,MIN(IF(ISNUMBER(BW103:BW299),ROW(BW103:BW299),"")))</f>
        <v>2.2999999999999998</v>
      </c>
      <c r="BY103" s="12">
        <f>IF('Données projet'!$A$114&gt;35,BY102+BX103-CG102,IF(A103&lt;'Données projet'!$A$114,$BV$205^A103,IF(A103='Données projet'!$A$114,'Données projet'!$B$114,BY102+BX103-CG102)))</f>
        <v>216.00000000000006</v>
      </c>
      <c r="BZ103" s="13">
        <f>BY103*VLOOKUP('Données projet'!$B$12,Paramètres!$A$1:$I$89,3,0)*VLOOKUP('Données projet'!$B$12,Paramètres!$A$1:$I$89,5,0)</f>
        <v>205.54560000000004</v>
      </c>
      <c r="CA103" s="13">
        <f t="shared" si="93"/>
        <v>50.960975968608146</v>
      </c>
      <c r="CB103" s="20">
        <f t="shared" si="64"/>
        <v>446.74895314532586</v>
      </c>
      <c r="CC103" s="59">
        <f t="shared" si="65"/>
        <v>740.08228647865917</v>
      </c>
      <c r="CD103" s="59">
        <f ca="1">AVERAGE(OFFSET($CC$3,0,0,'Données projet'!$E$12+1,1))-AVERAGE(OFFSET($H$3,0,0,'Données projet'!$E$12+1,1))</f>
        <v>292.61712942007972</v>
      </c>
      <c r="CE103" s="59">
        <f t="shared" si="94"/>
        <v>152.23954167722536</v>
      </c>
      <c r="CF103" s="15">
        <f>IF(ISNA(VLOOKUP(A103,'Données projet'!$A$113:$I$133,3,0)),0,VLOOKUP(A103,'Données projet'!$A$113:$I$133,3,0))</f>
        <v>16</v>
      </c>
      <c r="CG103" s="15">
        <f>IF(ISNA(VLOOKUP(A103,'Données projet'!$A$113:$I$133,4,0)),0,VLOOKUP(A103,'Données projet'!$A$113:$I$133,4,0))</f>
        <v>14</v>
      </c>
      <c r="CH103" s="16">
        <f>IF(ISNA(VLOOKUP(A103,'Données projet'!$A$113:$I$133,5,0)),0%,VLOOKUP(A103,'Données projet'!$A$113:$I$133,5,0)*VLOOKUP('Données projet'!$B$12,Paramètres!$A$1:$I$89,7,0))</f>
        <v>0.17200000000000001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8.4301803245830484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8.4301803245830484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216</v>
      </c>
      <c r="CR103" s="12">
        <f>VLOOKUP(A103,'Données projet'!$A$139:$I$159,9,0)</f>
        <v>2.2999999999999998</v>
      </c>
      <c r="CS103" s="12">
        <f t="array" ref="CS103">INDEX(CR:CR,MIN(IF(ISNUMBER(CR103:CR299),ROW(CR103:CR299),"")))</f>
        <v>2.2999999999999998</v>
      </c>
      <c r="CT103" s="12">
        <f>IF('Données projet'!$A$140&gt;35,CT102+CS103-DB102,IF(A103&lt;'Données projet'!$A$140,$CQ$205^A103,IF(A103='Données projet'!$A$140,'Données projet'!$B$140,CT102+CS103-DB102)))</f>
        <v>216.00000000000006</v>
      </c>
      <c r="CU103" s="17">
        <f>CT103*VLOOKUP('Données projet'!$B$13,Paramètres!$A$1:$I$89,3,0)*VLOOKUP('Données projet'!$B$13,Paramètres!$A$1:$I$89,5,0)</f>
        <v>208.91520000000008</v>
      </c>
      <c r="CV103" s="13">
        <f t="shared" si="95"/>
        <v>51.698458198123369</v>
      </c>
      <c r="CW103" s="20">
        <f t="shared" si="67"/>
        <v>453.90212136173164</v>
      </c>
      <c r="CX103" s="59">
        <f t="shared" si="68"/>
        <v>747.23545469506496</v>
      </c>
      <c r="CY103" s="59">
        <f ca="1">AVERAGE(OFFSET($CX$3,0,0,'Données projet'!$E$13+1,1))-AVERAGE(OFFSET($H$3,0,0,'Données projet'!$E$13+1,1))</f>
        <v>296.78766823247003</v>
      </c>
      <c r="CZ103" s="59">
        <f t="shared" si="96"/>
        <v>154.08406475869634</v>
      </c>
      <c r="DA103" s="15">
        <f>IF(ISNA(VLOOKUP(A103,'Données projet'!$A$139:$I$159,3,0)),0,VLOOKUP(A103,'Données projet'!$A$139:$I$159,3,0))</f>
        <v>16</v>
      </c>
      <c r="DB103" s="15">
        <f>IF(ISNA(VLOOKUP(A103,'Données projet'!$A$139:$I$159,4,0)),0,VLOOKUP(A103,'Données projet'!$A$139:$I$159,4,0))</f>
        <v>14</v>
      </c>
      <c r="DC103" s="16">
        <f>IF(ISNA(VLOOKUP(A103,'Données projet'!$A$139:$I$159,5,0)),0%,VLOOKUP(A103,'Données projet'!$A$139:$I$159,5,0)*VLOOKUP('Données projet'!$B$13,Paramètres!$A$1:$I$89,7,0))</f>
        <v>0.25800000000000001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9.7145239716959679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9.7145239716959679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229.61973863654862</v>
      </c>
      <c r="T104" s="59">
        <f t="shared" si="88"/>
        <v>254.08208375594052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40.480683780966523</v>
      </c>
      <c r="AA104" s="21">
        <f>EXP(-LN(2)/25)*AA103+(1-EXP(-LN(2)/25))/(LN(2)/25)*Calculateur!V104*Calculateur!X104*VLOOKUP('Données projet'!$B$9,Paramètres!$A$1:$I$89,3,0)*0.475*44/12</f>
        <v>19.125730307961966</v>
      </c>
      <c r="AB104" s="21">
        <f>EXP(-LN(2)/2)*AB103+(1-EXP(-LN(2)/2))/(LN(2)/2)*V104*Y104*VLOOKUP('Données projet'!$B$9,Paramètres!$A$1:$I$89,3,0)*0.475*44/12</f>
        <v>3.7098436835013274E-5</v>
      </c>
      <c r="AC104" s="22">
        <f t="shared" si="57"/>
        <v>59.606451187365323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2.2737367544323206E-13</v>
      </c>
      <c r="AJ104" s="13">
        <f>AI104*VLOOKUP('Données projet'!$B$10,Paramètres!$A$1:$I$89,3,0)*VLOOKUP('Données projet'!$B$10,Paramètres!$A$1:$I$89,5,0)</f>
        <v>1.3596945791505279E-13</v>
      </c>
      <c r="AK104" s="13">
        <f t="shared" si="89"/>
        <v>1.9708830566360721E-12</v>
      </c>
      <c r="AL104" s="20">
        <f t="shared" si="58"/>
        <v>3.669434796176543E-12</v>
      </c>
      <c r="AM104" s="59">
        <f t="shared" si="59"/>
        <v>293.33333333333701</v>
      </c>
      <c r="AN104" s="59">
        <f ca="1">AVERAGE(OFFSET($AM$3,0,0,'Données projet'!$E$10+1,1))-AVERAGE(OFFSET($H$3,0,0,'Données projet'!$E$10+1,1))</f>
        <v>348.76139845974495</v>
      </c>
      <c r="AO104" s="59">
        <f t="shared" si="90"/>
        <v>398.5142967182872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78.495393604140176</v>
      </c>
      <c r="AV104" s="21">
        <f>EXP(-LN(2)/25)*AV103+(1-EXP(-LN(2)/25))/(LN(2)/25)*Calculateur!AQ104*Calculateur!AS104*VLOOKUP('Données projet'!$B$10,Paramètres!$A$1:$I$89,3,0)*0.475*44/12</f>
        <v>18.239017146864079</v>
      </c>
      <c r="AW104" s="21">
        <f>EXP(-LN(2)/2)*AW103+(1-EXP(-LN(2)/2))/(LN(2)/2)*AQ104*AT104*VLOOKUP('Données projet'!$B$10,Paramètres!$A$1:$I$89,3,0)*0.475*44/12</f>
        <v>3.2112908242879444E-5</v>
      </c>
      <c r="AX104" s="21">
        <f t="shared" si="60"/>
        <v>96.734442863912491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2.4</v>
      </c>
      <c r="BD104" s="12">
        <f>IF('Données projet'!$A$88&gt;35,BD103+BC104-BL103,IF(A104&lt;'Données projet'!$A$88,$BA$205^A104,IF(A104='Données projet'!$A$88,'Données projet'!$B$88,BD103+BC104-BL103)))</f>
        <v>263.39999999999992</v>
      </c>
      <c r="BE104" s="13">
        <f>BD104*VLOOKUP('Données projet'!$B$11,Paramètres!$A$1:$I$89,3,0)*VLOOKUP('Données projet'!$B$11,Paramètres!$A$1:$I$89,5,0)</f>
        <v>267.08759999999995</v>
      </c>
      <c r="BF104" s="13">
        <f t="shared" si="91"/>
        <v>64.230794913549857</v>
      </c>
      <c r="BG104" s="20">
        <f t="shared" si="61"/>
        <v>577.04620447443256</v>
      </c>
      <c r="BH104" s="59">
        <f t="shared" si="62"/>
        <v>870.37953780776593</v>
      </c>
      <c r="BI104" s="59">
        <f ca="1">AVERAGE(OFFSET($BH$3,0,0,'Données projet'!$E$11+1,1))-AVERAGE(OFFSET($H$3,0,0,'Données projet'!$E$11+1,1))</f>
        <v>413.81510455446738</v>
      </c>
      <c r="BJ104" s="59">
        <f t="shared" si="92"/>
        <v>254.25036207346602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34.221442217540542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34.221442217540542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1.7</v>
      </c>
      <c r="BY104" s="12">
        <f>IF('Données projet'!$A$114&gt;35,BY103+BX104-CG103,IF(A104&lt;'Données projet'!$A$114,$BV$205^A104,IF(A104='Données projet'!$A$114,'Données projet'!$B$114,BY103+BX104-CG103)))</f>
        <v>203.70000000000005</v>
      </c>
      <c r="BZ104" s="13">
        <f>BY104*VLOOKUP('Données projet'!$B$12,Paramètres!$A$1:$I$89,3,0)*VLOOKUP('Données projet'!$B$12,Paramètres!$A$1:$I$89,5,0)</f>
        <v>193.84092000000004</v>
      </c>
      <c r="CA104" s="13">
        <f t="shared" si="93"/>
        <v>48.388134084395368</v>
      </c>
      <c r="CB104" s="20">
        <f t="shared" si="64"/>
        <v>421.88226919698872</v>
      </c>
      <c r="CC104" s="59">
        <f t="shared" si="65"/>
        <v>715.21560253032203</v>
      </c>
      <c r="CD104" s="59">
        <f ca="1">AVERAGE(OFFSET($CC$3,0,0,'Données projet'!$E$12+1,1))-AVERAGE(OFFSET($H$3,0,0,'Données projet'!$E$12+1,1))</f>
        <v>292.61712942007972</v>
      </c>
      <c r="CE104" s="59">
        <f t="shared" si="94"/>
        <v>152.23954167722536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8.264869630320252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8.264869630320252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1.7</v>
      </c>
      <c r="CT104" s="12">
        <f>IF('Données projet'!$A$140&gt;35,CT103+CS104-DB103,IF(A104&lt;'Données projet'!$A$140,$CQ$205^A104,IF(A104='Données projet'!$A$140,'Données projet'!$B$140,CT103+CS104-DB103)))</f>
        <v>203.70000000000005</v>
      </c>
      <c r="CU104" s="17">
        <f>CT104*VLOOKUP('Données projet'!$B$13,Paramètres!$A$1:$I$89,3,0)*VLOOKUP('Données projet'!$B$13,Paramètres!$A$1:$I$89,5,0)</f>
        <v>197.01864000000003</v>
      </c>
      <c r="CV104" s="13">
        <f t="shared" si="95"/>
        <v>49.088383409067326</v>
      </c>
      <c r="CW104" s="20">
        <f t="shared" si="67"/>
        <v>428.63639910412559</v>
      </c>
      <c r="CX104" s="59">
        <f t="shared" si="68"/>
        <v>721.9697324374589</v>
      </c>
      <c r="CY104" s="59">
        <f ca="1">AVERAGE(OFFSET($CX$3,0,0,'Données projet'!$E$13+1,1))-AVERAGE(OFFSET($H$3,0,0,'Données projet'!$E$13+1,1))</f>
        <v>296.78766823247003</v>
      </c>
      <c r="CZ104" s="59">
        <f t="shared" si="96"/>
        <v>154.08406475869634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9.5240280818855609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9.5240280818855609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229.61973863654862</v>
      </c>
      <c r="T105" s="59">
        <f t="shared" si="88"/>
        <v>254.08208375594052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39.686882262800864</v>
      </c>
      <c r="AA105" s="21">
        <f>EXP(-LN(2)/25)*AA104+(1-EXP(-LN(2)/25))/(LN(2)/25)*Calculateur!V105*Calculateur!X105*VLOOKUP('Données projet'!$B$9,Paramètres!$A$1:$I$89,3,0)*0.475*44/12</f>
        <v>18.602736206912301</v>
      </c>
      <c r="AB105" s="21">
        <f>EXP(-LN(2)/2)*AB104+(1-EXP(-LN(2)/2))/(LN(2)/2)*V105*Y105*VLOOKUP('Données projet'!$B$9,Paramètres!$A$1:$I$89,3,0)*0.475*44/12</f>
        <v>2.6232556257458686E-5</v>
      </c>
      <c r="AC105" s="22">
        <f t="shared" si="57"/>
        <v>58.28964470226942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2.2737367544323206E-13</v>
      </c>
      <c r="AJ105" s="13">
        <f>AI105*VLOOKUP('Données projet'!$B$10,Paramètres!$A$1:$I$89,3,0)*VLOOKUP('Données projet'!$B$10,Paramètres!$A$1:$I$89,5,0)</f>
        <v>1.3596945791505279E-13</v>
      </c>
      <c r="AK105" s="13">
        <f t="shared" si="89"/>
        <v>1.9708830566360721E-12</v>
      </c>
      <c r="AL105" s="20">
        <f t="shared" si="58"/>
        <v>3.669434796176543E-12</v>
      </c>
      <c r="AM105" s="59">
        <f t="shared" si="59"/>
        <v>293.33333333333701</v>
      </c>
      <c r="AN105" s="59">
        <f ca="1">AVERAGE(OFFSET($AM$3,0,0,'Données projet'!$E$10+1,1))-AVERAGE(OFFSET($H$3,0,0,'Données projet'!$E$10+1,1))</f>
        <v>348.76139845974495</v>
      </c>
      <c r="AO105" s="59">
        <f t="shared" si="90"/>
        <v>398.5142967182872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76.956146813025583</v>
      </c>
      <c r="AV105" s="21">
        <f>EXP(-LN(2)/25)*AV104+(1-EXP(-LN(2)/25))/(LN(2)/25)*Calculateur!AQ105*Calculateur!AS105*VLOOKUP('Données projet'!$B$10,Paramètres!$A$1:$I$89,3,0)*0.475*44/12</f>
        <v>17.740270263834855</v>
      </c>
      <c r="AW105" s="21">
        <f>EXP(-LN(2)/2)*AW104+(1-EXP(-LN(2)/2))/(LN(2)/2)*AQ105*AT105*VLOOKUP('Données projet'!$B$10,Paramètres!$A$1:$I$89,3,0)*0.475*44/12</f>
        <v>2.2707255182161434E-5</v>
      </c>
      <c r="AX105" s="21">
        <f t="shared" si="60"/>
        <v>94.696439784115626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2.4</v>
      </c>
      <c r="BD105" s="12">
        <f>IF('Données projet'!$A$88&gt;35,BD104+BC105-BL104,IF(A105&lt;'Données projet'!$A$88,$BA$205^A105,IF(A105='Données projet'!$A$88,'Données projet'!$B$88,BD104+BC105-BL104)))</f>
        <v>265.7999999999999</v>
      </c>
      <c r="BE105" s="13">
        <f>BD105*VLOOKUP('Données projet'!$B$11,Paramètres!$A$1:$I$89,3,0)*VLOOKUP('Données projet'!$B$11,Paramètres!$A$1:$I$89,5,0)</f>
        <v>269.52119999999996</v>
      </c>
      <c r="BF105" s="13">
        <f t="shared" si="91"/>
        <v>64.747645349489986</v>
      </c>
      <c r="BG105" s="20">
        <f t="shared" si="61"/>
        <v>582.18490565036154</v>
      </c>
      <c r="BH105" s="59">
        <f t="shared" si="62"/>
        <v>875.5182389836948</v>
      </c>
      <c r="BI105" s="59">
        <f ca="1">AVERAGE(OFFSET($BH$3,0,0,'Données projet'!$E$11+1,1))-AVERAGE(OFFSET($H$3,0,0,'Données projet'!$E$11+1,1))</f>
        <v>413.81510455446738</v>
      </c>
      <c r="BJ105" s="59">
        <f t="shared" si="92"/>
        <v>254.25036207346602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33.550380608673287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33.550380608673287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1.7</v>
      </c>
      <c r="BY105" s="12">
        <f>IF('Données projet'!$A$114&gt;35,BY104+BX105-CG104,IF(A105&lt;'Données projet'!$A$114,$BV$205^A105,IF(A105='Données projet'!$A$114,'Données projet'!$B$114,BY104+BX105-CG104)))</f>
        <v>205.40000000000003</v>
      </c>
      <c r="BZ105" s="13">
        <f>BY105*VLOOKUP('Données projet'!$B$12,Paramètres!$A$1:$I$89,3,0)*VLOOKUP('Données projet'!$B$12,Paramètres!$A$1:$I$89,5,0)</f>
        <v>195.45864000000003</v>
      </c>
      <c r="CA105" s="13">
        <f t="shared" si="93"/>
        <v>48.744784006311249</v>
      </c>
      <c r="CB105" s="20">
        <f t="shared" si="64"/>
        <v>425.32096347765878</v>
      </c>
      <c r="CC105" s="59">
        <f t="shared" si="65"/>
        <v>718.65429681099204</v>
      </c>
      <c r="CD105" s="59">
        <f ca="1">AVERAGE(OFFSET($CC$3,0,0,'Données projet'!$E$12+1,1))-AVERAGE(OFFSET($H$3,0,0,'Données projet'!$E$12+1,1))</f>
        <v>292.61712942007972</v>
      </c>
      <c r="CE105" s="59">
        <f t="shared" si="94"/>
        <v>152.23954167722536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8.1028005779423822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8.1028005779423822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1.7</v>
      </c>
      <c r="CT105" s="12">
        <f>IF('Données projet'!$A$140&gt;35,CT104+CS105-DB104,IF(A105&lt;'Données projet'!$A$140,$CQ$205^A105,IF(A105='Données projet'!$A$140,'Données projet'!$B$140,CT104+CS105-DB104)))</f>
        <v>205.40000000000003</v>
      </c>
      <c r="CU105" s="17">
        <f>CT105*VLOOKUP('Données projet'!$B$13,Paramètres!$A$1:$I$89,3,0)*VLOOKUP('Données projet'!$B$13,Paramètres!$A$1:$I$89,5,0)</f>
        <v>198.66288000000003</v>
      </c>
      <c r="CV105" s="13">
        <f t="shared" si="95"/>
        <v>49.450194593588002</v>
      </c>
      <c r="CW105" s="20">
        <f t="shared" si="67"/>
        <v>432.13027158383244</v>
      </c>
      <c r="CX105" s="59">
        <f t="shared" si="68"/>
        <v>725.46360491716575</v>
      </c>
      <c r="CY105" s="59">
        <f ca="1">AVERAGE(OFFSET($CX$3,0,0,'Données projet'!$E$13+1,1))-AVERAGE(OFFSET($H$3,0,0,'Données projet'!$E$13+1,1))</f>
        <v>296.78766823247003</v>
      </c>
      <c r="CZ105" s="59">
        <f t="shared" si="96"/>
        <v>154.08406475869634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9.3372677002833164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9.3372677002833164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229.61973863654862</v>
      </c>
      <c r="T106" s="59">
        <f t="shared" si="88"/>
        <v>254.08208375594052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38.908646708235317</v>
      </c>
      <c r="AA106" s="21">
        <f>EXP(-LN(2)/25)*AA105+(1-EXP(-LN(2)/25))/(LN(2)/25)*Calculateur!V106*Calculateur!X106*VLOOKUP('Données projet'!$B$9,Paramètres!$A$1:$I$89,3,0)*0.475*44/12</f>
        <v>18.094043407058905</v>
      </c>
      <c r="AB106" s="21">
        <f>EXP(-LN(2)/2)*AB105+(1-EXP(-LN(2)/2))/(LN(2)/2)*V106*Y106*VLOOKUP('Données projet'!$B$9,Paramètres!$A$1:$I$89,3,0)*0.475*44/12</f>
        <v>1.8549218417506637E-5</v>
      </c>
      <c r="AC106" s="22">
        <f t="shared" si="57"/>
        <v>57.002708664512639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2.2737367544323206E-13</v>
      </c>
      <c r="AJ106" s="13">
        <f>AI106*VLOOKUP('Données projet'!$B$10,Paramètres!$A$1:$I$89,3,0)*VLOOKUP('Données projet'!$B$10,Paramètres!$A$1:$I$89,5,0)</f>
        <v>1.3596945791505279E-13</v>
      </c>
      <c r="AK106" s="13">
        <f t="shared" si="89"/>
        <v>1.9708830566360721E-12</v>
      </c>
      <c r="AL106" s="20">
        <f t="shared" si="58"/>
        <v>3.669434796176543E-12</v>
      </c>
      <c r="AM106" s="59">
        <f t="shared" si="59"/>
        <v>293.33333333333701</v>
      </c>
      <c r="AN106" s="59">
        <f ca="1">AVERAGE(OFFSET($AM$3,0,0,'Données projet'!$E$10+1,1))-AVERAGE(OFFSET($H$3,0,0,'Données projet'!$E$10+1,1))</f>
        <v>348.76139845974495</v>
      </c>
      <c r="AO106" s="59">
        <f t="shared" si="90"/>
        <v>398.5142967182872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75.44708371263691</v>
      </c>
      <c r="AV106" s="21">
        <f>EXP(-LN(2)/25)*AV105+(1-EXP(-LN(2)/25))/(LN(2)/25)*Calculateur!AQ106*Calculateur!AS106*VLOOKUP('Données projet'!$B$10,Paramètres!$A$1:$I$89,3,0)*0.475*44/12</f>
        <v>17.255161640550025</v>
      </c>
      <c r="AW106" s="21">
        <f>EXP(-LN(2)/2)*AW105+(1-EXP(-LN(2)/2))/(LN(2)/2)*AQ106*AT106*VLOOKUP('Données projet'!$B$10,Paramètres!$A$1:$I$89,3,0)*0.475*44/12</f>
        <v>1.6056454121439722E-5</v>
      </c>
      <c r="AX106" s="21">
        <f t="shared" si="60"/>
        <v>92.702261409641054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2.4</v>
      </c>
      <c r="BD106" s="12">
        <f>IF('Données projet'!$A$88&gt;35,BD105+BC106-BL105,IF(A106&lt;'Données projet'!$A$88,$BA$205^A106,IF(A106='Données projet'!$A$88,'Données projet'!$B$88,BD105+BC106-BL105)))</f>
        <v>268.19999999999987</v>
      </c>
      <c r="BE106" s="13">
        <f>BD106*VLOOKUP('Données projet'!$B$11,Paramètres!$A$1:$I$89,3,0)*VLOOKUP('Données projet'!$B$11,Paramètres!$A$1:$I$89,5,0)</f>
        <v>271.95479999999992</v>
      </c>
      <c r="BF106" s="13">
        <f t="shared" si="91"/>
        <v>65.263952845017386</v>
      </c>
      <c r="BG106" s="20">
        <f t="shared" si="61"/>
        <v>587.32266120507177</v>
      </c>
      <c r="BH106" s="59">
        <f t="shared" si="62"/>
        <v>880.65599453840514</v>
      </c>
      <c r="BI106" s="59">
        <f ca="1">AVERAGE(OFFSET($BH$3,0,0,'Données projet'!$E$11+1,1))-AVERAGE(OFFSET($H$3,0,0,'Données projet'!$E$11+1,1))</f>
        <v>413.81510455446738</v>
      </c>
      <c r="BJ106" s="59">
        <f t="shared" si="92"/>
        <v>254.25036207346602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32.892478108648753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32.892478108648753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1.7</v>
      </c>
      <c r="BY106" s="12">
        <f>IF('Données projet'!$A$114&gt;35,BY105+BX106-CG105,IF(A106&lt;'Données projet'!$A$114,$BV$205^A106,IF(A106='Données projet'!$A$114,'Données projet'!$B$114,BY105+BX106-CG105)))</f>
        <v>207.10000000000002</v>
      </c>
      <c r="BZ106" s="13">
        <f>BY106*VLOOKUP('Données projet'!$B$12,Paramètres!$A$1:$I$89,3,0)*VLOOKUP('Données projet'!$B$12,Paramètres!$A$1:$I$89,5,0)</f>
        <v>197.07636000000002</v>
      </c>
      <c r="CA106" s="13">
        <f t="shared" si="93"/>
        <v>49.101090497096379</v>
      </c>
      <c r="CB106" s="20">
        <f t="shared" si="64"/>
        <v>428.75905961577627</v>
      </c>
      <c r="CC106" s="59">
        <f t="shared" si="65"/>
        <v>722.09239294910958</v>
      </c>
      <c r="CD106" s="59">
        <f ca="1">AVERAGE(OFFSET($CC$3,0,0,'Données projet'!$E$12+1,1))-AVERAGE(OFFSET($H$3,0,0,'Données projet'!$E$12+1,1))</f>
        <v>292.61712942007972</v>
      </c>
      <c r="CE106" s="59">
        <f t="shared" si="94"/>
        <v>152.23954167722536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7.9439096008292811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7.9439096008292811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1.7</v>
      </c>
      <c r="CT106" s="12">
        <f>IF('Données projet'!$A$140&gt;35,CT105+CS106-DB105,IF(A106&lt;'Données projet'!$A$140,$CQ$205^A106,IF(A106='Données projet'!$A$140,'Données projet'!$B$140,CT105+CS106-DB105)))</f>
        <v>207.10000000000002</v>
      </c>
      <c r="CU106" s="17">
        <f>CT106*VLOOKUP('Données projet'!$B$13,Paramètres!$A$1:$I$89,3,0)*VLOOKUP('Données projet'!$B$13,Paramètres!$A$1:$I$89,5,0)</f>
        <v>200.30712000000003</v>
      </c>
      <c r="CV106" s="13">
        <f t="shared" si="95"/>
        <v>49.811657377011194</v>
      </c>
      <c r="CW106" s="20">
        <f t="shared" si="67"/>
        <v>435.62353726496121</v>
      </c>
      <c r="CX106" s="59">
        <f t="shared" si="68"/>
        <v>728.95687059829447</v>
      </c>
      <c r="CY106" s="59">
        <f ca="1">AVERAGE(OFFSET($CX$3,0,0,'Données projet'!$E$13+1,1))-AVERAGE(OFFSET($H$3,0,0,'Données projet'!$E$13+1,1))</f>
        <v>296.78766823247003</v>
      </c>
      <c r="CZ106" s="59">
        <f t="shared" si="96"/>
        <v>154.08406475869634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9.1541695758517072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9.1541695758517072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229.61973863654862</v>
      </c>
      <c r="T107" s="59">
        <f t="shared" si="88"/>
        <v>254.08208375594052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38.145671878217982</v>
      </c>
      <c r="AA107" s="21">
        <f>EXP(-LN(2)/25)*AA106+(1-EXP(-LN(2)/25))/(LN(2)/25)*Calculateur!V107*Calculateur!X107*VLOOKUP('Données projet'!$B$9,Paramètres!$A$1:$I$89,3,0)*0.475*44/12</f>
        <v>17.59926083856849</v>
      </c>
      <c r="AB107" s="21">
        <f>EXP(-LN(2)/2)*AB106+(1-EXP(-LN(2)/2))/(LN(2)/2)*V107*Y107*VLOOKUP('Données projet'!$B$9,Paramètres!$A$1:$I$89,3,0)*0.475*44/12</f>
        <v>1.3116278128729343E-5</v>
      </c>
      <c r="AC107" s="22">
        <f t="shared" si="57"/>
        <v>55.744945833064598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2.2737367544323206E-13</v>
      </c>
      <c r="AJ107" s="13">
        <f>AI107*VLOOKUP('Données projet'!$B$10,Paramètres!$A$1:$I$89,3,0)*VLOOKUP('Données projet'!$B$10,Paramètres!$A$1:$I$89,5,0)</f>
        <v>1.3596945791505279E-13</v>
      </c>
      <c r="AK107" s="13">
        <f t="shared" si="89"/>
        <v>1.9708830566360721E-12</v>
      </c>
      <c r="AL107" s="20">
        <f t="shared" si="58"/>
        <v>3.669434796176543E-12</v>
      </c>
      <c r="AM107" s="59">
        <f t="shared" si="59"/>
        <v>293.33333333333701</v>
      </c>
      <c r="AN107" s="59">
        <f ca="1">AVERAGE(OFFSET($AM$3,0,0,'Données projet'!$E$10+1,1))-AVERAGE(OFFSET($H$3,0,0,'Données projet'!$E$10+1,1))</f>
        <v>348.76139845974495</v>
      </c>
      <c r="AO107" s="59">
        <f t="shared" si="90"/>
        <v>398.5142967182872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73.967612419209246</v>
      </c>
      <c r="AV107" s="21">
        <f>EXP(-LN(2)/25)*AV106+(1-EXP(-LN(2)/25))/(LN(2)/25)*Calculateur!AQ107*Calculateur!AS107*VLOOKUP('Données projet'!$B$10,Paramètres!$A$1:$I$89,3,0)*0.475*44/12</f>
        <v>16.78331833807967</v>
      </c>
      <c r="AW107" s="21">
        <f>EXP(-LN(2)/2)*AW106+(1-EXP(-LN(2)/2))/(LN(2)/2)*AQ107*AT107*VLOOKUP('Données projet'!$B$10,Paramètres!$A$1:$I$89,3,0)*0.475*44/12</f>
        <v>1.1353627591080717E-5</v>
      </c>
      <c r="AX107" s="21">
        <f t="shared" si="60"/>
        <v>90.750942110916498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2.4</v>
      </c>
      <c r="BD107" s="12">
        <f>IF('Données projet'!$A$88&gt;35,BD106+BC107-BL106,IF(A107&lt;'Données projet'!$A$88,$BA$205^A107,IF(A107='Données projet'!$A$88,'Données projet'!$B$88,BD106+BC107-BL106)))</f>
        <v>270.59999999999985</v>
      </c>
      <c r="BE107" s="13">
        <f>BD107*VLOOKUP('Données projet'!$B$11,Paramètres!$A$1:$I$89,3,0)*VLOOKUP('Données projet'!$B$11,Paramètres!$A$1:$I$89,5,0)</f>
        <v>274.38839999999988</v>
      </c>
      <c r="BF107" s="13">
        <f t="shared" si="91"/>
        <v>65.77972282151319</v>
      </c>
      <c r="BG107" s="20">
        <f t="shared" si="61"/>
        <v>592.45948058080182</v>
      </c>
      <c r="BH107" s="59">
        <f t="shared" si="62"/>
        <v>885.79281391413519</v>
      </c>
      <c r="BI107" s="59">
        <f ca="1">AVERAGE(OFFSET($BH$3,0,0,'Données projet'!$E$11+1,1))-AVERAGE(OFFSET($H$3,0,0,'Données projet'!$E$11+1,1))</f>
        <v>413.81510455446738</v>
      </c>
      <c r="BJ107" s="59">
        <f t="shared" si="92"/>
        <v>254.25036207346602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32.247476675368794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32.247476675368794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1.7</v>
      </c>
      <c r="BY107" s="12">
        <f>IF('Données projet'!$A$114&gt;35,BY106+BX107-CG106,IF(A107&lt;'Données projet'!$A$114,$BV$205^A107,IF(A107='Données projet'!$A$114,'Données projet'!$B$114,BY106+BX107-CG106)))</f>
        <v>208.8</v>
      </c>
      <c r="BZ107" s="13">
        <f>BY107*VLOOKUP('Données projet'!$B$12,Paramètres!$A$1:$I$89,3,0)*VLOOKUP('Données projet'!$B$12,Paramètres!$A$1:$I$89,5,0)</f>
        <v>198.69408000000001</v>
      </c>
      <c r="CA107" s="13">
        <f t="shared" si="93"/>
        <v>49.457056702547348</v>
      </c>
      <c r="CB107" s="20">
        <f t="shared" si="64"/>
        <v>432.19656309027005</v>
      </c>
      <c r="CC107" s="59">
        <f t="shared" si="65"/>
        <v>725.5298964236033</v>
      </c>
      <c r="CD107" s="59">
        <f ca="1">AVERAGE(OFFSET($CC$3,0,0,'Données projet'!$E$12+1,1))-AVERAGE(OFFSET($H$3,0,0,'Données projet'!$E$12+1,1))</f>
        <v>292.61712942007972</v>
      </c>
      <c r="CE107" s="59">
        <f t="shared" si="94"/>
        <v>152.23954167722536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7.7881343788634414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7.7881343788634414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1.7</v>
      </c>
      <c r="CT107" s="12">
        <f>IF('Données projet'!$A$140&gt;35,CT106+CS107-DB106,IF(A107&lt;'Données projet'!$A$140,$CQ$205^A107,IF(A107='Données projet'!$A$140,'Données projet'!$B$140,CT106+CS107-DB106)))</f>
        <v>208.8</v>
      </c>
      <c r="CU107" s="17">
        <f>CT107*VLOOKUP('Données projet'!$B$13,Paramètres!$A$1:$I$89,3,0)*VLOOKUP('Données projet'!$B$13,Paramètres!$A$1:$I$89,5,0)</f>
        <v>201.95136000000002</v>
      </c>
      <c r="CV107" s="13">
        <f t="shared" si="95"/>
        <v>50.172774950657931</v>
      </c>
      <c r="CW107" s="20">
        <f t="shared" si="67"/>
        <v>439.11620170572928</v>
      </c>
      <c r="CX107" s="59">
        <f t="shared" si="68"/>
        <v>732.44953503906254</v>
      </c>
      <c r="CY107" s="59">
        <f ca="1">AVERAGE(OFFSET($CX$3,0,0,'Données projet'!$E$13+1,1))-AVERAGE(OFFSET($H$3,0,0,'Données projet'!$E$13+1,1))</f>
        <v>296.78766823247003</v>
      </c>
      <c r="CZ107" s="59">
        <f t="shared" si="96"/>
        <v>154.08406475869634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8.9746618939613718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8.9746618939613718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229.61973863654862</v>
      </c>
      <c r="T108" s="59">
        <f t="shared" si="88"/>
        <v>254.08208375594052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37.397658519248594</v>
      </c>
      <c r="AA108" s="21">
        <f>EXP(-LN(2)/25)*AA107+(1-EXP(-LN(2)/25))/(LN(2)/25)*Calculateur!V108*Calculateur!X108*VLOOKUP('Données projet'!$B$9,Paramètres!$A$1:$I$89,3,0)*0.475*44/12</f>
        <v>17.118008125432929</v>
      </c>
      <c r="AB108" s="21">
        <f>EXP(-LN(2)/2)*AB107+(1-EXP(-LN(2)/2))/(LN(2)/2)*V108*Y108*VLOOKUP('Données projet'!$B$9,Paramètres!$A$1:$I$89,3,0)*0.475*44/12</f>
        <v>9.2746092087533185E-6</v>
      </c>
      <c r="AC108" s="22">
        <f t="shared" si="57"/>
        <v>54.515675919290736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2.2737367544323206E-13</v>
      </c>
      <c r="AJ108" s="13">
        <f>AI108*VLOOKUP('Données projet'!$B$10,Paramètres!$A$1:$I$89,3,0)*VLOOKUP('Données projet'!$B$10,Paramètres!$A$1:$I$89,5,0)</f>
        <v>1.3596945791505279E-13</v>
      </c>
      <c r="AK108" s="13">
        <f t="shared" si="89"/>
        <v>1.9708830566360721E-12</v>
      </c>
      <c r="AL108" s="20">
        <f t="shared" si="58"/>
        <v>3.669434796176543E-12</v>
      </c>
      <c r="AM108" s="59">
        <f t="shared" si="59"/>
        <v>293.33333333333701</v>
      </c>
      <c r="AN108" s="59">
        <f ca="1">AVERAGE(OFFSET($AM$3,0,0,'Données projet'!$E$10+1,1))-AVERAGE(OFFSET($H$3,0,0,'Données projet'!$E$10+1,1))</f>
        <v>348.76139845974495</v>
      </c>
      <c r="AO108" s="59">
        <f t="shared" si="90"/>
        <v>398.5142967182872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72.517152655457309</v>
      </c>
      <c r="AV108" s="21">
        <f>EXP(-LN(2)/25)*AV107+(1-EXP(-LN(2)/25))/(LN(2)/25)*Calculateur!AQ108*Calculateur!AS108*VLOOKUP('Données projet'!$B$10,Paramètres!$A$1:$I$89,3,0)*0.475*44/12</f>
        <v>16.32437761552853</v>
      </c>
      <c r="AW108" s="21">
        <f>EXP(-LN(2)/2)*AW107+(1-EXP(-LN(2)/2))/(LN(2)/2)*AQ108*AT108*VLOOKUP('Données projet'!$B$10,Paramètres!$A$1:$I$89,3,0)*0.475*44/12</f>
        <v>8.0282270607198611E-6</v>
      </c>
      <c r="AX108" s="21">
        <f t="shared" si="60"/>
        <v>88.8415382992129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2.4</v>
      </c>
      <c r="BD108" s="12">
        <f>IF('Données projet'!$A$88&gt;35,BD107+BC108-BL107,IF(A108&lt;'Données projet'!$A$88,$BA$205^A108,IF(A108='Données projet'!$A$88,'Données projet'!$B$88,BD107+BC108-BL107)))</f>
        <v>272.99999999999983</v>
      </c>
      <c r="BE108" s="13">
        <f>BD108*VLOOKUP('Données projet'!$B$11,Paramètres!$A$1:$I$89,3,0)*VLOOKUP('Données projet'!$B$11,Paramètres!$A$1:$I$89,5,0)</f>
        <v>276.82199999999983</v>
      </c>
      <c r="BF108" s="13">
        <f t="shared" si="91"/>
        <v>66.29496059864374</v>
      </c>
      <c r="BG108" s="20">
        <f t="shared" si="61"/>
        <v>597.59537304263756</v>
      </c>
      <c r="BH108" s="59">
        <f t="shared" si="62"/>
        <v>890.92870637597093</v>
      </c>
      <c r="BI108" s="59">
        <f ca="1">AVERAGE(OFFSET($BH$3,0,0,'Données projet'!$E$11+1,1))-AVERAGE(OFFSET($H$3,0,0,'Données projet'!$E$11+1,1))</f>
        <v>413.81510455446738</v>
      </c>
      <c r="BJ108" s="59">
        <f t="shared" si="92"/>
        <v>254.25036207346602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31.615123326783429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31.615123326783429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1.7</v>
      </c>
      <c r="BY108" s="12">
        <f>IF('Données projet'!$A$114&gt;35,BY107+BX108-CG107,IF(A108&lt;'Données projet'!$A$114,$BV$205^A108,IF(A108='Données projet'!$A$114,'Données projet'!$B$114,BY107+BX108-CG107)))</f>
        <v>210.5</v>
      </c>
      <c r="BZ108" s="13">
        <f>BY108*VLOOKUP('Données projet'!$B$12,Paramètres!$A$1:$I$89,3,0)*VLOOKUP('Données projet'!$B$12,Paramètres!$A$1:$I$89,5,0)</f>
        <v>200.31180000000001</v>
      </c>
      <c r="CA108" s="13">
        <f t="shared" si="93"/>
        <v>49.812685714278736</v>
      </c>
      <c r="CB108" s="20">
        <f t="shared" si="64"/>
        <v>435.63347928570209</v>
      </c>
      <c r="CC108" s="59">
        <f t="shared" si="65"/>
        <v>728.96681261903541</v>
      </c>
      <c r="CD108" s="59">
        <f ca="1">AVERAGE(OFFSET($CC$3,0,0,'Données projet'!$E$12+1,1))-AVERAGE(OFFSET($H$3,0,0,'Données projet'!$E$12+1,1))</f>
        <v>292.61712942007972</v>
      </c>
      <c r="CE108" s="59">
        <f t="shared" si="94"/>
        <v>152.23954167722536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7.6354138139868484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7.6354138139868484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1.7</v>
      </c>
      <c r="CT108" s="12">
        <f>IF('Données projet'!$A$140&gt;35,CT107+CS108-DB107,IF(A108&lt;'Données projet'!$A$140,$CQ$205^A108,IF(A108='Données projet'!$A$140,'Données projet'!$B$140,CT107+CS108-DB107)))</f>
        <v>210.5</v>
      </c>
      <c r="CU108" s="17">
        <f>CT108*VLOOKUP('Données projet'!$B$13,Paramètres!$A$1:$I$89,3,0)*VLOOKUP('Données projet'!$B$13,Paramètres!$A$1:$I$89,5,0)</f>
        <v>203.59559999999999</v>
      </c>
      <c r="CV108" s="13">
        <f t="shared" si="95"/>
        <v>50.533550450883013</v>
      </c>
      <c r="CW108" s="20">
        <f t="shared" si="67"/>
        <v>442.60827036862128</v>
      </c>
      <c r="CX108" s="59">
        <f t="shared" si="68"/>
        <v>735.94160370195459</v>
      </c>
      <c r="CY108" s="59">
        <f ca="1">AVERAGE(OFFSET($CX$3,0,0,'Données projet'!$E$13+1,1))-AVERAGE(OFFSET($H$3,0,0,'Données projet'!$E$13+1,1))</f>
        <v>296.78766823247003</v>
      </c>
      <c r="CZ108" s="59">
        <f t="shared" si="96"/>
        <v>154.08406475869634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8.7986742482240317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8.7986742482240317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229.61973863654862</v>
      </c>
      <c r="T109" s="59">
        <f t="shared" si="88"/>
        <v>254.08208375594052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36.664313246005491</v>
      </c>
      <c r="AA109" s="21">
        <f>EXP(-LN(2)/25)*AA108+(1-EXP(-LN(2)/25))/(LN(2)/25)*Calculateur!V109*Calculateur!X109*VLOOKUP('Données projet'!$B$9,Paramètres!$A$1:$I$89,3,0)*0.475*44/12</f>
        <v>16.649915293046043</v>
      </c>
      <c r="AB109" s="21">
        <f>EXP(-LN(2)/2)*AB108+(1-EXP(-LN(2)/2))/(LN(2)/2)*V109*Y109*VLOOKUP('Données projet'!$B$9,Paramètres!$A$1:$I$89,3,0)*0.475*44/12</f>
        <v>6.5581390643646716E-6</v>
      </c>
      <c r="AC109" s="22">
        <f t="shared" si="57"/>
        <v>53.314235097190597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2.2737367544323206E-13</v>
      </c>
      <c r="AJ109" s="13">
        <f>AI109*VLOOKUP('Données projet'!$B$10,Paramètres!$A$1:$I$89,3,0)*VLOOKUP('Données projet'!$B$10,Paramètres!$A$1:$I$89,5,0)</f>
        <v>1.3596945791505279E-13</v>
      </c>
      <c r="AK109" s="13">
        <f t="shared" si="89"/>
        <v>1.9708830566360721E-12</v>
      </c>
      <c r="AL109" s="20">
        <f t="shared" si="58"/>
        <v>3.669434796176543E-12</v>
      </c>
      <c r="AM109" s="59">
        <f t="shared" si="59"/>
        <v>293.33333333333701</v>
      </c>
      <c r="AN109" s="59">
        <f ca="1">AVERAGE(OFFSET($AM$3,0,0,'Données projet'!$E$10+1,1))-AVERAGE(OFFSET($H$3,0,0,'Données projet'!$E$10+1,1))</f>
        <v>348.76139845974495</v>
      </c>
      <c r="AO109" s="59">
        <f t="shared" si="90"/>
        <v>398.5142967182872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71.095135522979447</v>
      </c>
      <c r="AV109" s="21">
        <f>EXP(-LN(2)/25)*AV108+(1-EXP(-LN(2)/25))/(LN(2)/25)*Calculateur!AQ109*Calculateur!AS109*VLOOKUP('Données projet'!$B$10,Paramètres!$A$1:$I$89,3,0)*0.475*44/12</f>
        <v>15.877986651170193</v>
      </c>
      <c r="AW109" s="21">
        <f>EXP(-LN(2)/2)*AW108+(1-EXP(-LN(2)/2))/(LN(2)/2)*AQ109*AT109*VLOOKUP('Données projet'!$B$10,Paramètres!$A$1:$I$89,3,0)*0.475*44/12</f>
        <v>5.6768137955403585E-6</v>
      </c>
      <c r="AX109" s="21">
        <f t="shared" si="60"/>
        <v>86.973127850963436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2.4</v>
      </c>
      <c r="BD109" s="12">
        <f>IF('Données projet'!$A$88&gt;35,BD108+BC109-BL108,IF(A109&lt;'Données projet'!$A$88,$BA$205^A109,IF(A109='Données projet'!$A$88,'Données projet'!$B$88,BD108+BC109-BL108)))</f>
        <v>275.39999999999981</v>
      </c>
      <c r="BE109" s="13">
        <f>BD109*VLOOKUP('Données projet'!$B$11,Paramètres!$A$1:$I$89,3,0)*VLOOKUP('Données projet'!$B$11,Paramètres!$A$1:$I$89,5,0)</f>
        <v>279.25559999999984</v>
      </c>
      <c r="BF109" s="13">
        <f t="shared" si="91"/>
        <v>66.809671397146104</v>
      </c>
      <c r="BG109" s="20">
        <f t="shared" si="61"/>
        <v>602.73034768336242</v>
      </c>
      <c r="BH109" s="59">
        <f t="shared" si="62"/>
        <v>896.06368101669568</v>
      </c>
      <c r="BI109" s="59">
        <f ca="1">AVERAGE(OFFSET($BH$3,0,0,'Données projet'!$E$11+1,1))-AVERAGE(OFFSET($H$3,0,0,'Données projet'!$E$11+1,1))</f>
        <v>413.81510455446738</v>
      </c>
      <c r="BJ109" s="59">
        <f t="shared" si="92"/>
        <v>254.25036207346602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30.995170041666366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30.995170041666366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1.7</v>
      </c>
      <c r="BY109" s="12">
        <f>IF('Données projet'!$A$114&gt;35,BY108+BX109-CG108,IF(A109&lt;'Données projet'!$A$114,$BV$205^A109,IF(A109='Données projet'!$A$114,'Données projet'!$B$114,BY108+BX109-CG108)))</f>
        <v>212.2</v>
      </c>
      <c r="BZ109" s="13">
        <f>BY109*VLOOKUP('Données projet'!$B$12,Paramètres!$A$1:$I$89,3,0)*VLOOKUP('Données projet'!$B$12,Paramètres!$A$1:$I$89,5,0)</f>
        <v>201.92951999999997</v>
      </c>
      <c r="CA109" s="13">
        <f t="shared" si="93"/>
        <v>50.167980571086105</v>
      </c>
      <c r="CB109" s="20">
        <f t="shared" si="64"/>
        <v>439.06981349464155</v>
      </c>
      <c r="CC109" s="59">
        <f t="shared" si="65"/>
        <v>732.40314682797487</v>
      </c>
      <c r="CD109" s="59">
        <f ca="1">AVERAGE(OFFSET($CC$3,0,0,'Données projet'!$E$12+1,1))-AVERAGE(OFFSET($H$3,0,0,'Données projet'!$E$12+1,1))</f>
        <v>292.61712942007972</v>
      </c>
      <c r="CE109" s="59">
        <f t="shared" si="94"/>
        <v>152.23954167722536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7.4856880062371385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7.4856880062371385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1.7</v>
      </c>
      <c r="CT109" s="12">
        <f>IF('Données projet'!$A$140&gt;35,CT108+CS109-DB108,IF(A109&lt;'Données projet'!$A$140,$CQ$205^A109,IF(A109='Données projet'!$A$140,'Données projet'!$B$140,CT108+CS109-DB108)))</f>
        <v>212.2</v>
      </c>
      <c r="CU109" s="17">
        <f>CT109*VLOOKUP('Données projet'!$B$13,Paramètres!$A$1:$I$89,3,0)*VLOOKUP('Données projet'!$B$13,Paramètres!$A$1:$I$89,5,0)</f>
        <v>205.23983999999999</v>
      </c>
      <c r="CV109" s="13">
        <f t="shared" si="95"/>
        <v>50.893986960458122</v>
      </c>
      <c r="CW109" s="20">
        <f t="shared" si="67"/>
        <v>446.0997486227979</v>
      </c>
      <c r="CX109" s="59">
        <f t="shared" si="68"/>
        <v>739.43308195613122</v>
      </c>
      <c r="CY109" s="59">
        <f ca="1">AVERAGE(OFFSET($CX$3,0,0,'Données projet'!$E$13+1,1))-AVERAGE(OFFSET($H$3,0,0,'Données projet'!$E$13+1,1))</f>
        <v>296.78766823247003</v>
      </c>
      <c r="CZ109" s="59">
        <f t="shared" si="96"/>
        <v>154.08406475869634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8.6261376128777361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8.6261376128777361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229.61973863654862</v>
      </c>
      <c r="T110" s="59">
        <f t="shared" si="88"/>
        <v>254.08208375594052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35.945348426274236</v>
      </c>
      <c r="AA110" s="21">
        <f>EXP(-LN(2)/25)*AA109+(1-EXP(-LN(2)/25))/(LN(2)/25)*Calculateur!V110*Calculateur!X110*VLOOKUP('Données projet'!$B$9,Paramètres!$A$1:$I$89,3,0)*0.475*44/12</f>
        <v>16.194622483776708</v>
      </c>
      <c r="AB110" s="21">
        <f>EXP(-LN(2)/2)*AB109+(1-EXP(-LN(2)/2))/(LN(2)/2)*V110*Y110*VLOOKUP('Données projet'!$B$9,Paramètres!$A$1:$I$89,3,0)*0.475*44/12</f>
        <v>4.6373046043766593E-6</v>
      </c>
      <c r="AC110" s="22">
        <f t="shared" si="57"/>
        <v>52.139975547355554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2.2737367544323206E-13</v>
      </c>
      <c r="AJ110" s="13">
        <f>AI110*VLOOKUP('Données projet'!$B$10,Paramètres!$A$1:$I$89,3,0)*VLOOKUP('Données projet'!$B$10,Paramètres!$A$1:$I$89,5,0)</f>
        <v>1.3596945791505279E-13</v>
      </c>
      <c r="AK110" s="13">
        <f t="shared" si="89"/>
        <v>1.9708830566360721E-12</v>
      </c>
      <c r="AL110" s="20">
        <f t="shared" si="58"/>
        <v>3.669434796176543E-12</v>
      </c>
      <c r="AM110" s="59">
        <f t="shared" si="59"/>
        <v>293.33333333333701</v>
      </c>
      <c r="AN110" s="59">
        <f ca="1">AVERAGE(OFFSET($AM$3,0,0,'Données projet'!$E$10+1,1))-AVERAGE(OFFSET($H$3,0,0,'Données projet'!$E$10+1,1))</f>
        <v>348.76139845974495</v>
      </c>
      <c r="AO110" s="59">
        <f t="shared" si="90"/>
        <v>398.5142967182872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69.701003279124677</v>
      </c>
      <c r="AV110" s="21">
        <f>EXP(-LN(2)/25)*AV109+(1-EXP(-LN(2)/25))/(LN(2)/25)*Calculateur!AQ110*Calculateur!AS110*VLOOKUP('Données projet'!$B$10,Paramètres!$A$1:$I$89,3,0)*0.475*44/12</f>
        <v>15.443802271206916</v>
      </c>
      <c r="AW110" s="21">
        <f>EXP(-LN(2)/2)*AW109+(1-EXP(-LN(2)/2))/(LN(2)/2)*AQ110*AT110*VLOOKUP('Données projet'!$B$10,Paramètres!$A$1:$I$89,3,0)*0.475*44/12</f>
        <v>4.0141135303599305E-6</v>
      </c>
      <c r="AX110" s="21">
        <f t="shared" si="60"/>
        <v>85.144809564445126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2.4</v>
      </c>
      <c r="BD110" s="12">
        <f>IF('Données projet'!$A$88&gt;35,BD109+BC110-BL109,IF(A110&lt;'Données projet'!$A$88,$BA$205^A110,IF(A110='Données projet'!$A$88,'Données projet'!$B$88,BD109+BC110-BL109)))</f>
        <v>277.79999999999978</v>
      </c>
      <c r="BE110" s="13">
        <f>BD110*VLOOKUP('Données projet'!$B$11,Paramètres!$A$1:$I$89,3,0)*VLOOKUP('Données projet'!$B$11,Paramètres!$A$1:$I$89,5,0)</f>
        <v>281.6891999999998</v>
      </c>
      <c r="BF110" s="13">
        <f t="shared" si="91"/>
        <v>67.32386034151358</v>
      </c>
      <c r="BG110" s="20">
        <f t="shared" si="61"/>
        <v>607.86441342813578</v>
      </c>
      <c r="BH110" s="59">
        <f t="shared" si="62"/>
        <v>901.19774676146903</v>
      </c>
      <c r="BI110" s="59">
        <f ca="1">AVERAGE(OFFSET($BH$3,0,0,'Données projet'!$E$11+1,1))-AVERAGE(OFFSET($H$3,0,0,'Données projet'!$E$11+1,1))</f>
        <v>413.81510455446738</v>
      </c>
      <c r="BJ110" s="59">
        <f t="shared" si="92"/>
        <v>254.25036207346602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30.387373662336284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30.387373662336284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1.7</v>
      </c>
      <c r="BY110" s="12">
        <f>IF('Données projet'!$A$114&gt;35,BY109+BX110-CG109,IF(A110&lt;'Données projet'!$A$114,$BV$205^A110,IF(A110='Données projet'!$A$114,'Données projet'!$B$114,BY109+BX110-CG109)))</f>
        <v>213.89999999999998</v>
      </c>
      <c r="BZ110" s="13">
        <f>BY110*VLOOKUP('Données projet'!$B$12,Paramètres!$A$1:$I$89,3,0)*VLOOKUP('Données projet'!$B$12,Paramètres!$A$1:$I$89,5,0)</f>
        <v>203.54723999999999</v>
      </c>
      <c r="CA110" s="13">
        <f t="shared" si="93"/>
        <v>50.522944260264325</v>
      </c>
      <c r="CB110" s="20">
        <f t="shared" si="64"/>
        <v>442.50557091996029</v>
      </c>
      <c r="CC110" s="59">
        <f t="shared" si="65"/>
        <v>735.83890425329355</v>
      </c>
      <c r="CD110" s="59">
        <f ca="1">AVERAGE(OFFSET($CC$3,0,0,'Données projet'!$E$12+1,1))-AVERAGE(OFFSET($H$3,0,0,'Données projet'!$E$12+1,1))</f>
        <v>292.61712942007972</v>
      </c>
      <c r="CE110" s="59">
        <f t="shared" si="94"/>
        <v>152.23954167722536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7.3388982302536752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7.3388982302536752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1.7</v>
      </c>
      <c r="CT110" s="12">
        <f>IF('Données projet'!$A$140&gt;35,CT109+CS110-DB109,IF(A110&lt;'Données projet'!$A$140,$CQ$205^A110,IF(A110='Données projet'!$A$140,'Données projet'!$B$140,CT109+CS110-DB109)))</f>
        <v>213.89999999999998</v>
      </c>
      <c r="CU110" s="17">
        <f>CT110*VLOOKUP('Données projet'!$B$13,Paramètres!$A$1:$I$89,3,0)*VLOOKUP('Données projet'!$B$13,Paramètres!$A$1:$I$89,5,0)</f>
        <v>206.88408000000001</v>
      </c>
      <c r="CV110" s="13">
        <f t="shared" si="95"/>
        <v>51.254087509908629</v>
      </c>
      <c r="CW110" s="20">
        <f t="shared" si="67"/>
        <v>449.59064174642413</v>
      </c>
      <c r="CX110" s="59">
        <f t="shared" si="68"/>
        <v>742.92397507975738</v>
      </c>
      <c r="CY110" s="59">
        <f ca="1">AVERAGE(OFFSET($CX$3,0,0,'Données projet'!$E$13+1,1))-AVERAGE(OFFSET($H$3,0,0,'Données projet'!$E$13+1,1))</f>
        <v>296.78766823247003</v>
      </c>
      <c r="CZ110" s="59">
        <f t="shared" si="96"/>
        <v>154.08406475869634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8.4569843157136244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8.4569843157136244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229.61973863654862</v>
      </c>
      <c r="T111" s="59">
        <f t="shared" si="88"/>
        <v>254.08208375594052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35.240482068132671</v>
      </c>
      <c r="AA111" s="21">
        <f>EXP(-LN(2)/25)*AA110+(1-EXP(-LN(2)/25))/(LN(2)/25)*Calculateur!V111*Calculateur!X111*VLOOKUP('Données projet'!$B$9,Paramètres!$A$1:$I$89,3,0)*0.475*44/12</f>
        <v>15.75177968031965</v>
      </c>
      <c r="AB111" s="21">
        <f>EXP(-LN(2)/2)*AB110+(1-EXP(-LN(2)/2))/(LN(2)/2)*V111*Y111*VLOOKUP('Données projet'!$B$9,Paramètres!$A$1:$I$89,3,0)*0.475*44/12</f>
        <v>3.2790695321823358E-6</v>
      </c>
      <c r="AC111" s="22">
        <f t="shared" si="57"/>
        <v>50.992265027521853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2.2737367544323206E-13</v>
      </c>
      <c r="AJ111" s="13">
        <f>AI111*VLOOKUP('Données projet'!$B$10,Paramètres!$A$1:$I$89,3,0)*VLOOKUP('Données projet'!$B$10,Paramètres!$A$1:$I$89,5,0)</f>
        <v>1.3596945791505279E-13</v>
      </c>
      <c r="AK111" s="13">
        <f t="shared" si="89"/>
        <v>1.9708830566360721E-12</v>
      </c>
      <c r="AL111" s="20">
        <f t="shared" si="58"/>
        <v>3.669434796176543E-12</v>
      </c>
      <c r="AM111" s="59">
        <f t="shared" si="59"/>
        <v>293.33333333333701</v>
      </c>
      <c r="AN111" s="59">
        <f ca="1">AVERAGE(OFFSET($AM$3,0,0,'Données projet'!$E$10+1,1))-AVERAGE(OFFSET($H$3,0,0,'Données projet'!$E$10+1,1))</f>
        <v>348.76139845974495</v>
      </c>
      <c r="AO111" s="59">
        <f t="shared" si="90"/>
        <v>398.5142967182872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68.334209118235194</v>
      </c>
      <c r="AV111" s="21">
        <f>EXP(-LN(2)/25)*AV110+(1-EXP(-LN(2)/25))/(LN(2)/25)*Calculateur!AQ111*Calculateur!AS111*VLOOKUP('Données projet'!$B$10,Paramètres!$A$1:$I$89,3,0)*0.475*44/12</f>
        <v>15.0214906859465</v>
      </c>
      <c r="AW111" s="21">
        <f>EXP(-LN(2)/2)*AW110+(1-EXP(-LN(2)/2))/(LN(2)/2)*AQ111*AT111*VLOOKUP('Données projet'!$B$10,Paramètres!$A$1:$I$89,3,0)*0.475*44/12</f>
        <v>2.8384068977701792E-6</v>
      </c>
      <c r="AX111" s="21">
        <f t="shared" si="60"/>
        <v>83.355702642588597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2.4</v>
      </c>
      <c r="BD111" s="12">
        <f>IF('Données projet'!$A$88&gt;35,BD110+BC111-BL110,IF(A111&lt;'Données projet'!$A$88,$BA$205^A111,IF(A111='Données projet'!$A$88,'Données projet'!$B$88,BD110+BC111-BL110)))</f>
        <v>280.19999999999976</v>
      </c>
      <c r="BE111" s="13">
        <f>BD111*VLOOKUP('Données projet'!$B$11,Paramètres!$A$1:$I$89,3,0)*VLOOKUP('Données projet'!$B$11,Paramètres!$A$1:$I$89,5,0)</f>
        <v>284.12279999999976</v>
      </c>
      <c r="BF111" s="13">
        <f t="shared" si="91"/>
        <v>67.8375324625855</v>
      </c>
      <c r="BG111" s="20">
        <f t="shared" si="61"/>
        <v>612.99757903900263</v>
      </c>
      <c r="BH111" s="59">
        <f t="shared" si="62"/>
        <v>906.33091237233589</v>
      </c>
      <c r="BI111" s="59">
        <f ca="1">AVERAGE(OFFSET($BH$3,0,0,'Données projet'!$E$11+1,1))-AVERAGE(OFFSET($H$3,0,0,'Données projet'!$E$11+1,1))</f>
        <v>413.81510455446738</v>
      </c>
      <c r="BJ111" s="59">
        <f t="shared" si="92"/>
        <v>254.25036207346602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29.791495799285677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29.791495799285677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1.7</v>
      </c>
      <c r="BY111" s="12">
        <f>IF('Données projet'!$A$114&gt;35,BY110+BX111-CG110,IF(A111&lt;'Données projet'!$A$114,$BV$205^A111,IF(A111='Données projet'!$A$114,'Données projet'!$B$114,BY110+BX111-CG110)))</f>
        <v>215.59999999999997</v>
      </c>
      <c r="BZ111" s="13">
        <f>BY111*VLOOKUP('Données projet'!$B$12,Paramètres!$A$1:$I$89,3,0)*VLOOKUP('Données projet'!$B$12,Paramètres!$A$1:$I$89,5,0)</f>
        <v>205.16495999999995</v>
      </c>
      <c r="CA111" s="13">
        <f t="shared" si="93"/>
        <v>50.877579718882295</v>
      </c>
      <c r="CB111" s="20">
        <f t="shared" si="64"/>
        <v>445.94075667705329</v>
      </c>
      <c r="CC111" s="59">
        <f t="shared" si="65"/>
        <v>739.27409001038654</v>
      </c>
      <c r="CD111" s="59">
        <f ca="1">AVERAGE(OFFSET($CC$3,0,0,'Données projet'!$E$12+1,1))-AVERAGE(OFFSET($H$3,0,0,'Données projet'!$E$12+1,1))</f>
        <v>292.61712942007972</v>
      </c>
      <c r="CE111" s="59">
        <f t="shared" si="94"/>
        <v>152.23954167722536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7.1949869122443246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7.1949869122443246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1.7</v>
      </c>
      <c r="CT111" s="12">
        <f>IF('Données projet'!$A$140&gt;35,CT110+CS111-DB110,IF(A111&lt;'Données projet'!$A$140,$CQ$205^A111,IF(A111='Données projet'!$A$140,'Données projet'!$B$140,CT110+CS111-DB110)))</f>
        <v>215.59999999999997</v>
      </c>
      <c r="CU111" s="17">
        <f>CT111*VLOOKUP('Données projet'!$B$13,Paramètres!$A$1:$I$89,3,0)*VLOOKUP('Données projet'!$B$13,Paramètres!$A$1:$I$89,5,0)</f>
        <v>208.52831999999995</v>
      </c>
      <c r="CV111" s="13">
        <f t="shared" si="95"/>
        <v>51.613855078807369</v>
      </c>
      <c r="CW111" s="20">
        <f t="shared" si="67"/>
        <v>453.08095492892272</v>
      </c>
      <c r="CX111" s="59">
        <f t="shared" si="68"/>
        <v>746.41428826225604</v>
      </c>
      <c r="CY111" s="59">
        <f ca="1">AVERAGE(OFFSET($CX$3,0,0,'Données projet'!$E$13+1,1))-AVERAGE(OFFSET($H$3,0,0,'Données projet'!$E$13+1,1))</f>
        <v>296.78766823247003</v>
      </c>
      <c r="CZ111" s="59">
        <f t="shared" si="96"/>
        <v>154.08406475869634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8.2911480115335774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8.2911480115335774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229.61973863654862</v>
      </c>
      <c r="T112" s="59">
        <f t="shared" si="88"/>
        <v>254.08208375594052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34.54943770934824</v>
      </c>
      <c r="AA112" s="21">
        <f>EXP(-LN(2)/25)*AA111+(1-EXP(-LN(2)/25))/(LN(2)/25)*Calculateur!V112*Calculateur!X112*VLOOKUP('Données projet'!$B$9,Paramètres!$A$1:$I$89,3,0)*0.475*44/12</f>
        <v>15.321046436611217</v>
      </c>
      <c r="AB112" s="21">
        <f>EXP(-LN(2)/2)*AB111+(1-EXP(-LN(2)/2))/(LN(2)/2)*V112*Y112*VLOOKUP('Données projet'!$B$9,Paramètres!$A$1:$I$89,3,0)*0.475*44/12</f>
        <v>2.3186523021883296E-6</v>
      </c>
      <c r="AC112" s="22">
        <f t="shared" si="57"/>
        <v>49.870486464611758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2.2737367544323206E-13</v>
      </c>
      <c r="AJ112" s="13">
        <f>AI112*VLOOKUP('Données projet'!$B$10,Paramètres!$A$1:$I$89,3,0)*VLOOKUP('Données projet'!$B$10,Paramètres!$A$1:$I$89,5,0)</f>
        <v>1.3596945791505279E-13</v>
      </c>
      <c r="AK112" s="13">
        <f t="shared" si="89"/>
        <v>1.9708830566360721E-12</v>
      </c>
      <c r="AL112" s="20">
        <f t="shared" si="58"/>
        <v>3.669434796176543E-12</v>
      </c>
      <c r="AM112" s="59">
        <f t="shared" si="59"/>
        <v>293.33333333333701</v>
      </c>
      <c r="AN112" s="59">
        <f ca="1">AVERAGE(OFFSET($AM$3,0,0,'Données projet'!$E$10+1,1))-AVERAGE(OFFSET($H$3,0,0,'Données projet'!$E$10+1,1))</f>
        <v>348.76139845974495</v>
      </c>
      <c r="AO112" s="59">
        <f t="shared" si="90"/>
        <v>398.5142967182872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66.994216957178637</v>
      </c>
      <c r="AV112" s="21">
        <f>EXP(-LN(2)/25)*AV111+(1-EXP(-LN(2)/25))/(LN(2)/25)*Calculateur!AQ112*Calculateur!AS112*VLOOKUP('Données projet'!$B$10,Paramètres!$A$1:$I$89,3,0)*0.475*44/12</f>
        <v>14.61072723319343</v>
      </c>
      <c r="AW112" s="21">
        <f>EXP(-LN(2)/2)*AW111+(1-EXP(-LN(2)/2))/(LN(2)/2)*AQ112*AT112*VLOOKUP('Données projet'!$B$10,Paramètres!$A$1:$I$89,3,0)*0.475*44/12</f>
        <v>2.0070567651799653E-6</v>
      </c>
      <c r="AX112" s="21">
        <f t="shared" si="60"/>
        <v>81.604946197428831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2.4</v>
      </c>
      <c r="BD112" s="12">
        <f>IF('Données projet'!$A$88&gt;35,BD111+BC112-BL111,IF(A112&lt;'Données projet'!$A$88,$BA$205^A112,IF(A112='Données projet'!$A$88,'Données projet'!$B$88,BD111+BC112-BL111)))</f>
        <v>282.59999999999974</v>
      </c>
      <c r="BE112" s="13">
        <f>BD112*VLOOKUP('Données projet'!$B$11,Paramètres!$A$1:$I$89,3,0)*VLOOKUP('Données projet'!$B$11,Paramètres!$A$1:$I$89,5,0)</f>
        <v>286.55639999999971</v>
      </c>
      <c r="BF112" s="13">
        <f t="shared" si="91"/>
        <v>68.350692700046267</v>
      </c>
      <c r="BG112" s="20">
        <f t="shared" si="61"/>
        <v>618.12985311924672</v>
      </c>
      <c r="BH112" s="59">
        <f t="shared" si="62"/>
        <v>911.46318645257998</v>
      </c>
      <c r="BI112" s="59">
        <f ca="1">AVERAGE(OFFSET($BH$3,0,0,'Données projet'!$E$11+1,1))-AVERAGE(OFFSET($H$3,0,0,'Données projet'!$E$11+1,1))</f>
        <v>413.81510455446738</v>
      </c>
      <c r="BJ112" s="59">
        <f t="shared" si="92"/>
        <v>254.25036207346602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29.207302737679882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29.207302737679882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1.7</v>
      </c>
      <c r="BY112" s="12">
        <f>IF('Données projet'!$A$114&gt;35,BY111+BX112-CG111,IF(A112&lt;'Données projet'!$A$114,$BV$205^A112,IF(A112='Données projet'!$A$114,'Données projet'!$B$114,BY111+BX112-CG111)))</f>
        <v>217.29999999999995</v>
      </c>
      <c r="BZ112" s="13">
        <f>BY112*VLOOKUP('Données projet'!$B$12,Paramètres!$A$1:$I$89,3,0)*VLOOKUP('Données projet'!$B$12,Paramètres!$A$1:$I$89,5,0)</f>
        <v>206.78267999999997</v>
      </c>
      <c r="CA112" s="13">
        <f t="shared" si="93"/>
        <v>51.231889835017043</v>
      </c>
      <c r="CB112" s="20">
        <f t="shared" si="64"/>
        <v>449.37537579598796</v>
      </c>
      <c r="CC112" s="59">
        <f t="shared" si="65"/>
        <v>742.70870912932128</v>
      </c>
      <c r="CD112" s="59">
        <f ca="1">AVERAGE(OFFSET($CC$3,0,0,'Données projet'!$E$12+1,1))-AVERAGE(OFFSET($H$3,0,0,'Données projet'!$E$12+1,1))</f>
        <v>292.61712942007972</v>
      </c>
      <c r="CE112" s="59">
        <f t="shared" si="94"/>
        <v>152.23954167722536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7.0538976074039006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7.0538976074039006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1.7</v>
      </c>
      <c r="CT112" s="12">
        <f>IF('Données projet'!$A$140&gt;35,CT111+CS112-DB111,IF(A112&lt;'Données projet'!$A$140,$CQ$205^A112,IF(A112='Données projet'!$A$140,'Données projet'!$B$140,CT111+CS112-DB111)))</f>
        <v>217.29999999999995</v>
      </c>
      <c r="CU112" s="17">
        <f>CT112*VLOOKUP('Données projet'!$B$13,Paramètres!$A$1:$I$89,3,0)*VLOOKUP('Données projet'!$B$13,Paramètres!$A$1:$I$89,5,0)</f>
        <v>210.17255999999995</v>
      </c>
      <c r="CV112" s="13">
        <f t="shared" si="95"/>
        <v>51.973292597026166</v>
      </c>
      <c r="CW112" s="20">
        <f t="shared" si="67"/>
        <v>456.57069327315384</v>
      </c>
      <c r="CX112" s="59">
        <f t="shared" si="68"/>
        <v>749.90402660648715</v>
      </c>
      <c r="CY112" s="59">
        <f ca="1">AVERAGE(OFFSET($CX$3,0,0,'Données projet'!$E$13+1,1))-AVERAGE(OFFSET($H$3,0,0,'Données projet'!$E$13+1,1))</f>
        <v>296.78766823247003</v>
      </c>
      <c r="CZ112" s="59">
        <f t="shared" si="96"/>
        <v>154.08406475869634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8.1285636561283443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8.1285636561283443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229.61973863654862</v>
      </c>
      <c r="T113" s="59">
        <f t="shared" si="88"/>
        <v>254.08208375594052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33.87194430894413</v>
      </c>
      <c r="AA113" s="21">
        <f>EXP(-LN(2)/25)*AA112+(1-EXP(-LN(2)/25))/(LN(2)/25)*Calculateur!V113*Calculateur!X113*VLOOKUP('Données projet'!$B$9,Paramètres!$A$1:$I$89,3,0)*0.475*44/12</f>
        <v>14.902091616103268</v>
      </c>
      <c r="AB113" s="21">
        <f>EXP(-LN(2)/2)*AB112+(1-EXP(-LN(2)/2))/(LN(2)/2)*V113*Y113*VLOOKUP('Données projet'!$B$9,Paramètres!$A$1:$I$89,3,0)*0.475*44/12</f>
        <v>1.6395347660911679E-6</v>
      </c>
      <c r="AC113" s="22">
        <f t="shared" si="57"/>
        <v>48.774037564582166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2.2737367544323206E-13</v>
      </c>
      <c r="AJ113" s="13">
        <f>AI113*VLOOKUP('Données projet'!$B$10,Paramètres!$A$1:$I$89,3,0)*VLOOKUP('Données projet'!$B$10,Paramètres!$A$1:$I$89,5,0)</f>
        <v>1.3596945791505279E-13</v>
      </c>
      <c r="AK113" s="13">
        <f t="shared" si="89"/>
        <v>1.9708830566360721E-12</v>
      </c>
      <c r="AL113" s="20">
        <f t="shared" si="58"/>
        <v>3.669434796176543E-12</v>
      </c>
      <c r="AM113" s="59">
        <f t="shared" si="59"/>
        <v>293.33333333333701</v>
      </c>
      <c r="AN113" s="59">
        <f ca="1">AVERAGE(OFFSET($AM$3,0,0,'Données projet'!$E$10+1,1))-AVERAGE(OFFSET($H$3,0,0,'Données projet'!$E$10+1,1))</f>
        <v>348.76139845974495</v>
      </c>
      <c r="AO113" s="59">
        <f t="shared" si="90"/>
        <v>398.5142967182872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65.680501225085877</v>
      </c>
      <c r="AV113" s="21">
        <f>EXP(-LN(2)/25)*AV112+(1-EXP(-LN(2)/25))/(LN(2)/25)*Calculateur!AQ113*Calculateur!AS113*VLOOKUP('Données projet'!$B$10,Paramètres!$A$1:$I$89,3,0)*0.475*44/12</f>
        <v>14.211196128657004</v>
      </c>
      <c r="AW113" s="21">
        <f>EXP(-LN(2)/2)*AW112+(1-EXP(-LN(2)/2))/(LN(2)/2)*AQ113*AT113*VLOOKUP('Données projet'!$B$10,Paramètres!$A$1:$I$89,3,0)*0.475*44/12</f>
        <v>1.4192034488850896E-6</v>
      </c>
      <c r="AX113" s="21">
        <f t="shared" si="60"/>
        <v>79.891698772946327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285</v>
      </c>
      <c r="BB113" s="12">
        <f>VLOOKUP(A113,'Données projet'!$A$87:$I$107,9,0)</f>
        <v>2.4</v>
      </c>
      <c r="BC113" s="12">
        <f t="array" ref="BC113">INDEX(BB:BB,MIN(IF(ISNUMBER(BB113:BB309),ROW(BB113:BB309),"")))</f>
        <v>2.4</v>
      </c>
      <c r="BD113" s="12">
        <f>IF('Données projet'!$A$88&gt;35,BD112+BC113-BL112,IF(A113&lt;'Données projet'!$A$88,$BA$205^A113,IF(A113='Données projet'!$A$88,'Données projet'!$B$88,BD112+BC113-BL112)))</f>
        <v>284.99999999999972</v>
      </c>
      <c r="BE113" s="13">
        <f>BD113*VLOOKUP('Données projet'!$B$11,Paramètres!$A$1:$I$89,3,0)*VLOOKUP('Données projet'!$B$11,Paramètres!$A$1:$I$89,5,0)</f>
        <v>288.98999999999972</v>
      </c>
      <c r="BF113" s="13">
        <f t="shared" si="91"/>
        <v>68.863345904836791</v>
      </c>
      <c r="BG113" s="20">
        <f t="shared" si="61"/>
        <v>623.26124411759019</v>
      </c>
      <c r="BH113" s="59">
        <f t="shared" si="62"/>
        <v>916.59457745092345</v>
      </c>
      <c r="BI113" s="59">
        <f ca="1">AVERAGE(OFFSET($BH$3,0,0,'Données projet'!$E$11+1,1))-AVERAGE(OFFSET($H$3,0,0,'Données projet'!$E$11+1,1))</f>
        <v>413.81510455446738</v>
      </c>
      <c r="BJ113" s="59">
        <f t="shared" si="92"/>
        <v>254.25036207346602</v>
      </c>
      <c r="BK113" s="15">
        <f>IF(ISNA(VLOOKUP(A113,'Données projet'!$A$87:$I$107,3,0)),0,VLOOKUP(A113,'Données projet'!$A$87:$I$107,3,0))</f>
        <v>17</v>
      </c>
      <c r="BL113" s="15">
        <f>IF(ISNA(VLOOKUP(A113,'Données projet'!$A$87:$I$107,4,0)),0,VLOOKUP(A113,'Données projet'!$A$87:$I$107,4,0))</f>
        <v>19</v>
      </c>
      <c r="BM113" s="16">
        <f>IF(ISNA(VLOOKUP(A113,'Données projet'!$A$87:$I$107,5,0)),0%,VLOOKUP(A113,'Données projet'!$A$87:$I$107,5,0)*VLOOKUP('Données projet'!$B$11,Paramètres!$A$1:$I$89,7,0))</f>
        <v>0.34400000000000003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35.961074707925739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35.961074707925739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219</v>
      </c>
      <c r="BW113" s="12">
        <f>VLOOKUP(A113,'Données projet'!$A$113:$I$133,9,0)</f>
        <v>1.7</v>
      </c>
      <c r="BX113" s="12">
        <f t="array" ref="BX113">INDEX(BW:BW,MIN(IF(ISNUMBER(BW113:BW309),ROW(BW113:BW309),"")))</f>
        <v>1.7</v>
      </c>
      <c r="BY113" s="12">
        <f>IF('Données projet'!$A$114&gt;35,BY112+BX113-CG112,IF(A113&lt;'Données projet'!$A$114,$BV$205^A113,IF(A113='Données projet'!$A$114,'Données projet'!$B$114,BY112+BX113-CG112)))</f>
        <v>218.99999999999994</v>
      </c>
      <c r="BZ113" s="13">
        <f>BY113*VLOOKUP('Données projet'!$B$12,Paramètres!$A$1:$I$89,3,0)*VLOOKUP('Données projet'!$B$12,Paramètres!$A$1:$I$89,5,0)</f>
        <v>208.40039999999996</v>
      </c>
      <c r="CA113" s="13">
        <f t="shared" si="93"/>
        <v>51.585877448947201</v>
      </c>
      <c r="CB113" s="20">
        <f t="shared" si="64"/>
        <v>452.80943322358286</v>
      </c>
      <c r="CC113" s="59">
        <f t="shared" si="65"/>
        <v>746.14276655691617</v>
      </c>
      <c r="CD113" s="59">
        <f ca="1">AVERAGE(OFFSET($CC$3,0,0,'Données projet'!$E$12+1,1))-AVERAGE(OFFSET($H$3,0,0,'Données projet'!$E$12+1,1))</f>
        <v>292.61712942007972</v>
      </c>
      <c r="CE113" s="59">
        <f t="shared" si="94"/>
        <v>152.23954167722536</v>
      </c>
      <c r="CF113" s="15">
        <f>IF(ISNA(VLOOKUP(A113,'Données projet'!$A$113:$I$133,3,0)),0,VLOOKUP(A113,'Données projet'!$A$113:$I$133,3,0))</f>
        <v>18</v>
      </c>
      <c r="CG113" s="15">
        <f>IF(ISNA(VLOOKUP(A113,'Données projet'!$A$113:$I$133,4,0)),0,VLOOKUP(A113,'Données projet'!$A$113:$I$133,4,0))</f>
        <v>13</v>
      </c>
      <c r="CH113" s="16">
        <f>IF(ISNA(VLOOKUP(A113,'Données projet'!$A$113:$I$133,5,0)),0%,VLOOKUP(A113,'Données projet'!$A$113:$I$133,5,0)*VLOOKUP('Données projet'!$B$12,Paramètres!$A$1:$I$89,7,0))</f>
        <v>0.17200000000000001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9.2677700888091294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9.2677700888091294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219</v>
      </c>
      <c r="CR113" s="12">
        <f>VLOOKUP(A113,'Données projet'!$A$139:$I$159,9,0)</f>
        <v>1.7</v>
      </c>
      <c r="CS113" s="12">
        <f t="array" ref="CS113">INDEX(CR:CR,MIN(IF(ISNUMBER(CR113:CR309),ROW(CR113:CR309),"")))</f>
        <v>1.7</v>
      </c>
      <c r="CT113" s="12">
        <f>IF('Données projet'!$A$140&gt;35,CT112+CS113-DB112,IF(A113&lt;'Données projet'!$A$140,$CQ$205^A113,IF(A113='Données projet'!$A$140,'Données projet'!$B$140,CT112+CS113-DB112)))</f>
        <v>218.99999999999994</v>
      </c>
      <c r="CU113" s="17">
        <f>CT113*VLOOKUP('Données projet'!$B$13,Paramètres!$A$1:$I$89,3,0)*VLOOKUP('Données projet'!$B$13,Paramètres!$A$1:$I$89,5,0)</f>
        <v>211.81679999999997</v>
      </c>
      <c r="CV113" s="13">
        <f t="shared" si="95"/>
        <v>52.332402945946782</v>
      </c>
      <c r="CW113" s="20">
        <f t="shared" si="67"/>
        <v>460.05986179752387</v>
      </c>
      <c r="CX113" s="59">
        <f t="shared" si="68"/>
        <v>753.39319513085718</v>
      </c>
      <c r="CY113" s="59">
        <f ca="1">AVERAGE(OFFSET($CX$3,0,0,'Données projet'!$E$13+1,1))-AVERAGE(OFFSET($H$3,0,0,'Données projet'!$E$13+1,1))</f>
        <v>296.78766823247003</v>
      </c>
      <c r="CZ113" s="59">
        <f t="shared" si="96"/>
        <v>154.08406475869634</v>
      </c>
      <c r="DA113" s="15">
        <f>IF(ISNA(VLOOKUP(A113,'Données projet'!$A$139:$I$159,3,0)),0,VLOOKUP(A113,'Données projet'!$A$139:$I$159,3,0))</f>
        <v>18</v>
      </c>
      <c r="DB113" s="15">
        <f>IF(ISNA(VLOOKUP(A113,'Données projet'!$A$139:$I$159,4,0)),0,VLOOKUP(A113,'Données projet'!$A$139:$I$159,4,0))</f>
        <v>13</v>
      </c>
      <c r="DC113" s="16">
        <f>IF(ISNA(VLOOKUP(A113,'Données projet'!$A$139:$I$159,5,0)),0%,VLOOKUP(A113,'Données projet'!$A$139:$I$159,5,0)*VLOOKUP('Données projet'!$B$13,Paramètres!$A$1:$I$89,7,0))</f>
        <v>0.30099999999999999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12.152989932358688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12.152989932358688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229.61973863654862</v>
      </c>
      <c r="T114" s="59">
        <f t="shared" si="88"/>
        <v>254.08208375594052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33.207736140891775</v>
      </c>
      <c r="AA114" s="21">
        <f>EXP(-LN(2)/25)*AA113+(1-EXP(-LN(2)/25))/(LN(2)/25)*Calculateur!V114*Calculateur!X114*VLOOKUP('Données projet'!$B$9,Paramètres!$A$1:$I$89,3,0)*0.475*44/12</f>
        <v>14.494593137193986</v>
      </c>
      <c r="AB114" s="21">
        <f>EXP(-LN(2)/2)*AB113+(1-EXP(-LN(2)/2))/(LN(2)/2)*V114*Y114*VLOOKUP('Données projet'!$B$9,Paramètres!$A$1:$I$89,3,0)*0.475*44/12</f>
        <v>1.1593261510941648E-6</v>
      </c>
      <c r="AC114" s="22">
        <f t="shared" si="57"/>
        <v>47.702330437411916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2.2737367544323206E-13</v>
      </c>
      <c r="AJ114" s="13">
        <f>AI114*VLOOKUP('Données projet'!$B$10,Paramètres!$A$1:$I$89,3,0)*VLOOKUP('Données projet'!$B$10,Paramètres!$A$1:$I$89,5,0)</f>
        <v>1.3596945791505279E-13</v>
      </c>
      <c r="AK114" s="13">
        <f t="shared" si="89"/>
        <v>1.9708830566360721E-12</v>
      </c>
      <c r="AL114" s="20">
        <f t="shared" si="58"/>
        <v>3.669434796176543E-12</v>
      </c>
      <c r="AM114" s="59">
        <f t="shared" si="59"/>
        <v>293.33333333333701</v>
      </c>
      <c r="AN114" s="59">
        <f ca="1">AVERAGE(OFFSET($AM$3,0,0,'Données projet'!$E$10+1,1))-AVERAGE(OFFSET($H$3,0,0,'Données projet'!$E$10+1,1))</f>
        <v>348.76139845974495</v>
      </c>
      <c r="AO114" s="59">
        <f t="shared" si="90"/>
        <v>398.5142967182872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64.39254665721198</v>
      </c>
      <c r="AV114" s="21">
        <f>EXP(-LN(2)/25)*AV113+(1-EXP(-LN(2)/25))/(LN(2)/25)*Calculateur!AQ114*Calculateur!AS114*VLOOKUP('Données projet'!$B$10,Paramètres!$A$1:$I$89,3,0)*0.475*44/12</f>
        <v>13.822590223184553</v>
      </c>
      <c r="AW114" s="21">
        <f>EXP(-LN(2)/2)*AW113+(1-EXP(-LN(2)/2))/(LN(2)/2)*AQ114*AT114*VLOOKUP('Données projet'!$B$10,Paramètres!$A$1:$I$89,3,0)*0.475*44/12</f>
        <v>1.0035283825899826E-6</v>
      </c>
      <c r="AX114" s="21">
        <f t="shared" si="60"/>
        <v>78.215137883924911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1.9</v>
      </c>
      <c r="BD114" s="12">
        <f>IF('Données projet'!$A$88&gt;35,BD113+BC114-BL113,IF(A114&lt;'Données projet'!$A$88,$BA$205^A114,IF(A114='Données projet'!$A$88,'Données projet'!$B$88,BD113+BC114-BL113)))</f>
        <v>267.89999999999969</v>
      </c>
      <c r="BE114" s="13">
        <f>BD114*VLOOKUP('Données projet'!$B$11,Paramètres!$A$1:$I$89,3,0)*VLOOKUP('Données projet'!$B$11,Paramètres!$A$1:$I$89,5,0)</f>
        <v>271.65059999999971</v>
      </c>
      <c r="BF114" s="13">
        <f t="shared" si="91"/>
        <v>65.199443913839758</v>
      </c>
      <c r="BG114" s="20">
        <f t="shared" si="61"/>
        <v>586.68049314993721</v>
      </c>
      <c r="BH114" s="59">
        <f t="shared" si="62"/>
        <v>880.01382648327058</v>
      </c>
      <c r="BI114" s="59">
        <f ca="1">AVERAGE(OFFSET($BH$3,0,0,'Données projet'!$E$11+1,1))-AVERAGE(OFFSET($H$3,0,0,'Données projet'!$E$11+1,1))</f>
        <v>413.81510455446738</v>
      </c>
      <c r="BJ114" s="59">
        <f t="shared" si="92"/>
        <v>254.25036207346602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35.255899966993077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35.255899966993077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1.5</v>
      </c>
      <c r="BY114" s="12">
        <f>IF('Données projet'!$A$114&gt;35,BY113+BX114-CG113,IF(A114&lt;'Données projet'!$A$114,$BV$205^A114,IF(A114='Données projet'!$A$114,'Données projet'!$B$114,BY113+BX114-CG113)))</f>
        <v>207.49999999999994</v>
      </c>
      <c r="BZ114" s="13">
        <f>BY114*VLOOKUP('Données projet'!$B$12,Paramètres!$A$1:$I$89,3,0)*VLOOKUP('Données projet'!$B$12,Paramètres!$A$1:$I$89,5,0)</f>
        <v>197.45699999999994</v>
      </c>
      <c r="CA114" s="13">
        <f t="shared" si="93"/>
        <v>49.184877749822682</v>
      </c>
      <c r="CB114" s="20">
        <f t="shared" si="64"/>
        <v>429.56793708094102</v>
      </c>
      <c r="CC114" s="59">
        <f t="shared" si="65"/>
        <v>722.90127041427434</v>
      </c>
      <c r="CD114" s="59">
        <f ca="1">AVERAGE(OFFSET($CC$3,0,0,'Données projet'!$E$12+1,1))-AVERAGE(OFFSET($H$3,0,0,'Données projet'!$E$12+1,1))</f>
        <v>292.61712942007972</v>
      </c>
      <c r="CE114" s="59">
        <f t="shared" si="94"/>
        <v>152.23954167722536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9.0860347701491708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9.0860347701491708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1.5</v>
      </c>
      <c r="CT114" s="12">
        <f>IF('Données projet'!$A$140&gt;35,CT113+CS114-DB113,IF(A114&lt;'Données projet'!$A$140,$CQ$205^A114,IF(A114='Données projet'!$A$140,'Données projet'!$B$140,CT113+CS114-DB113)))</f>
        <v>207.49999999999994</v>
      </c>
      <c r="CU114" s="17">
        <f>CT114*VLOOKUP('Données projet'!$B$13,Paramètres!$A$1:$I$89,3,0)*VLOOKUP('Données projet'!$B$13,Paramètres!$A$1:$I$89,5,0)</f>
        <v>200.69399999999996</v>
      </c>
      <c r="CV114" s="13">
        <f t="shared" si="95"/>
        <v>49.896657157731141</v>
      </c>
      <c r="CW114" s="20">
        <f t="shared" si="67"/>
        <v>436.44539454971499</v>
      </c>
      <c r="CX114" s="59">
        <f t="shared" si="68"/>
        <v>729.7787278830483</v>
      </c>
      <c r="CY114" s="59">
        <f ca="1">AVERAGE(OFFSET($CX$3,0,0,'Données projet'!$E$13+1,1))-AVERAGE(OFFSET($H$3,0,0,'Données projet'!$E$13+1,1))</f>
        <v>296.78766823247003</v>
      </c>
      <c r="CZ114" s="59">
        <f t="shared" si="96"/>
        <v>154.08406475869634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11.914677212377059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11.914677212377059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229.61973863654862</v>
      </c>
      <c r="T115" s="59">
        <f t="shared" si="88"/>
        <v>254.08208375594052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32.556552689887944</v>
      </c>
      <c r="AA115" s="21">
        <f>EXP(-LN(2)/25)*AA114+(1-EXP(-LN(2)/25))/(LN(2)/25)*Calculateur!V115*Calculateur!X115*VLOOKUP('Données projet'!$B$9,Paramètres!$A$1:$I$89,3,0)*0.475*44/12</f>
        <v>14.098237725619891</v>
      </c>
      <c r="AB115" s="21">
        <f>EXP(-LN(2)/2)*AB114+(1-EXP(-LN(2)/2))/(LN(2)/2)*V115*Y115*VLOOKUP('Données projet'!$B$9,Paramètres!$A$1:$I$89,3,0)*0.475*44/12</f>
        <v>8.1976738304558395E-7</v>
      </c>
      <c r="AC115" s="22">
        <f t="shared" si="57"/>
        <v>46.654791235275219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2.2737367544323206E-13</v>
      </c>
      <c r="AJ115" s="13">
        <f>AI115*VLOOKUP('Données projet'!$B$10,Paramètres!$A$1:$I$89,3,0)*VLOOKUP('Données projet'!$B$10,Paramètres!$A$1:$I$89,5,0)</f>
        <v>1.3596945791505279E-13</v>
      </c>
      <c r="AK115" s="13">
        <f t="shared" si="89"/>
        <v>1.9708830566360721E-12</v>
      </c>
      <c r="AL115" s="20">
        <f t="shared" si="58"/>
        <v>3.669434796176543E-12</v>
      </c>
      <c r="AM115" s="59">
        <f t="shared" si="59"/>
        <v>293.33333333333701</v>
      </c>
      <c r="AN115" s="59">
        <f ca="1">AVERAGE(OFFSET($AM$3,0,0,'Données projet'!$E$10+1,1))-AVERAGE(OFFSET($H$3,0,0,'Données projet'!$E$10+1,1))</f>
        <v>348.76139845974495</v>
      </c>
      <c r="AO115" s="59">
        <f t="shared" si="90"/>
        <v>398.5142967182872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63.129848092839374</v>
      </c>
      <c r="AV115" s="21">
        <f>EXP(-LN(2)/25)*AV114+(1-EXP(-LN(2)/25))/(LN(2)/25)*Calculateur!AQ115*Calculateur!AS115*VLOOKUP('Données projet'!$B$10,Paramètres!$A$1:$I$89,3,0)*0.475*44/12</f>
        <v>13.444610766633144</v>
      </c>
      <c r="AW115" s="21">
        <f>EXP(-LN(2)/2)*AW114+(1-EXP(-LN(2)/2))/(LN(2)/2)*AQ115*AT115*VLOOKUP('Données projet'!$B$10,Paramètres!$A$1:$I$89,3,0)*0.475*44/12</f>
        <v>7.0960172444254481E-7</v>
      </c>
      <c r="AX115" s="21">
        <f t="shared" si="60"/>
        <v>76.574459569074236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1.9</v>
      </c>
      <c r="BD115" s="12">
        <f>IF('Données projet'!$A$88&gt;35,BD114+BC115-BL114,IF(A115&lt;'Données projet'!$A$88,$BA$205^A115,IF(A115='Données projet'!$A$88,'Données projet'!$B$88,BD114+BC115-BL114)))</f>
        <v>269.79999999999967</v>
      </c>
      <c r="BE115" s="13">
        <f>BD115*VLOOKUP('Données projet'!$B$11,Paramètres!$A$1:$I$89,3,0)*VLOOKUP('Données projet'!$B$11,Paramètres!$A$1:$I$89,5,0)</f>
        <v>273.57719999999972</v>
      </c>
      <c r="BF115" s="13">
        <f t="shared" si="91"/>
        <v>65.607858889914979</v>
      </c>
      <c r="BG115" s="20">
        <f t="shared" si="61"/>
        <v>590.74731089993463</v>
      </c>
      <c r="BH115" s="59">
        <f t="shared" si="62"/>
        <v>884.080644233268</v>
      </c>
      <c r="BI115" s="59">
        <f ca="1">AVERAGE(OFFSET($BH$3,0,0,'Données projet'!$E$11+1,1))-AVERAGE(OFFSET($H$3,0,0,'Données projet'!$E$11+1,1))</f>
        <v>413.81510455446738</v>
      </c>
      <c r="BJ115" s="59">
        <f t="shared" si="92"/>
        <v>254.25036207346602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34.564553272615981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34.564553272615981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1.5</v>
      </c>
      <c r="BY115" s="12">
        <f>IF('Données projet'!$A$114&gt;35,BY114+BX115-CG114,IF(A115&lt;'Données projet'!$A$114,$BV$205^A115,IF(A115='Données projet'!$A$114,'Données projet'!$B$114,BY114+BX115-CG114)))</f>
        <v>208.99999999999994</v>
      </c>
      <c r="BZ115" s="13">
        <f>BY115*VLOOKUP('Données projet'!$B$12,Paramètres!$A$1:$I$89,3,0)*VLOOKUP('Données projet'!$B$12,Paramètres!$A$1:$I$89,5,0)</f>
        <v>198.88439999999994</v>
      </c>
      <c r="CA115" s="13">
        <f t="shared" si="93"/>
        <v>49.498912851979021</v>
      </c>
      <c r="CB115" s="20">
        <f t="shared" si="64"/>
        <v>432.60093655052998</v>
      </c>
      <c r="CC115" s="59">
        <f t="shared" si="65"/>
        <v>725.93426988386329</v>
      </c>
      <c r="CD115" s="59">
        <f ca="1">AVERAGE(OFFSET($CC$3,0,0,'Données projet'!$E$12+1,1))-AVERAGE(OFFSET($H$3,0,0,'Données projet'!$E$12+1,1))</f>
        <v>292.61712942007972</v>
      </c>
      <c r="CE115" s="59">
        <f t="shared" si="94"/>
        <v>152.23954167722536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8.9078631702405353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8.9078631702405353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1.5</v>
      </c>
      <c r="CT115" s="12">
        <f>IF('Données projet'!$A$140&gt;35,CT114+CS115-DB114,IF(A115&lt;'Données projet'!$A$140,$CQ$205^A115,IF(A115='Données projet'!$A$140,'Données projet'!$B$140,CT114+CS115-DB114)))</f>
        <v>208.99999999999994</v>
      </c>
      <c r="CU115" s="17">
        <f>CT115*VLOOKUP('Données projet'!$B$13,Paramètres!$A$1:$I$89,3,0)*VLOOKUP('Données projet'!$B$13,Paramètres!$A$1:$I$89,5,0)</f>
        <v>202.14479999999995</v>
      </c>
      <c r="CV115" s="13">
        <f t="shared" si="95"/>
        <v>50.215236821738628</v>
      </c>
      <c r="CW115" s="20">
        <f t="shared" si="67"/>
        <v>439.52706413119466</v>
      </c>
      <c r="CX115" s="59">
        <f t="shared" si="68"/>
        <v>732.86039746452798</v>
      </c>
      <c r="CY115" s="59">
        <f ca="1">AVERAGE(OFFSET($CX$3,0,0,'Données projet'!$E$13+1,1))-AVERAGE(OFFSET($H$3,0,0,'Données projet'!$E$13+1,1))</f>
        <v>296.78766823247003</v>
      </c>
      <c r="CZ115" s="59">
        <f t="shared" si="96"/>
        <v>154.08406475869634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11.681037659477864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11.681037659477864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229.61973863654862</v>
      </c>
      <c r="T116" s="59">
        <f t="shared" si="88"/>
        <v>254.08208375594052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31.918138549175612</v>
      </c>
      <c r="AA116" s="21">
        <f>EXP(-LN(2)/25)*AA115+(1-EXP(-LN(2)/25))/(LN(2)/25)*Calculateur!V116*Calculateur!X116*VLOOKUP('Données projet'!$B$9,Paramètres!$A$1:$I$89,3,0)*0.475*44/12</f>
        <v>13.712720673618714</v>
      </c>
      <c r="AB116" s="21">
        <f>EXP(-LN(2)/2)*AB115+(1-EXP(-LN(2)/2))/(LN(2)/2)*V116*Y116*VLOOKUP('Données projet'!$B$9,Paramètres!$A$1:$I$89,3,0)*0.475*44/12</f>
        <v>5.7966307554708241E-7</v>
      </c>
      <c r="AC116" s="22">
        <f t="shared" si="57"/>
        <v>45.630859802457401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2.2737367544323206E-13</v>
      </c>
      <c r="AJ116" s="13">
        <f>AI116*VLOOKUP('Données projet'!$B$10,Paramètres!$A$1:$I$89,3,0)*VLOOKUP('Données projet'!$B$10,Paramètres!$A$1:$I$89,5,0)</f>
        <v>1.3596945791505279E-13</v>
      </c>
      <c r="AK116" s="13">
        <f t="shared" si="89"/>
        <v>1.9708830566360721E-12</v>
      </c>
      <c r="AL116" s="20">
        <f t="shared" si="58"/>
        <v>3.669434796176543E-12</v>
      </c>
      <c r="AM116" s="59">
        <f t="shared" si="59"/>
        <v>293.33333333333701</v>
      </c>
      <c r="AN116" s="59">
        <f ca="1">AVERAGE(OFFSET($AM$3,0,0,'Données projet'!$E$10+1,1))-AVERAGE(OFFSET($H$3,0,0,'Données projet'!$E$10+1,1))</f>
        <v>348.76139845974495</v>
      </c>
      <c r="AO116" s="59">
        <f t="shared" si="90"/>
        <v>398.5142967182872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61.891910277144035</v>
      </c>
      <c r="AV116" s="21">
        <f>EXP(-LN(2)/25)*AV115+(1-EXP(-LN(2)/25))/(LN(2)/25)*Calculateur!AQ116*Calculateur!AS116*VLOOKUP('Données projet'!$B$10,Paramètres!$A$1:$I$89,3,0)*0.475*44/12</f>
        <v>13.076967178198208</v>
      </c>
      <c r="AW116" s="21">
        <f>EXP(-LN(2)/2)*AW115+(1-EXP(-LN(2)/2))/(LN(2)/2)*AQ116*AT116*VLOOKUP('Données projet'!$B$10,Paramètres!$A$1:$I$89,3,0)*0.475*44/12</f>
        <v>5.0176419129499132E-7</v>
      </c>
      <c r="AX116" s="21">
        <f t="shared" si="60"/>
        <v>74.968877957106429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1.9</v>
      </c>
      <c r="BD116" s="12">
        <f>IF('Données projet'!$A$88&gt;35,BD115+BC116-BL115,IF(A116&lt;'Données projet'!$A$88,$BA$205^A116,IF(A116='Données projet'!$A$88,'Données projet'!$B$88,BD115+BC116-BL115)))</f>
        <v>271.69999999999965</v>
      </c>
      <c r="BE116" s="13">
        <f>BD116*VLOOKUP('Données projet'!$B$11,Paramètres!$A$1:$I$89,3,0)*VLOOKUP('Données projet'!$B$11,Paramètres!$A$1:$I$89,5,0)</f>
        <v>275.50379999999967</v>
      </c>
      <c r="BF116" s="13">
        <f t="shared" si="91"/>
        <v>66.015939215007819</v>
      </c>
      <c r="BG116" s="20">
        <f t="shared" si="61"/>
        <v>594.81354579947129</v>
      </c>
      <c r="BH116" s="59">
        <f t="shared" si="62"/>
        <v>888.14687913280454</v>
      </c>
      <c r="BI116" s="59">
        <f ca="1">AVERAGE(OFFSET($BH$3,0,0,'Données projet'!$E$11+1,1))-AVERAGE(OFFSET($H$3,0,0,'Données projet'!$E$11+1,1))</f>
        <v>413.81510455446738</v>
      </c>
      <c r="BJ116" s="59">
        <f t="shared" si="92"/>
        <v>254.25036207346602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33.886763465235774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33.886763465235774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1.5</v>
      </c>
      <c r="BY116" s="12">
        <f>IF('Données projet'!$A$114&gt;35,BY115+BX116-CG115,IF(A116&lt;'Données projet'!$A$114,$BV$205^A116,IF(A116='Données projet'!$A$114,'Données projet'!$B$114,BY115+BX116-CG115)))</f>
        <v>210.49999999999994</v>
      </c>
      <c r="BZ116" s="13">
        <f>BY116*VLOOKUP('Données projet'!$B$12,Paramètres!$A$1:$I$89,3,0)*VLOOKUP('Données projet'!$B$12,Paramètres!$A$1:$I$89,5,0)</f>
        <v>200.31179999999998</v>
      </c>
      <c r="CA116" s="13">
        <f t="shared" si="93"/>
        <v>49.812685714278736</v>
      </c>
      <c r="CB116" s="20">
        <f t="shared" si="64"/>
        <v>435.63347928570209</v>
      </c>
      <c r="CC116" s="59">
        <f t="shared" si="65"/>
        <v>728.96681261903541</v>
      </c>
      <c r="CD116" s="59">
        <f ca="1">AVERAGE(OFFSET($CC$3,0,0,'Données projet'!$E$12+1,1))-AVERAGE(OFFSET($H$3,0,0,'Données projet'!$E$12+1,1))</f>
        <v>292.61712942007972</v>
      </c>
      <c r="CE116" s="59">
        <f t="shared" si="94"/>
        <v>152.23954167722536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8.7331854067321633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8.7331854067321633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1.5</v>
      </c>
      <c r="CT116" s="12">
        <f>IF('Données projet'!$A$140&gt;35,CT115+CS116-DB115,IF(A116&lt;'Données projet'!$A$140,$CQ$205^A116,IF(A116='Données projet'!$A$140,'Données projet'!$B$140,CT115+CS116-DB115)))</f>
        <v>210.49999999999994</v>
      </c>
      <c r="CU116" s="17">
        <f>CT116*VLOOKUP('Données projet'!$B$13,Paramètres!$A$1:$I$89,3,0)*VLOOKUP('Données projet'!$B$13,Paramètres!$A$1:$I$89,5,0)</f>
        <v>203.59559999999996</v>
      </c>
      <c r="CV116" s="13">
        <f t="shared" si="95"/>
        <v>50.533550450883013</v>
      </c>
      <c r="CW116" s="20">
        <f t="shared" si="67"/>
        <v>442.60827036862116</v>
      </c>
      <c r="CX116" s="59">
        <f t="shared" si="68"/>
        <v>735.94160370195448</v>
      </c>
      <c r="CY116" s="59">
        <f ca="1">AVERAGE(OFFSET($CX$3,0,0,'Données projet'!$E$13+1,1))-AVERAGE(OFFSET($H$3,0,0,'Données projet'!$E$13+1,1))</f>
        <v>296.78766823247003</v>
      </c>
      <c r="CZ116" s="59">
        <f t="shared" si="96"/>
        <v>154.08406475869634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11.451979635704967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11.451979635704967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229.61973863654862</v>
      </c>
      <c r="T117" s="59">
        <f t="shared" si="88"/>
        <v>254.08208375594052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31.292243320368474</v>
      </c>
      <c r="AA117" s="21">
        <f>EXP(-LN(2)/25)*AA116+(1-EXP(-LN(2)/25))/(LN(2)/25)*Calculateur!V117*Calculateur!X117*VLOOKUP('Données projet'!$B$9,Paramètres!$A$1:$I$89,3,0)*0.475*44/12</f>
        <v>13.33774560567797</v>
      </c>
      <c r="AB117" s="21">
        <f>EXP(-LN(2)/2)*AB116+(1-EXP(-LN(2)/2))/(LN(2)/2)*V117*Y117*VLOOKUP('Données projet'!$B$9,Paramètres!$A$1:$I$89,3,0)*0.475*44/12</f>
        <v>4.0988369152279197E-7</v>
      </c>
      <c r="AC117" s="22">
        <f t="shared" si="57"/>
        <v>44.629989335930134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2.2737367544323206E-13</v>
      </c>
      <c r="AJ117" s="13">
        <f>AI117*VLOOKUP('Données projet'!$B$10,Paramètres!$A$1:$I$89,3,0)*VLOOKUP('Données projet'!$B$10,Paramètres!$A$1:$I$89,5,0)</f>
        <v>1.3596945791505279E-13</v>
      </c>
      <c r="AK117" s="13">
        <f t="shared" si="89"/>
        <v>1.9708830566360721E-12</v>
      </c>
      <c r="AL117" s="20">
        <f t="shared" si="58"/>
        <v>3.669434796176543E-12</v>
      </c>
      <c r="AM117" s="59">
        <f t="shared" si="59"/>
        <v>293.33333333333701</v>
      </c>
      <c r="AN117" s="59">
        <f ca="1">AVERAGE(OFFSET($AM$3,0,0,'Données projet'!$E$10+1,1))-AVERAGE(OFFSET($H$3,0,0,'Données projet'!$E$10+1,1))</f>
        <v>348.76139845974495</v>
      </c>
      <c r="AO117" s="59">
        <f t="shared" si="90"/>
        <v>398.5142967182872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60.678247666946973</v>
      </c>
      <c r="AV117" s="21">
        <f>EXP(-LN(2)/25)*AV116+(1-EXP(-LN(2)/25))/(LN(2)/25)*Calculateur!AQ117*Calculateur!AS117*VLOOKUP('Données projet'!$B$10,Paramètres!$A$1:$I$89,3,0)*0.475*44/12</f>
        <v>12.719376823022563</v>
      </c>
      <c r="AW117" s="21">
        <f>EXP(-LN(2)/2)*AW116+(1-EXP(-LN(2)/2))/(LN(2)/2)*AQ117*AT117*VLOOKUP('Données projet'!$B$10,Paramètres!$A$1:$I$89,3,0)*0.475*44/12</f>
        <v>3.5480086222127241E-7</v>
      </c>
      <c r="AX117" s="21">
        <f t="shared" si="60"/>
        <v>73.397624844770391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1.9</v>
      </c>
      <c r="BD117" s="12">
        <f>IF('Données projet'!$A$88&gt;35,BD116+BC117-BL116,IF(A117&lt;'Données projet'!$A$88,$BA$205^A117,IF(A117='Données projet'!$A$88,'Données projet'!$B$88,BD116+BC117-BL116)))</f>
        <v>273.59999999999962</v>
      </c>
      <c r="BE117" s="13">
        <f>BD117*VLOOKUP('Données projet'!$B$11,Paramètres!$A$1:$I$89,3,0)*VLOOKUP('Données projet'!$B$11,Paramètres!$A$1:$I$89,5,0)</f>
        <v>277.43039999999968</v>
      </c>
      <c r="BF117" s="13">
        <f t="shared" si="91"/>
        <v>66.423687500715616</v>
      </c>
      <c r="BG117" s="20">
        <f t="shared" si="61"/>
        <v>598.87920239707921</v>
      </c>
      <c r="BH117" s="59">
        <f t="shared" si="62"/>
        <v>892.21253573041258</v>
      </c>
      <c r="BI117" s="59">
        <f ca="1">AVERAGE(OFFSET($BH$3,0,0,'Données projet'!$E$11+1,1))-AVERAGE(OFFSET($H$3,0,0,'Données projet'!$E$11+1,1))</f>
        <v>413.81510455446738</v>
      </c>
      <c r="BJ117" s="59">
        <f t="shared" si="92"/>
        <v>254.25036207346602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33.22226470256733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33.22226470256733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1.5</v>
      </c>
      <c r="BY117" s="12">
        <f>IF('Données projet'!$A$114&gt;35,BY116+BX117-CG116,IF(A117&lt;'Données projet'!$A$114,$BV$205^A117,IF(A117='Données projet'!$A$114,'Données projet'!$B$114,BY116+BX117-CG116)))</f>
        <v>211.99999999999994</v>
      </c>
      <c r="BZ117" s="13">
        <f>BY117*VLOOKUP('Données projet'!$B$12,Paramètres!$A$1:$I$89,3,0)*VLOOKUP('Données projet'!$B$12,Paramètres!$A$1:$I$89,5,0)</f>
        <v>201.73919999999995</v>
      </c>
      <c r="CA117" s="13">
        <f t="shared" si="93"/>
        <v>50.126198422100714</v>
      </c>
      <c r="CB117" s="20">
        <f t="shared" si="64"/>
        <v>438.665568918492</v>
      </c>
      <c r="CC117" s="59">
        <f t="shared" si="65"/>
        <v>731.99890225182526</v>
      </c>
      <c r="CD117" s="59">
        <f ca="1">AVERAGE(OFFSET($CC$3,0,0,'Données projet'!$E$12+1,1))-AVERAGE(OFFSET($H$3,0,0,'Données projet'!$E$12+1,1))</f>
        <v>292.61712942007972</v>
      </c>
      <c r="CE117" s="59">
        <f t="shared" si="94"/>
        <v>152.23954167722536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8.5619329676232745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8.5619329676232745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1.5</v>
      </c>
      <c r="CT117" s="12">
        <f>IF('Données projet'!$A$140&gt;35,CT116+CS117-DB116,IF(A117&lt;'Données projet'!$A$140,$CQ$205^A117,IF(A117='Données projet'!$A$140,'Données projet'!$B$140,CT116+CS117-DB116)))</f>
        <v>211.99999999999994</v>
      </c>
      <c r="CU117" s="17">
        <f>CT117*VLOOKUP('Données projet'!$B$13,Paramètres!$A$1:$I$89,3,0)*VLOOKUP('Données projet'!$B$13,Paramètres!$A$1:$I$89,5,0)</f>
        <v>205.04639999999995</v>
      </c>
      <c r="CV117" s="13">
        <f t="shared" si="95"/>
        <v>50.851600160721752</v>
      </c>
      <c r="CW117" s="20">
        <f t="shared" si="67"/>
        <v>445.68901694659024</v>
      </c>
      <c r="CX117" s="59">
        <f t="shared" si="68"/>
        <v>739.02235027992356</v>
      </c>
      <c r="CY117" s="59">
        <f ca="1">AVERAGE(OFFSET($CX$3,0,0,'Données projet'!$E$13+1,1))-AVERAGE(OFFSET($H$3,0,0,'Données projet'!$E$13+1,1))</f>
        <v>296.78766823247003</v>
      </c>
      <c r="CZ117" s="59">
        <f t="shared" si="96"/>
        <v>154.08406475869634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11.227413300066658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11.227413300066658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229.61973863654862</v>
      </c>
      <c r="T118" s="59">
        <f t="shared" si="88"/>
        <v>254.08208375594052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30.67862151523985</v>
      </c>
      <c r="AA118" s="21">
        <f>EXP(-LN(2)/25)*AA117+(1-EXP(-LN(2)/25))/(LN(2)/25)*Calculateur!V118*Calculateur!X118*VLOOKUP('Données projet'!$B$9,Paramètres!$A$1:$I$89,3,0)*0.475*44/12</f>
        <v>12.973024250689148</v>
      </c>
      <c r="AB118" s="21">
        <f>EXP(-LN(2)/2)*AB117+(1-EXP(-LN(2)/2))/(LN(2)/2)*V118*Y118*VLOOKUP('Données projet'!$B$9,Paramètres!$A$1:$I$89,3,0)*0.475*44/12</f>
        <v>2.898315377735412E-7</v>
      </c>
      <c r="AC118" s="22">
        <f t="shared" si="57"/>
        <v>43.651646055760537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2.2737367544323206E-13</v>
      </c>
      <c r="AJ118" s="13">
        <f>AI118*VLOOKUP('Données projet'!$B$10,Paramètres!$A$1:$I$89,3,0)*VLOOKUP('Données projet'!$B$10,Paramètres!$A$1:$I$89,5,0)</f>
        <v>1.3596945791505279E-13</v>
      </c>
      <c r="AK118" s="13">
        <f t="shared" si="89"/>
        <v>1.9708830566360721E-12</v>
      </c>
      <c r="AL118" s="20">
        <f t="shared" si="58"/>
        <v>3.669434796176543E-12</v>
      </c>
      <c r="AM118" s="59">
        <f t="shared" si="59"/>
        <v>293.33333333333701</v>
      </c>
      <c r="AN118" s="59">
        <f ca="1">AVERAGE(OFFSET($AM$3,0,0,'Données projet'!$E$10+1,1))-AVERAGE(OFFSET($H$3,0,0,'Données projet'!$E$10+1,1))</f>
        <v>348.76139845974495</v>
      </c>
      <c r="AO118" s="59">
        <f t="shared" si="90"/>
        <v>398.5142967182872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59.488384240274776</v>
      </c>
      <c r="AV118" s="21">
        <f>EXP(-LN(2)/25)*AV117+(1-EXP(-LN(2)/25))/(LN(2)/25)*Calculateur!AQ118*Calculateur!AS118*VLOOKUP('Données projet'!$B$10,Paramètres!$A$1:$I$89,3,0)*0.475*44/12</f>
        <v>12.371564794914054</v>
      </c>
      <c r="AW118" s="21">
        <f>EXP(-LN(2)/2)*AW117+(1-EXP(-LN(2)/2))/(LN(2)/2)*AQ118*AT118*VLOOKUP('Données projet'!$B$10,Paramètres!$A$1:$I$89,3,0)*0.475*44/12</f>
        <v>2.5088209564749566E-7</v>
      </c>
      <c r="AX118" s="21">
        <f t="shared" si="60"/>
        <v>71.859949286070929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1.9</v>
      </c>
      <c r="BD118" s="12">
        <f>IF('Données projet'!$A$88&gt;35,BD117+BC118-BL117,IF(A118&lt;'Données projet'!$A$88,$BA$205^A118,IF(A118='Données projet'!$A$88,'Données projet'!$B$88,BD117+BC118-BL117)))</f>
        <v>275.4999999999996</v>
      </c>
      <c r="BE118" s="13">
        <f>BD118*VLOOKUP('Données projet'!$B$11,Paramètres!$A$1:$I$89,3,0)*VLOOKUP('Données projet'!$B$11,Paramètres!$A$1:$I$89,5,0)</f>
        <v>279.35699999999963</v>
      </c>
      <c r="BF118" s="13">
        <f t="shared" si="91"/>
        <v>66.831106320267438</v>
      </c>
      <c r="BG118" s="20">
        <f t="shared" si="61"/>
        <v>602.94428517446511</v>
      </c>
      <c r="BH118" s="59">
        <f t="shared" si="62"/>
        <v>896.27761850779848</v>
      </c>
      <c r="BI118" s="59">
        <f ca="1">AVERAGE(OFFSET($BH$3,0,0,'Données projet'!$E$11+1,1))-AVERAGE(OFFSET($H$3,0,0,'Données projet'!$E$11+1,1))</f>
        <v>413.81510455446738</v>
      </c>
      <c r="BJ118" s="59">
        <f t="shared" si="92"/>
        <v>254.25036207346602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32.570796355330593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32.570796355330593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1.5</v>
      </c>
      <c r="BY118" s="12">
        <f>IF('Données projet'!$A$114&gt;35,BY117+BX118-CG117,IF(A118&lt;'Données projet'!$A$114,$BV$205^A118,IF(A118='Données projet'!$A$114,'Données projet'!$B$114,BY117+BX118-CG117)))</f>
        <v>213.49999999999994</v>
      </c>
      <c r="BZ118" s="13">
        <f>BY118*VLOOKUP('Données projet'!$B$12,Paramètres!$A$1:$I$89,3,0)*VLOOKUP('Données projet'!$B$12,Paramètres!$A$1:$I$89,5,0)</f>
        <v>203.16659999999993</v>
      </c>
      <c r="CA118" s="13">
        <f t="shared" si="93"/>
        <v>50.439453029608252</v>
      </c>
      <c r="CB118" s="20">
        <f t="shared" si="64"/>
        <v>441.69720902656758</v>
      </c>
      <c r="CC118" s="59">
        <f t="shared" si="65"/>
        <v>735.03054235990089</v>
      </c>
      <c r="CD118" s="59">
        <f ca="1">AVERAGE(OFFSET($CC$3,0,0,'Données projet'!$E$12+1,1))-AVERAGE(OFFSET($H$3,0,0,'Données projet'!$E$12+1,1))</f>
        <v>292.61712942007972</v>
      </c>
      <c r="CE118" s="59">
        <f t="shared" si="94"/>
        <v>152.23954167722536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8.3940386843916368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8.3940386843916368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1.5</v>
      </c>
      <c r="CT118" s="12">
        <f>IF('Données projet'!$A$140&gt;35,CT117+CS118-DB117,IF(A118&lt;'Données projet'!$A$140,$CQ$205^A118,IF(A118='Données projet'!$A$140,'Données projet'!$B$140,CT117+CS118-DB117)))</f>
        <v>213.49999999999994</v>
      </c>
      <c r="CU118" s="17">
        <f>CT118*VLOOKUP('Données projet'!$B$13,Paramètres!$A$1:$I$89,3,0)*VLOOKUP('Données projet'!$B$13,Paramètres!$A$1:$I$89,5,0)</f>
        <v>206.49719999999996</v>
      </c>
      <c r="CV118" s="13">
        <f t="shared" si="95"/>
        <v>51.169388035144998</v>
      </c>
      <c r="CW118" s="20">
        <f t="shared" si="67"/>
        <v>448.76930749454414</v>
      </c>
      <c r="CX118" s="59">
        <f t="shared" si="68"/>
        <v>742.10264082787739</v>
      </c>
      <c r="CY118" s="59">
        <f ca="1">AVERAGE(OFFSET($CX$3,0,0,'Données projet'!$E$13+1,1))-AVERAGE(OFFSET($H$3,0,0,'Données projet'!$E$13+1,1))</f>
        <v>296.78766823247003</v>
      </c>
      <c r="CZ118" s="59">
        <f t="shared" si="96"/>
        <v>154.08406475869634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11.007250573298275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11.007250573298275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229.61973863654862</v>
      </c>
      <c r="T119" s="59">
        <f t="shared" si="88"/>
        <v>254.08208375594052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30.077032459437454</v>
      </c>
      <c r="AA119" s="21">
        <f>EXP(-LN(2)/25)*AA118+(1-EXP(-LN(2)/25))/(LN(2)/25)*Calculateur!V119*Calculateur!X119*VLOOKUP('Données projet'!$B$9,Paramètres!$A$1:$I$89,3,0)*0.475*44/12</f>
        <v>12.618276220332358</v>
      </c>
      <c r="AB119" s="21">
        <f>EXP(-LN(2)/2)*AB118+(1-EXP(-LN(2)/2))/(LN(2)/2)*V119*Y119*VLOOKUP('Données projet'!$B$9,Paramètres!$A$1:$I$89,3,0)*0.475*44/12</f>
        <v>2.0494184576139599E-7</v>
      </c>
      <c r="AC119" s="22">
        <f t="shared" si="57"/>
        <v>42.695308884711658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2.2737367544323206E-13</v>
      </c>
      <c r="AJ119" s="13">
        <f>AI119*VLOOKUP('Données projet'!$B$10,Paramètres!$A$1:$I$89,3,0)*VLOOKUP('Données projet'!$B$10,Paramètres!$A$1:$I$89,5,0)</f>
        <v>1.3596945791505279E-13</v>
      </c>
      <c r="AK119" s="13">
        <f t="shared" si="89"/>
        <v>1.9708830566360721E-12</v>
      </c>
      <c r="AL119" s="20">
        <f t="shared" si="58"/>
        <v>3.669434796176543E-12</v>
      </c>
      <c r="AM119" s="59">
        <f t="shared" si="59"/>
        <v>293.33333333333701</v>
      </c>
      <c r="AN119" s="59">
        <f ca="1">AVERAGE(OFFSET($AM$3,0,0,'Données projet'!$E$10+1,1))-AVERAGE(OFFSET($H$3,0,0,'Données projet'!$E$10+1,1))</f>
        <v>348.76139845974495</v>
      </c>
      <c r="AO119" s="59">
        <f t="shared" si="90"/>
        <v>398.5142967182872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58.321853309654593</v>
      </c>
      <c r="AV119" s="21">
        <f>EXP(-LN(2)/25)*AV118+(1-EXP(-LN(2)/25))/(LN(2)/25)*Calculateur!AQ119*Calculateur!AS119*VLOOKUP('Données projet'!$B$10,Paramètres!$A$1:$I$89,3,0)*0.475*44/12</f>
        <v>12.033263705004812</v>
      </c>
      <c r="AW119" s="21">
        <f>EXP(-LN(2)/2)*AW118+(1-EXP(-LN(2)/2))/(LN(2)/2)*AQ119*AT119*VLOOKUP('Données projet'!$B$10,Paramètres!$A$1:$I$89,3,0)*0.475*44/12</f>
        <v>1.774004311106362E-7</v>
      </c>
      <c r="AX119" s="21">
        <f t="shared" si="60"/>
        <v>70.355117192059836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1.9</v>
      </c>
      <c r="BD119" s="12">
        <f>IF('Données projet'!$A$88&gt;35,BD118+BC119-BL118,IF(A119&lt;'Données projet'!$A$88,$BA$205^A119,IF(A119='Données projet'!$A$88,'Données projet'!$B$88,BD118+BC119-BL118)))</f>
        <v>277.39999999999958</v>
      </c>
      <c r="BE119" s="13">
        <f>BD119*VLOOKUP('Données projet'!$B$11,Paramètres!$A$1:$I$89,3,0)*VLOOKUP('Données projet'!$B$11,Paramètres!$A$1:$I$89,5,0)</f>
        <v>281.28359999999964</v>
      </c>
      <c r="BF119" s="13">
        <f t="shared" si="91"/>
        <v>67.238198209347814</v>
      </c>
      <c r="BG119" s="20">
        <f t="shared" si="61"/>
        <v>607.00879854794687</v>
      </c>
      <c r="BH119" s="59">
        <f t="shared" si="62"/>
        <v>900.34213188128024</v>
      </c>
      <c r="BI119" s="59">
        <f ca="1">AVERAGE(OFFSET($BH$3,0,0,'Données projet'!$E$11+1,1))-AVERAGE(OFFSET($H$3,0,0,'Données projet'!$E$11+1,1))</f>
        <v>413.81510455446738</v>
      </c>
      <c r="BJ119" s="59">
        <f t="shared" si="92"/>
        <v>254.25036207346602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31.93210290502671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31.93210290502671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1.5</v>
      </c>
      <c r="BY119" s="12">
        <f>IF('Données projet'!$A$114&gt;35,BY118+BX119-CG118,IF(A119&lt;'Données projet'!$A$114,$BV$205^A119,IF(A119='Données projet'!$A$114,'Données projet'!$B$114,BY118+BX119-CG118)))</f>
        <v>214.99999999999994</v>
      </c>
      <c r="BZ119" s="13">
        <f>BY119*VLOOKUP('Données projet'!$B$12,Paramètres!$A$1:$I$89,3,0)*VLOOKUP('Données projet'!$B$12,Paramètres!$A$1:$I$89,5,0)</f>
        <v>204.59399999999994</v>
      </c>
      <c r="CA119" s="13">
        <f t="shared" si="93"/>
        <v>50.752451560432448</v>
      </c>
      <c r="CB119" s="20">
        <f t="shared" si="64"/>
        <v>444.72840313441975</v>
      </c>
      <c r="CC119" s="59">
        <f t="shared" si="65"/>
        <v>738.06173646775301</v>
      </c>
      <c r="CD119" s="59">
        <f ca="1">AVERAGE(OFFSET($CC$3,0,0,'Données projet'!$E$12+1,1))-AVERAGE(OFFSET($H$3,0,0,'Données projet'!$E$12+1,1))</f>
        <v>292.61712942007972</v>
      </c>
      <c r="CE119" s="59">
        <f t="shared" si="94"/>
        <v>152.23954167722536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8.2294367056487712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8.2294367056487712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1.5</v>
      </c>
      <c r="CT119" s="12">
        <f>IF('Données projet'!$A$140&gt;35,CT118+CS119-DB118,IF(A119&lt;'Données projet'!$A$140,$CQ$205^A119,IF(A119='Données projet'!$A$140,'Données projet'!$B$140,CT118+CS119-DB118)))</f>
        <v>214.99999999999994</v>
      </c>
      <c r="CU119" s="17">
        <f>CT119*VLOOKUP('Données projet'!$B$13,Paramètres!$A$1:$I$89,3,0)*VLOOKUP('Données projet'!$B$13,Paramètres!$A$1:$I$89,5,0)</f>
        <v>207.94799999999992</v>
      </c>
      <c r="CV119" s="13">
        <f t="shared" si="95"/>
        <v>51.486916127068838</v>
      </c>
      <c r="CW119" s="20">
        <f t="shared" si="67"/>
        <v>451.849145587978</v>
      </c>
      <c r="CX119" s="59">
        <f t="shared" si="68"/>
        <v>745.18247892131126</v>
      </c>
      <c r="CY119" s="59">
        <f ca="1">AVERAGE(OFFSET($CX$3,0,0,'Données projet'!$E$13+1,1))-AVERAGE(OFFSET($H$3,0,0,'Données projet'!$E$13+1,1))</f>
        <v>296.78766823247003</v>
      </c>
      <c r="CZ119" s="59">
        <f t="shared" si="96"/>
        <v>154.08406475869634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10.791405103315817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10.791405103315817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229.61973863654862</v>
      </c>
      <c r="T120" s="59">
        <f t="shared" si="88"/>
        <v>254.08208375594052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29.487240198086251</v>
      </c>
      <c r="AA120" s="21">
        <f>EXP(-LN(2)/25)*AA119+(1-EXP(-LN(2)/25))/(LN(2)/25)*Calculateur!V120*Calculateur!X120*VLOOKUP('Données projet'!$B$9,Paramètres!$A$1:$I$89,3,0)*0.475*44/12</f>
        <v>12.273228793521064</v>
      </c>
      <c r="AB120" s="21">
        <f>EXP(-LN(2)/2)*AB119+(1-EXP(-LN(2)/2))/(LN(2)/2)*V120*Y120*VLOOKUP('Données projet'!$B$9,Paramètres!$A$1:$I$89,3,0)*0.475*44/12</f>
        <v>1.449157688867706E-7</v>
      </c>
      <c r="AC120" s="22">
        <f t="shared" si="57"/>
        <v>41.760469136523078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2.2737367544323206E-13</v>
      </c>
      <c r="AJ120" s="13">
        <f>AI120*VLOOKUP('Données projet'!$B$10,Paramètres!$A$1:$I$89,3,0)*VLOOKUP('Données projet'!$B$10,Paramètres!$A$1:$I$89,5,0)</f>
        <v>1.3596945791505279E-13</v>
      </c>
      <c r="AK120" s="13">
        <f t="shared" si="89"/>
        <v>1.9708830566360721E-12</v>
      </c>
      <c r="AL120" s="20">
        <f t="shared" si="58"/>
        <v>3.669434796176543E-12</v>
      </c>
      <c r="AM120" s="59">
        <f t="shared" si="59"/>
        <v>293.33333333333701</v>
      </c>
      <c r="AN120" s="59">
        <f ca="1">AVERAGE(OFFSET($AM$3,0,0,'Données projet'!$E$10+1,1))-AVERAGE(OFFSET($H$3,0,0,'Données projet'!$E$10+1,1))</f>
        <v>348.76139845974495</v>
      </c>
      <c r="AO120" s="59">
        <f t="shared" si="90"/>
        <v>398.5142967182872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57.178197339070259</v>
      </c>
      <c r="AV120" s="21">
        <f>EXP(-LN(2)/25)*AV119+(1-EXP(-LN(2)/25))/(LN(2)/25)*Calculateur!AQ120*Calculateur!AS120*VLOOKUP('Données projet'!$B$10,Paramètres!$A$1:$I$89,3,0)*0.475*44/12</f>
        <v>11.704213476189619</v>
      </c>
      <c r="AW120" s="21">
        <f>EXP(-LN(2)/2)*AW119+(1-EXP(-LN(2)/2))/(LN(2)/2)*AQ120*AT120*VLOOKUP('Données projet'!$B$10,Paramètres!$A$1:$I$89,3,0)*0.475*44/12</f>
        <v>1.2544104782374783E-7</v>
      </c>
      <c r="AX120" s="21">
        <f t="shared" si="60"/>
        <v>68.882410940700922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1.9</v>
      </c>
      <c r="BD120" s="12">
        <f>IF('Données projet'!$A$88&gt;35,BD119+BC120-BL119,IF(A120&lt;'Données projet'!$A$88,$BA$205^A120,IF(A120='Données projet'!$A$88,'Données projet'!$B$88,BD119+BC120-BL119)))</f>
        <v>279.29999999999956</v>
      </c>
      <c r="BE120" s="13">
        <f>BD120*VLOOKUP('Données projet'!$B$11,Paramètres!$A$1:$I$89,3,0)*VLOOKUP('Données projet'!$B$11,Paramètres!$A$1:$I$89,5,0)</f>
        <v>283.21019999999959</v>
      </c>
      <c r="BF120" s="13">
        <f t="shared" si="91"/>
        <v>67.644965666898216</v>
      </c>
      <c r="BG120" s="20">
        <f t="shared" si="61"/>
        <v>611.07274686984704</v>
      </c>
      <c r="BH120" s="59">
        <f t="shared" si="62"/>
        <v>904.40608020318041</v>
      </c>
      <c r="BI120" s="59">
        <f ca="1">AVERAGE(OFFSET($BH$3,0,0,'Données projet'!$E$11+1,1))-AVERAGE(OFFSET($H$3,0,0,'Données projet'!$E$11+1,1))</f>
        <v>413.81510455446738</v>
      </c>
      <c r="BJ120" s="59">
        <f t="shared" si="92"/>
        <v>254.25036207346602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31.305933843718748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31.305933843718748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1.5</v>
      </c>
      <c r="BY120" s="12">
        <f>IF('Données projet'!$A$114&gt;35,BY119+BX120-CG119,IF(A120&lt;'Données projet'!$A$114,$BV$205^A120,IF(A120='Données projet'!$A$114,'Données projet'!$B$114,BY119+BX120-CG119)))</f>
        <v>216.49999999999994</v>
      </c>
      <c r="BZ120" s="13">
        <f>BY120*VLOOKUP('Données projet'!$B$12,Paramètres!$A$1:$I$89,3,0)*VLOOKUP('Données projet'!$B$12,Paramètres!$A$1:$I$89,5,0)</f>
        <v>206.02139999999997</v>
      </c>
      <c r="CA120" s="13">
        <f t="shared" si="93"/>
        <v>51.065196008335704</v>
      </c>
      <c r="CB120" s="20">
        <f t="shared" si="64"/>
        <v>447.75915471451799</v>
      </c>
      <c r="CC120" s="59">
        <f t="shared" si="65"/>
        <v>741.09248804785125</v>
      </c>
      <c r="CD120" s="59">
        <f ca="1">AVERAGE(OFFSET($CC$3,0,0,'Données projet'!$E$12+1,1))-AVERAGE(OFFSET($H$3,0,0,'Données projet'!$E$12+1,1))</f>
        <v>292.61712942007972</v>
      </c>
      <c r="CE120" s="59">
        <f t="shared" si="94"/>
        <v>152.23954167722536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8.0680624713117588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8.0680624713117588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1.5</v>
      </c>
      <c r="CT120" s="12">
        <f>IF('Données projet'!$A$140&gt;35,CT119+CS120-DB119,IF(A120&lt;'Données projet'!$A$140,$CQ$205^A120,IF(A120='Données projet'!$A$140,'Données projet'!$B$140,CT119+CS120-DB119)))</f>
        <v>216.49999999999994</v>
      </c>
      <c r="CU120" s="17">
        <f>CT120*VLOOKUP('Données projet'!$B$13,Paramètres!$A$1:$I$89,3,0)*VLOOKUP('Données projet'!$B$13,Paramètres!$A$1:$I$89,5,0)</f>
        <v>209.39879999999994</v>
      </c>
      <c r="CV120" s="13">
        <f t="shared" si="95"/>
        <v>51.804186459108429</v>
      </c>
      <c r="CW120" s="20">
        <f t="shared" si="67"/>
        <v>454.92853474961379</v>
      </c>
      <c r="CX120" s="59">
        <f t="shared" si="68"/>
        <v>748.2618680829471</v>
      </c>
      <c r="CY120" s="59">
        <f ca="1">AVERAGE(OFFSET($CX$3,0,0,'Données projet'!$E$13+1,1))-AVERAGE(OFFSET($H$3,0,0,'Données projet'!$E$13+1,1))</f>
        <v>296.78766823247003</v>
      </c>
      <c r="CZ120" s="59">
        <f t="shared" si="96"/>
        <v>154.08406475869634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10.579792231346978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10.579792231346978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229.61973863654862</v>
      </c>
      <c r="T121" s="59">
        <f t="shared" si="88"/>
        <v>254.08208375594052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28.909013403242387</v>
      </c>
      <c r="AA121" s="21">
        <f>EXP(-LN(2)/25)*AA120+(1-EXP(-LN(2)/25))/(LN(2)/25)*Calculateur!V121*Calculateur!X121*VLOOKUP('Données projet'!$B$9,Paramètres!$A$1:$I$89,3,0)*0.475*44/12</f>
        <v>11.937616706741178</v>
      </c>
      <c r="AB121" s="21">
        <f>EXP(-LN(2)/2)*AB120+(1-EXP(-LN(2)/2))/(LN(2)/2)*V121*Y121*VLOOKUP('Données projet'!$B$9,Paramètres!$A$1:$I$89,3,0)*0.475*44/12</f>
        <v>1.0247092288069799E-7</v>
      </c>
      <c r="AC121" s="22">
        <f t="shared" si="57"/>
        <v>40.846630212454485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2.2737367544323206E-13</v>
      </c>
      <c r="AJ121" s="13">
        <f>AI121*VLOOKUP('Données projet'!$B$10,Paramètres!$A$1:$I$89,3,0)*VLOOKUP('Données projet'!$B$10,Paramètres!$A$1:$I$89,5,0)</f>
        <v>1.3596945791505279E-13</v>
      </c>
      <c r="AK121" s="13">
        <f t="shared" si="89"/>
        <v>1.9708830566360721E-12</v>
      </c>
      <c r="AL121" s="20">
        <f t="shared" si="58"/>
        <v>3.669434796176543E-12</v>
      </c>
      <c r="AM121" s="59">
        <f t="shared" si="59"/>
        <v>293.33333333333701</v>
      </c>
      <c r="AN121" s="59">
        <f ca="1">AVERAGE(OFFSET($AM$3,0,0,'Données projet'!$E$10+1,1))-AVERAGE(OFFSET($H$3,0,0,'Données projet'!$E$10+1,1))</f>
        <v>348.76139845974495</v>
      </c>
      <c r="AO121" s="59">
        <f t="shared" si="90"/>
        <v>398.5142967182872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56.056967764507824</v>
      </c>
      <c r="AV121" s="21">
        <f>EXP(-LN(2)/25)*AV120+(1-EXP(-LN(2)/25))/(LN(2)/25)*Calculateur!AQ121*Calculateur!AS121*VLOOKUP('Données projet'!$B$10,Paramètres!$A$1:$I$89,3,0)*0.475*44/12</f>
        <v>11.384161143185377</v>
      </c>
      <c r="AW121" s="21">
        <f>EXP(-LN(2)/2)*AW120+(1-EXP(-LN(2)/2))/(LN(2)/2)*AQ121*AT121*VLOOKUP('Données projet'!$B$10,Paramètres!$A$1:$I$89,3,0)*0.475*44/12</f>
        <v>8.8700215555318102E-8</v>
      </c>
      <c r="AX121" s="21">
        <f t="shared" si="60"/>
        <v>67.441128996393417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1.9</v>
      </c>
      <c r="BD121" s="12">
        <f>IF('Données projet'!$A$88&gt;35,BD120+BC121-BL120,IF(A121&lt;'Données projet'!$A$88,$BA$205^A121,IF(A121='Données projet'!$A$88,'Données projet'!$B$88,BD120+BC121-BL120)))</f>
        <v>281.19999999999953</v>
      </c>
      <c r="BE121" s="13">
        <f>BD121*VLOOKUP('Données projet'!$B$11,Paramètres!$A$1:$I$89,3,0)*VLOOKUP('Données projet'!$B$11,Paramètres!$A$1:$I$89,5,0)</f>
        <v>285.1367999999996</v>
      </c>
      <c r="BF121" s="13">
        <f t="shared" si="91"/>
        <v>68.051411155895579</v>
      </c>
      <c r="BG121" s="20">
        <f t="shared" si="61"/>
        <v>615.1361344298507</v>
      </c>
      <c r="BH121" s="59">
        <f t="shared" si="62"/>
        <v>908.46946776318396</v>
      </c>
      <c r="BI121" s="59">
        <f ca="1">AVERAGE(OFFSET($BH$3,0,0,'Données projet'!$E$11+1,1))-AVERAGE(OFFSET($H$3,0,0,'Données projet'!$E$11+1,1))</f>
        <v>413.81510455446738</v>
      </c>
      <c r="BJ121" s="59">
        <f t="shared" si="92"/>
        <v>254.25036207346602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30.692043575777621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30.692043575777621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1.5</v>
      </c>
      <c r="BY121" s="12">
        <f>IF('Données projet'!$A$114&gt;35,BY120+BX121-CG120,IF(A121&lt;'Données projet'!$A$114,$BV$205^A121,IF(A121='Données projet'!$A$114,'Données projet'!$B$114,BY120+BX121-CG120)))</f>
        <v>217.99999999999994</v>
      </c>
      <c r="BZ121" s="13">
        <f>BY121*VLOOKUP('Données projet'!$B$12,Paramètres!$A$1:$I$89,3,0)*VLOOKUP('Données projet'!$B$12,Paramètres!$A$1:$I$89,5,0)</f>
        <v>207.44879999999995</v>
      </c>
      <c r="CA121" s="13">
        <f t="shared" si="93"/>
        <v>51.377688337856355</v>
      </c>
      <c r="CB121" s="20">
        <f t="shared" si="64"/>
        <v>450.78946718843304</v>
      </c>
      <c r="CC121" s="59">
        <f t="shared" si="65"/>
        <v>744.12280052176629</v>
      </c>
      <c r="CD121" s="59">
        <f ca="1">AVERAGE(OFFSET($CC$3,0,0,'Données projet'!$E$12+1,1))-AVERAGE(OFFSET($H$3,0,0,'Données projet'!$E$12+1,1))</f>
        <v>292.61712942007972</v>
      </c>
      <c r="CE121" s="59">
        <f t="shared" si="94"/>
        <v>152.23954167722536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7.9098526872815311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7.9098526872815311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1.5</v>
      </c>
      <c r="CT121" s="12">
        <f>IF('Données projet'!$A$140&gt;35,CT120+CS121-DB120,IF(A121&lt;'Données projet'!$A$140,$CQ$205^A121,IF(A121='Données projet'!$A$140,'Données projet'!$B$140,CT120+CS121-DB120)))</f>
        <v>217.99999999999994</v>
      </c>
      <c r="CU121" s="17">
        <f>CT121*VLOOKUP('Données projet'!$B$13,Paramètres!$A$1:$I$89,3,0)*VLOOKUP('Données projet'!$B$13,Paramètres!$A$1:$I$89,5,0)</f>
        <v>210.84959999999995</v>
      </c>
      <c r="CV121" s="13">
        <f t="shared" si="95"/>
        <v>52.121201024231922</v>
      </c>
      <c r="CW121" s="20">
        <f t="shared" si="67"/>
        <v>458.00747845053723</v>
      </c>
      <c r="CX121" s="59">
        <f t="shared" si="68"/>
        <v>751.34081178387055</v>
      </c>
      <c r="CY121" s="59">
        <f ca="1">AVERAGE(OFFSET($CX$3,0,0,'Données projet'!$E$13+1,1))-AVERAGE(OFFSET($H$3,0,0,'Données projet'!$E$13+1,1))</f>
        <v>296.78766823247003</v>
      </c>
      <c r="CZ121" s="59">
        <f t="shared" si="96"/>
        <v>154.08406475869634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10.372328958726341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10.372328958726341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229.61973863654862</v>
      </c>
      <c r="T122" s="59">
        <f t="shared" si="88"/>
        <v>254.08208375594052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28.342125283161888</v>
      </c>
      <c r="AA122" s="21">
        <f>EXP(-LN(2)/25)*AA121+(1-EXP(-LN(2)/25))/(LN(2)/25)*Calculateur!V122*Calculateur!X122*VLOOKUP('Données projet'!$B$9,Paramètres!$A$1:$I$89,3,0)*0.475*44/12</f>
        <v>11.611181950123362</v>
      </c>
      <c r="AB122" s="21">
        <f>EXP(-LN(2)/2)*AB121+(1-EXP(-LN(2)/2))/(LN(2)/2)*V122*Y122*VLOOKUP('Données projet'!$B$9,Paramètres!$A$1:$I$89,3,0)*0.475*44/12</f>
        <v>7.2457884443385301E-8</v>
      </c>
      <c r="AC122" s="22">
        <f t="shared" si="57"/>
        <v>39.953307305743138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2.2737367544323206E-13</v>
      </c>
      <c r="AJ122" s="13">
        <f>AI122*VLOOKUP('Données projet'!$B$10,Paramètres!$A$1:$I$89,3,0)*VLOOKUP('Données projet'!$B$10,Paramètres!$A$1:$I$89,5,0)</f>
        <v>1.3596945791505279E-13</v>
      </c>
      <c r="AK122" s="13">
        <f t="shared" si="89"/>
        <v>1.9708830566360721E-12</v>
      </c>
      <c r="AL122" s="20">
        <f t="shared" si="58"/>
        <v>3.669434796176543E-12</v>
      </c>
      <c r="AM122" s="59">
        <f t="shared" si="59"/>
        <v>293.33333333333701</v>
      </c>
      <c r="AN122" s="59">
        <f ca="1">AVERAGE(OFFSET($AM$3,0,0,'Données projet'!$E$10+1,1))-AVERAGE(OFFSET($H$3,0,0,'Données projet'!$E$10+1,1))</f>
        <v>348.76139845974495</v>
      </c>
      <c r="AO122" s="59">
        <f t="shared" si="90"/>
        <v>398.5142967182872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54.957724818020047</v>
      </c>
      <c r="AV122" s="21">
        <f>EXP(-LN(2)/25)*AV121+(1-EXP(-LN(2)/25))/(LN(2)/25)*Calculateur!AQ122*Calculateur!AS122*VLOOKUP('Données projet'!$B$10,Paramètres!$A$1:$I$89,3,0)*0.475*44/12</f>
        <v>11.072860658057957</v>
      </c>
      <c r="AW122" s="21">
        <f>EXP(-LN(2)/2)*AW121+(1-EXP(-LN(2)/2))/(LN(2)/2)*AQ122*AT122*VLOOKUP('Données projet'!$B$10,Paramètres!$A$1:$I$89,3,0)*0.475*44/12</f>
        <v>6.2720523911873915E-8</v>
      </c>
      <c r="AX122" s="21">
        <f t="shared" si="60"/>
        <v>66.030585538798533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1.9</v>
      </c>
      <c r="BD122" s="12">
        <f>IF('Données projet'!$A$88&gt;35,BD121+BC122-BL121,IF(A122&lt;'Données projet'!$A$88,$BA$205^A122,IF(A122='Données projet'!$A$88,'Données projet'!$B$88,BD121+BC122-BL121)))</f>
        <v>283.09999999999951</v>
      </c>
      <c r="BE122" s="13">
        <f>BD122*VLOOKUP('Données projet'!$B$11,Paramètres!$A$1:$I$89,3,0)*VLOOKUP('Données projet'!$B$11,Paramètres!$A$1:$I$89,5,0)</f>
        <v>287.06339999999955</v>
      </c>
      <c r="BF122" s="13">
        <f t="shared" si="91"/>
        <v>68.457537104109036</v>
      </c>
      <c r="BG122" s="20">
        <f t="shared" si="61"/>
        <v>619.19896545632253</v>
      </c>
      <c r="BH122" s="59">
        <f t="shared" si="62"/>
        <v>912.5322987896559</v>
      </c>
      <c r="BI122" s="59">
        <f ca="1">AVERAGE(OFFSET($BH$3,0,0,'Données projet'!$E$11+1,1))-AVERAGE(OFFSET($H$3,0,0,'Données projet'!$E$11+1,1))</f>
        <v>413.81510455446738</v>
      </c>
      <c r="BJ122" s="59">
        <f t="shared" si="92"/>
        <v>254.25036207346602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30.090191321554727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30.090191321554727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1.5</v>
      </c>
      <c r="BY122" s="12">
        <f>IF('Données projet'!$A$114&gt;35,BY121+BX122-CG121,IF(A122&lt;'Données projet'!$A$114,$BV$205^A122,IF(A122='Données projet'!$A$114,'Données projet'!$B$114,BY121+BX122-CG121)))</f>
        <v>219.49999999999994</v>
      </c>
      <c r="BZ122" s="13">
        <f>BY122*VLOOKUP('Données projet'!$B$12,Paramètres!$A$1:$I$89,3,0)*VLOOKUP('Données projet'!$B$12,Paramètres!$A$1:$I$89,5,0)</f>
        <v>208.87619999999993</v>
      </c>
      <c r="CA122" s="13">
        <f t="shared" si="93"/>
        <v>51.689930484935239</v>
      </c>
      <c r="CB122" s="20">
        <f t="shared" si="64"/>
        <v>453.81934392792874</v>
      </c>
      <c r="CC122" s="59">
        <f t="shared" si="65"/>
        <v>747.15267726126206</v>
      </c>
      <c r="CD122" s="59">
        <f ca="1">AVERAGE(OFFSET($CC$3,0,0,'Données projet'!$E$12+1,1))-AVERAGE(OFFSET($H$3,0,0,'Données projet'!$E$12+1,1))</f>
        <v>292.61712942007972</v>
      </c>
      <c r="CE122" s="59">
        <f t="shared" si="94"/>
        <v>152.23954167722536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7.7547453006176967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7.7547453006176967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1.5</v>
      </c>
      <c r="CT122" s="12">
        <f>IF('Données projet'!$A$140&gt;35,CT121+CS122-DB121,IF(A122&lt;'Données projet'!$A$140,$CQ$205^A122,IF(A122='Données projet'!$A$140,'Données projet'!$B$140,CT121+CS122-DB121)))</f>
        <v>219.49999999999994</v>
      </c>
      <c r="CU122" s="17">
        <f>CT122*VLOOKUP('Données projet'!$B$13,Paramètres!$A$1:$I$89,3,0)*VLOOKUP('Données projet'!$B$13,Paramètres!$A$1:$I$89,5,0)</f>
        <v>212.30039999999997</v>
      </c>
      <c r="CV122" s="13">
        <f t="shared" si="95"/>
        <v>52.437961786396215</v>
      </c>
      <c r="CW122" s="20">
        <f t="shared" si="67"/>
        <v>461.0859801113067</v>
      </c>
      <c r="CX122" s="59">
        <f t="shared" si="68"/>
        <v>754.41931344464001</v>
      </c>
      <c r="CY122" s="59">
        <f ca="1">AVERAGE(OFFSET($CX$3,0,0,'Données projet'!$E$13+1,1))-AVERAGE(OFFSET($H$3,0,0,'Données projet'!$E$13+1,1))</f>
        <v>296.78766823247003</v>
      </c>
      <c r="CZ122" s="59">
        <f t="shared" si="96"/>
        <v>154.08406475869634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10.168933914341693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10.168933914341693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229.61973863654862</v>
      </c>
      <c r="T123" s="59">
        <f t="shared" si="88"/>
        <v>254.08208375594052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27.786353493348557</v>
      </c>
      <c r="AA123" s="21">
        <f>EXP(-LN(2)/25)*AA122+(1-EXP(-LN(2)/25))/(LN(2)/25)*Calculateur!V123*Calculateur!X123*VLOOKUP('Données projet'!$B$9,Paramètres!$A$1:$I$89,3,0)*0.475*44/12</f>
        <v>11.293673569091718</v>
      </c>
      <c r="AB123" s="21">
        <f>EXP(-LN(2)/2)*AB122+(1-EXP(-LN(2)/2))/(LN(2)/2)*V123*Y123*VLOOKUP('Données projet'!$B$9,Paramètres!$A$1:$I$89,3,0)*0.475*44/12</f>
        <v>5.1235461440348997E-8</v>
      </c>
      <c r="AC123" s="22">
        <f t="shared" si="57"/>
        <v>39.080027113675733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2.2737367544323206E-13</v>
      </c>
      <c r="AJ123" s="13">
        <f>AI123*VLOOKUP('Données projet'!$B$10,Paramètres!$A$1:$I$89,3,0)*VLOOKUP('Données projet'!$B$10,Paramètres!$A$1:$I$89,5,0)</f>
        <v>1.3596945791505279E-13</v>
      </c>
      <c r="AK123" s="13">
        <f t="shared" si="89"/>
        <v>1.9708830566360721E-12</v>
      </c>
      <c r="AL123" s="20">
        <f t="shared" si="58"/>
        <v>3.669434796176543E-12</v>
      </c>
      <c r="AM123" s="59">
        <f t="shared" si="59"/>
        <v>293.33333333333701</v>
      </c>
      <c r="AN123" s="59">
        <f ca="1">AVERAGE(OFFSET($AM$3,0,0,'Données projet'!$E$10+1,1))-AVERAGE(OFFSET($H$3,0,0,'Données projet'!$E$10+1,1))</f>
        <v>348.76139845974495</v>
      </c>
      <c r="AO123" s="59">
        <f t="shared" si="90"/>
        <v>398.5142967182872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53.880037355240901</v>
      </c>
      <c r="AV123" s="21">
        <f>EXP(-LN(2)/25)*AV122+(1-EXP(-LN(2)/25))/(LN(2)/25)*Calculateur!AQ123*Calculateur!AS123*VLOOKUP('Données projet'!$B$10,Paramètres!$A$1:$I$89,3,0)*0.475*44/12</f>
        <v>10.770072701066928</v>
      </c>
      <c r="AW123" s="21">
        <f>EXP(-LN(2)/2)*AW122+(1-EXP(-LN(2)/2))/(LN(2)/2)*AQ123*AT123*VLOOKUP('Données projet'!$B$10,Paramètres!$A$1:$I$89,3,0)*0.475*44/12</f>
        <v>4.4350107777659051E-8</v>
      </c>
      <c r="AX123" s="21">
        <f t="shared" si="60"/>
        <v>64.650110100657926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285</v>
      </c>
      <c r="BB123" s="12">
        <f>VLOOKUP(A123,'Données projet'!$A$87:$I$107,9,0)</f>
        <v>1.9</v>
      </c>
      <c r="BC123" s="12">
        <f t="array" ref="BC123">INDEX(BB:BB,MIN(IF(ISNUMBER(BB123:BB319),ROW(BB123:BB319),"")))</f>
        <v>1.9</v>
      </c>
      <c r="BD123" s="12">
        <f>IF('Données projet'!$A$88&gt;35,BD122+BC123-BL122,IF(A123&lt;'Données projet'!$A$88,$BA$205^A123,IF(A123='Données projet'!$A$88,'Données projet'!$B$88,BD122+BC123-BL122)))</f>
        <v>284.99999999999949</v>
      </c>
      <c r="BE123" s="13">
        <f>BD123*VLOOKUP('Données projet'!$B$11,Paramètres!$A$1:$I$89,3,0)*VLOOKUP('Données projet'!$B$11,Paramètres!$A$1:$I$89,5,0)</f>
        <v>288.9899999999995</v>
      </c>
      <c r="BF123" s="13">
        <f t="shared" si="91"/>
        <v>68.86334590483672</v>
      </c>
      <c r="BG123" s="20">
        <f t="shared" si="61"/>
        <v>623.26124411758963</v>
      </c>
      <c r="BH123" s="59">
        <f t="shared" si="62"/>
        <v>916.594577450923</v>
      </c>
      <c r="BI123" s="59">
        <f ca="1">AVERAGE(OFFSET($BH$3,0,0,'Données projet'!$E$11+1,1))-AVERAGE(OFFSET($H$3,0,0,'Données projet'!$E$11+1,1))</f>
        <v>413.81510455446738</v>
      </c>
      <c r="BJ123" s="59">
        <f t="shared" si="92"/>
        <v>254.25036207346602</v>
      </c>
      <c r="BK123" s="15">
        <f>IF(ISNA(VLOOKUP(A123,'Données projet'!$A$87:$I$107,3,0)),0,VLOOKUP(A123,'Données projet'!$A$87:$I$107,3,0))</f>
        <v>18</v>
      </c>
      <c r="BL123" s="15">
        <f>IF(ISNA(VLOOKUP(A123,'Données projet'!$A$87:$I$107,4,0)),0,VLOOKUP(A123,'Données projet'!$A$87:$I$107,4,0))</f>
        <v>285</v>
      </c>
      <c r="BM123" s="16">
        <f>IF(ISNA(VLOOKUP(A123,'Données projet'!$A$87:$I$107,5,0)),0%,VLOOKUP(A123,'Données projet'!$A$87:$I$107,5,0)*VLOOKUP('Données projet'!$B$11,Paramètres!$A$1:$I$89,7,0))</f>
        <v>0.34400000000000003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139.39778145648569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139.39778145648569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221</v>
      </c>
      <c r="BW123" s="12">
        <f>VLOOKUP(A123,'Données projet'!$A$113:$I$133,9,0)</f>
        <v>1.5</v>
      </c>
      <c r="BX123" s="12">
        <f t="array" ref="BX123">INDEX(BW:BW,MIN(IF(ISNUMBER(BW123:BW319),ROW(BW123:BW319),"")))</f>
        <v>1.5</v>
      </c>
      <c r="BY123" s="12">
        <f>IF('Données projet'!$A$114&gt;35,BY122+BX123-CG122,IF(A123&lt;'Données projet'!$A$114,$BV$205^A123,IF(A123='Données projet'!$A$114,'Données projet'!$B$114,BY122+BX123-CG122)))</f>
        <v>220.99999999999994</v>
      </c>
      <c r="BZ123" s="13">
        <f>BY123*VLOOKUP('Données projet'!$B$12,Paramètres!$A$1:$I$89,3,0)*VLOOKUP('Données projet'!$B$12,Paramètres!$A$1:$I$89,5,0)</f>
        <v>210.30359999999996</v>
      </c>
      <c r="CA123" s="13">
        <f t="shared" si="93"/>
        <v>52.001924357524459</v>
      </c>
      <c r="CB123" s="20">
        <f t="shared" si="64"/>
        <v>456.84878825602163</v>
      </c>
      <c r="CC123" s="59">
        <f t="shared" si="65"/>
        <v>750.18212158935489</v>
      </c>
      <c r="CD123" s="59">
        <f ca="1">AVERAGE(OFFSET($CC$3,0,0,'Données projet'!$E$12+1,1))-AVERAGE(OFFSET($H$3,0,0,'Données projet'!$E$12+1,1))</f>
        <v>292.61712942007972</v>
      </c>
      <c r="CE123" s="59">
        <f t="shared" si="94"/>
        <v>152.23954167722536</v>
      </c>
      <c r="CF123" s="15">
        <f>IF(ISNA(VLOOKUP(A123,'Données projet'!$A$113:$I$133,3,0)),0,VLOOKUP(A123,'Données projet'!$A$113:$I$133,3,0))</f>
        <v>20</v>
      </c>
      <c r="CG123" s="15">
        <f>IF(ISNA(VLOOKUP(A123,'Données projet'!$A$113:$I$133,4,0)),0,VLOOKUP(A123,'Données projet'!$A$113:$I$133,4,0))</f>
        <v>221</v>
      </c>
      <c r="CH123" s="16">
        <f>IF(ISNA(VLOOKUP(A123,'Données projet'!$A$113:$I$133,5,0)),0%,VLOOKUP(A123,'Données projet'!$A$113:$I$133,5,0)*VLOOKUP('Données projet'!$B$12,Paramètres!$A$1:$I$89,7,0))</f>
        <v>0.215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57.586825584666506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57.586825584666506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221</v>
      </c>
      <c r="CR123" s="12">
        <f>VLOOKUP(A123,'Données projet'!$A$139:$I$159,9,0)</f>
        <v>1.5</v>
      </c>
      <c r="CS123" s="12">
        <f t="array" ref="CS123">INDEX(CR:CR,MIN(IF(ISNUMBER(CR123:CR319),ROW(CR123:CR319),"")))</f>
        <v>1.5</v>
      </c>
      <c r="CT123" s="12">
        <f>IF('Données projet'!$A$140&gt;35,CT122+CS123-DB122,IF(A123&lt;'Données projet'!$A$140,$CQ$205^A123,IF(A123='Données projet'!$A$140,'Données projet'!$B$140,CT122+CS123-DB122)))</f>
        <v>220.99999999999994</v>
      </c>
      <c r="CU123" s="17">
        <f>CT123*VLOOKUP('Données projet'!$B$13,Paramètres!$A$1:$I$89,3,0)*VLOOKUP('Données projet'!$B$13,Paramètres!$A$1:$I$89,5,0)</f>
        <v>213.75119999999993</v>
      </c>
      <c r="CV123" s="13">
        <f t="shared" si="95"/>
        <v>52.7544706811642</v>
      </c>
      <c r="CW123" s="20">
        <f t="shared" si="67"/>
        <v>464.1640431030275</v>
      </c>
      <c r="CX123" s="59">
        <f t="shared" si="68"/>
        <v>757.49737643636081</v>
      </c>
      <c r="CY123" s="59">
        <f ca="1">AVERAGE(OFFSET($CX$3,0,0,'Données projet'!$E$13+1,1))-AVERAGE(OFFSET($H$3,0,0,'Données projet'!$E$13+1,1))</f>
        <v>296.78766823247003</v>
      </c>
      <c r="CZ123" s="59">
        <f t="shared" si="96"/>
        <v>154.08406475869634</v>
      </c>
      <c r="DA123" s="15">
        <f>IF(ISNA(VLOOKUP(A123,'Données projet'!$A$139:$I$159,3,0)),0,VLOOKUP(A123,'Données projet'!$A$139:$I$159,3,0))</f>
        <v>20</v>
      </c>
      <c r="DB123" s="15">
        <f>IF(ISNA(VLOOKUP(A123,'Données projet'!$A$139:$I$159,4,0)),0,VLOOKUP(A123,'Données projet'!$A$139:$I$159,4,0))</f>
        <v>221</v>
      </c>
      <c r="DC123" s="16">
        <f>IF(ISNA(VLOOKUP(A123,'Données projet'!$A$139:$I$159,5,0)),0%,VLOOKUP(A123,'Données projet'!$A$139:$I$159,5,0)*VLOOKUP('Données projet'!$B$13,Paramètres!$A$1:$I$89,7,0))</f>
        <v>0.34400000000000003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91.255220667949217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91.255220667949217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229.61973863654862</v>
      </c>
      <c r="T124" s="59">
        <f t="shared" si="88"/>
        <v>254.08208375594052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27.241480049346148</v>
      </c>
      <c r="AA124" s="21">
        <f>EXP(-LN(2)/25)*AA123+(1-EXP(-LN(2)/25))/(LN(2)/25)*Calculateur!V124*Calculateur!X124*VLOOKUP('Données projet'!$B$9,Paramètres!$A$1:$I$89,3,0)*0.475*44/12</f>
        <v>10.984847471436424</v>
      </c>
      <c r="AB124" s="21">
        <f>EXP(-LN(2)/2)*AB123+(1-EXP(-LN(2)/2))/(LN(2)/2)*V124*Y124*VLOOKUP('Données projet'!$B$9,Paramètres!$A$1:$I$89,3,0)*0.475*44/12</f>
        <v>3.6228942221692651E-8</v>
      </c>
      <c r="AC124" s="22">
        <f t="shared" si="57"/>
        <v>38.226327557011516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2.2737367544323206E-13</v>
      </c>
      <c r="AJ124" s="13">
        <f>AI124*VLOOKUP('Données projet'!$B$10,Paramètres!$A$1:$I$89,3,0)*VLOOKUP('Données projet'!$B$10,Paramètres!$A$1:$I$89,5,0)</f>
        <v>1.3596945791505279E-13</v>
      </c>
      <c r="AK124" s="13">
        <f t="shared" si="89"/>
        <v>1.9708830566360721E-12</v>
      </c>
      <c r="AL124" s="20">
        <f t="shared" si="58"/>
        <v>3.669434796176543E-12</v>
      </c>
      <c r="AM124" s="59">
        <f t="shared" si="59"/>
        <v>293.33333333333701</v>
      </c>
      <c r="AN124" s="59">
        <f ca="1">AVERAGE(OFFSET($AM$3,0,0,'Données projet'!$E$10+1,1))-AVERAGE(OFFSET($H$3,0,0,'Données projet'!$E$10+1,1))</f>
        <v>348.76139845974495</v>
      </c>
      <c r="AO124" s="59">
        <f t="shared" si="90"/>
        <v>398.5142967182872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52.823482686282404</v>
      </c>
      <c r="AV124" s="21">
        <f>EXP(-LN(2)/25)*AV123+(1-EXP(-LN(2)/25))/(LN(2)/25)*Calculateur!AQ124*Calculateur!AS124*VLOOKUP('Données projet'!$B$10,Paramètres!$A$1:$I$89,3,0)*0.475*44/12</f>
        <v>10.475564496682745</v>
      </c>
      <c r="AW124" s="21">
        <f>EXP(-LN(2)/2)*AW123+(1-EXP(-LN(2)/2))/(LN(2)/2)*AQ124*AT124*VLOOKUP('Données projet'!$B$10,Paramètres!$A$1:$I$89,3,0)*0.475*44/12</f>
        <v>3.1360261955936957E-8</v>
      </c>
      <c r="AX124" s="21">
        <f t="shared" si="60"/>
        <v>63.299047214325412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-5.1159076974727213E-13</v>
      </c>
      <c r="BE124" s="13">
        <f>BD124*VLOOKUP('Données projet'!$B$11,Paramètres!$A$1:$I$89,3,0)*VLOOKUP('Données projet'!$B$11,Paramètres!$A$1:$I$89,5,0)</f>
        <v>-5.1875304052373401E-13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413.81510455446738</v>
      </c>
      <c r="BJ124" s="59">
        <f t="shared" si="92"/>
        <v>254.25036207346602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136.66427598637526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136.66427598637526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-5.6843418860808015E-14</v>
      </c>
      <c r="BZ124" s="13">
        <f>BY124*VLOOKUP('Données projet'!$B$12,Paramètres!$A$1:$I$89,3,0)*VLOOKUP('Données projet'!$B$12,Paramètres!$A$1:$I$89,5,0)</f>
        <v>-5.4092197387944907E-14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292.61712942007972</v>
      </c>
      <c r="CE124" s="59">
        <f t="shared" si="94"/>
        <v>152.23954167722536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56.457583059446549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56.457583059446549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-5.6843418860808015E-14</v>
      </c>
      <c r="CU124" s="17">
        <f>CT124*VLOOKUP('Données projet'!$B$13,Paramètres!$A$1:$I$89,3,0)*VLOOKUP('Données projet'!$B$13,Paramètres!$A$1:$I$89,5,0)</f>
        <v>-5.4978954722173515E-14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296.78766823247003</v>
      </c>
      <c r="CZ124" s="59">
        <f t="shared" si="96"/>
        <v>154.08406475869634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89.465761450839352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89.465761450839352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229.61973863654862</v>
      </c>
      <c r="T125" s="59">
        <f t="shared" si="88"/>
        <v>254.08208375594052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26.70729124124064</v>
      </c>
      <c r="AA125" s="21">
        <f>EXP(-LN(2)/25)*AA124+(1-EXP(-LN(2)/25))/(LN(2)/25)*Calculateur!V125*Calculateur!X125*VLOOKUP('Données projet'!$B$9,Paramètres!$A$1:$I$89,3,0)*0.475*44/12</f>
        <v>10.684466239661973</v>
      </c>
      <c r="AB125" s="21">
        <f>EXP(-LN(2)/2)*AB124+(1-EXP(-LN(2)/2))/(LN(2)/2)*V125*Y125*VLOOKUP('Données projet'!$B$9,Paramètres!$A$1:$I$89,3,0)*0.475*44/12</f>
        <v>2.5617730720174498E-8</v>
      </c>
      <c r="AC125" s="22">
        <f t="shared" si="57"/>
        <v>37.391757506520342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2.2737367544323206E-13</v>
      </c>
      <c r="AJ125" s="13">
        <f>AI125*VLOOKUP('Données projet'!$B$10,Paramètres!$A$1:$I$89,3,0)*VLOOKUP('Données projet'!$B$10,Paramètres!$A$1:$I$89,5,0)</f>
        <v>1.3596945791505279E-13</v>
      </c>
      <c r="AK125" s="13">
        <f t="shared" si="89"/>
        <v>1.9708830566360721E-12</v>
      </c>
      <c r="AL125" s="20">
        <f t="shared" si="58"/>
        <v>3.669434796176543E-12</v>
      </c>
      <c r="AM125" s="59">
        <f t="shared" si="59"/>
        <v>293.33333333333701</v>
      </c>
      <c r="AN125" s="59">
        <f ca="1">AVERAGE(OFFSET($AM$3,0,0,'Données projet'!$E$10+1,1))-AVERAGE(OFFSET($H$3,0,0,'Données projet'!$E$10+1,1))</f>
        <v>348.76139845974495</v>
      </c>
      <c r="AO125" s="59">
        <f t="shared" si="90"/>
        <v>398.5142967182872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51.78764640994747</v>
      </c>
      <c r="AV125" s="21">
        <f>EXP(-LN(2)/25)*AV124+(1-EXP(-LN(2)/25))/(LN(2)/25)*Calculateur!AQ125*Calculateur!AS125*VLOOKUP('Données projet'!$B$10,Paramètres!$A$1:$I$89,3,0)*0.475*44/12</f>
        <v>10.18910963463496</v>
      </c>
      <c r="AW125" s="21">
        <f>EXP(-LN(2)/2)*AW124+(1-EXP(-LN(2)/2))/(LN(2)/2)*AQ125*AT125*VLOOKUP('Données projet'!$B$10,Paramètres!$A$1:$I$89,3,0)*0.475*44/12</f>
        <v>2.2175053888829525E-8</v>
      </c>
      <c r="AX125" s="21">
        <f t="shared" si="60"/>
        <v>61.976756066757481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-5.1159076974727213E-13</v>
      </c>
      <c r="BE125" s="13">
        <f>BD125*VLOOKUP('Données projet'!$B$11,Paramètres!$A$1:$I$89,3,0)*VLOOKUP('Données projet'!$B$11,Paramètres!$A$1:$I$89,5,0)</f>
        <v>-5.1875304052373401E-13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413.81510455446738</v>
      </c>
      <c r="BJ125" s="59">
        <f t="shared" si="92"/>
        <v>254.25036207346602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133.98437289125997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133.98437289125997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-5.6843418860808015E-14</v>
      </c>
      <c r="BZ125" s="13">
        <f>BY125*VLOOKUP('Données projet'!$B$12,Paramètres!$A$1:$I$89,3,0)*VLOOKUP('Données projet'!$B$12,Paramètres!$A$1:$I$89,5,0)</f>
        <v>-5.4092197387944907E-14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292.61712942007972</v>
      </c>
      <c r="CE125" s="59">
        <f t="shared" si="94"/>
        <v>152.23954167722536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55.350484291376226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55.350484291376226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-5.6843418860808015E-14</v>
      </c>
      <c r="CU125" s="17">
        <f>CT125*VLOOKUP('Données projet'!$B$13,Paramètres!$A$1:$I$89,3,0)*VLOOKUP('Données projet'!$B$13,Paramètres!$A$1:$I$89,5,0)</f>
        <v>-5.4978954722173515E-14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296.78766823247003</v>
      </c>
      <c r="CZ125" s="59">
        <f t="shared" si="96"/>
        <v>154.08406475869634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87.711392437514661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87.711392437514661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229.61973863654862</v>
      </c>
      <c r="T126" s="59">
        <f t="shared" si="88"/>
        <v>254.08208375594052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26.183577549839079</v>
      </c>
      <c r="AA126" s="21">
        <f>EXP(-LN(2)/25)*AA125+(1-EXP(-LN(2)/25))/(LN(2)/25)*Calculateur!V126*Calculateur!X126*VLOOKUP('Données projet'!$B$9,Paramètres!$A$1:$I$89,3,0)*0.475*44/12</f>
        <v>10.392298948466756</v>
      </c>
      <c r="AB126" s="21">
        <f>EXP(-LN(2)/2)*AB125+(1-EXP(-LN(2)/2))/(LN(2)/2)*V126*Y126*VLOOKUP('Données projet'!$B$9,Paramètres!$A$1:$I$89,3,0)*0.475*44/12</f>
        <v>1.8114471110846325E-8</v>
      </c>
      <c r="AC126" s="22">
        <f t="shared" si="57"/>
        <v>36.575876516420301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2.2737367544323206E-13</v>
      </c>
      <c r="AJ126" s="13">
        <f>AI126*VLOOKUP('Données projet'!$B$10,Paramètres!$A$1:$I$89,3,0)*VLOOKUP('Données projet'!$B$10,Paramètres!$A$1:$I$89,5,0)</f>
        <v>1.3596945791505279E-13</v>
      </c>
      <c r="AK126" s="13">
        <f t="shared" si="89"/>
        <v>1.9708830566360721E-12</v>
      </c>
      <c r="AL126" s="20">
        <f t="shared" si="58"/>
        <v>3.669434796176543E-12</v>
      </c>
      <c r="AM126" s="59">
        <f t="shared" si="59"/>
        <v>293.33333333333701</v>
      </c>
      <c r="AN126" s="59">
        <f ca="1">AVERAGE(OFFSET($AM$3,0,0,'Données projet'!$E$10+1,1))-AVERAGE(OFFSET($H$3,0,0,'Données projet'!$E$10+1,1))</f>
        <v>348.76139845974495</v>
      </c>
      <c r="AO126" s="59">
        <f t="shared" si="90"/>
        <v>398.5142967182872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50.772122251193721</v>
      </c>
      <c r="AV126" s="21">
        <f>EXP(-LN(2)/25)*AV125+(1-EXP(-LN(2)/25))/(LN(2)/25)*Calculateur!AQ126*Calculateur!AS126*VLOOKUP('Données projet'!$B$10,Paramètres!$A$1:$I$89,3,0)*0.475*44/12</f>
        <v>9.910487895853878</v>
      </c>
      <c r="AW126" s="21">
        <f>EXP(-LN(2)/2)*AW125+(1-EXP(-LN(2)/2))/(LN(2)/2)*AQ126*AT126*VLOOKUP('Données projet'!$B$10,Paramètres!$A$1:$I$89,3,0)*0.475*44/12</f>
        <v>1.5680130977968479E-8</v>
      </c>
      <c r="AX126" s="21">
        <f t="shared" si="60"/>
        <v>60.682610162727727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-5.1159076974727213E-13</v>
      </c>
      <c r="BE126" s="13">
        <f>BD126*VLOOKUP('Données projet'!$B$11,Paramètres!$A$1:$I$89,3,0)*VLOOKUP('Données projet'!$B$11,Paramètres!$A$1:$I$89,5,0)</f>
        <v>-5.1875304052373401E-13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413.81510455446738</v>
      </c>
      <c r="BJ126" s="59">
        <f t="shared" si="92"/>
        <v>254.25036207346602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131.35702106126041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131.35702106126041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-5.6843418860808015E-14</v>
      </c>
      <c r="BZ126" s="13">
        <f>BY126*VLOOKUP('Données projet'!$B$12,Paramètres!$A$1:$I$89,3,0)*VLOOKUP('Données projet'!$B$12,Paramètres!$A$1:$I$89,5,0)</f>
        <v>-5.4092197387944907E-14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292.61712942007972</v>
      </c>
      <c r="CE126" s="59">
        <f t="shared" si="94"/>
        <v>152.23954167722536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54.265095054884185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54.265095054884185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-5.6843418860808015E-14</v>
      </c>
      <c r="CU126" s="17">
        <f>CT126*VLOOKUP('Données projet'!$B$13,Paramètres!$A$1:$I$89,3,0)*VLOOKUP('Données projet'!$B$13,Paramètres!$A$1:$I$89,5,0)</f>
        <v>-5.4978954722173515E-14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296.78766823247003</v>
      </c>
      <c r="CZ126" s="59">
        <f t="shared" si="96"/>
        <v>154.08406475869634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85.991425530481834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85.991425530481834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229.61973863654862</v>
      </c>
      <c r="T127" s="59">
        <f t="shared" si="88"/>
        <v>254.08208375594052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25.670133564492094</v>
      </c>
      <c r="AA127" s="21">
        <f>EXP(-LN(2)/25)*AA126+(1-EXP(-LN(2)/25))/(LN(2)/25)*Calculateur!V127*Calculateur!X127*VLOOKUP('Données projet'!$B$9,Paramètres!$A$1:$I$89,3,0)*0.475*44/12</f>
        <v>10.108120987213683</v>
      </c>
      <c r="AB127" s="21">
        <f>EXP(-LN(2)/2)*AB126+(1-EXP(-LN(2)/2))/(LN(2)/2)*V127*Y127*VLOOKUP('Données projet'!$B$9,Paramètres!$A$1:$I$89,3,0)*0.475*44/12</f>
        <v>1.2808865360087249E-8</v>
      </c>
      <c r="AC127" s="22">
        <f t="shared" si="57"/>
        <v>35.778254564514647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2.2737367544323206E-13</v>
      </c>
      <c r="AJ127" s="13">
        <f>AI127*VLOOKUP('Données projet'!$B$10,Paramètres!$A$1:$I$89,3,0)*VLOOKUP('Données projet'!$B$10,Paramètres!$A$1:$I$89,5,0)</f>
        <v>1.3596945791505279E-13</v>
      </c>
      <c r="AK127" s="13">
        <f t="shared" si="89"/>
        <v>1.9708830566360721E-12</v>
      </c>
      <c r="AL127" s="20">
        <f t="shared" si="58"/>
        <v>3.669434796176543E-12</v>
      </c>
      <c r="AM127" s="59">
        <f t="shared" si="59"/>
        <v>293.33333333333701</v>
      </c>
      <c r="AN127" s="59">
        <f ca="1">AVERAGE(OFFSET($AM$3,0,0,'Données projet'!$E$10+1,1))-AVERAGE(OFFSET($H$3,0,0,'Données projet'!$E$10+1,1))</f>
        <v>348.76139845974495</v>
      </c>
      <c r="AO127" s="59">
        <f t="shared" si="90"/>
        <v>398.5142967182872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49.776511901784559</v>
      </c>
      <c r="AV127" s="21">
        <f>EXP(-LN(2)/25)*AV126+(1-EXP(-LN(2)/25))/(LN(2)/25)*Calculateur!AQ127*Calculateur!AS127*VLOOKUP('Données projet'!$B$10,Paramètres!$A$1:$I$89,3,0)*0.475*44/12</f>
        <v>9.6394850831718468</v>
      </c>
      <c r="AW127" s="21">
        <f>EXP(-LN(2)/2)*AW126+(1-EXP(-LN(2)/2))/(LN(2)/2)*AQ127*AT127*VLOOKUP('Données projet'!$B$10,Paramètres!$A$1:$I$89,3,0)*0.475*44/12</f>
        <v>1.1087526944414763E-8</v>
      </c>
      <c r="AX127" s="21">
        <f t="shared" si="60"/>
        <v>59.415996996043937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-5.1159076974727213E-13</v>
      </c>
      <c r="BE127" s="13">
        <f>BD127*VLOOKUP('Données projet'!$B$11,Paramètres!$A$1:$I$89,3,0)*VLOOKUP('Données projet'!$B$11,Paramètres!$A$1:$I$89,5,0)</f>
        <v>-5.1875304052373401E-13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413.81510455446738</v>
      </c>
      <c r="BJ127" s="59">
        <f t="shared" si="92"/>
        <v>254.25036207346602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128.78118999812077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128.78118999812077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-5.6843418860808015E-14</v>
      </c>
      <c r="BZ127" s="13">
        <f>BY127*VLOOKUP('Données projet'!$B$12,Paramètres!$A$1:$I$89,3,0)*VLOOKUP('Données projet'!$B$12,Paramètres!$A$1:$I$89,5,0)</f>
        <v>-5.4092197387944907E-14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292.61712942007972</v>
      </c>
      <c r="CE127" s="59">
        <f t="shared" si="94"/>
        <v>152.23954167722536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53.200989639297688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53.200989639297688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-5.6843418860808015E-14</v>
      </c>
      <c r="CU127" s="17">
        <f>CT127*VLOOKUP('Données projet'!$B$13,Paramètres!$A$1:$I$89,3,0)*VLOOKUP('Données projet'!$B$13,Paramètres!$A$1:$I$89,5,0)</f>
        <v>-5.4978954722173515E-14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296.78766823247003</v>
      </c>
      <c r="CZ127" s="59">
        <f t="shared" si="96"/>
        <v>154.08406475869634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84.305186125419695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84.305186125419695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229.61973863654862</v>
      </c>
      <c r="T128" s="59">
        <f t="shared" si="88"/>
        <v>254.08208375594052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25.166757902527856</v>
      </c>
      <c r="AA128" s="21">
        <f>EXP(-LN(2)/25)*AA127+(1-EXP(-LN(2)/25))/(LN(2)/25)*Calculateur!V128*Calculateur!X128*VLOOKUP('Données projet'!$B$9,Paramètres!$A$1:$I$89,3,0)*0.475*44/12</f>
        <v>9.8317138872553436</v>
      </c>
      <c r="AB128" s="21">
        <f>EXP(-LN(2)/2)*AB127+(1-EXP(-LN(2)/2))/(LN(2)/2)*V128*Y128*VLOOKUP('Données projet'!$B$9,Paramètres!$A$1:$I$89,3,0)*0.475*44/12</f>
        <v>9.0572355554231626E-9</v>
      </c>
      <c r="AC128" s="22">
        <f t="shared" si="57"/>
        <v>34.998471798840434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2.2737367544323206E-13</v>
      </c>
      <c r="AJ128" s="13">
        <f>AI128*VLOOKUP('Données projet'!$B$10,Paramètres!$A$1:$I$89,3,0)*VLOOKUP('Données projet'!$B$10,Paramètres!$A$1:$I$89,5,0)</f>
        <v>1.3596945791505279E-13</v>
      </c>
      <c r="AK128" s="13">
        <f t="shared" si="89"/>
        <v>1.9708830566360721E-12</v>
      </c>
      <c r="AL128" s="20">
        <f t="shared" si="58"/>
        <v>3.669434796176543E-12</v>
      </c>
      <c r="AM128" s="59">
        <f t="shared" si="59"/>
        <v>293.33333333333701</v>
      </c>
      <c r="AN128" s="59">
        <f ca="1">AVERAGE(OFFSET($AM$3,0,0,'Données projet'!$E$10+1,1))-AVERAGE(OFFSET($H$3,0,0,'Données projet'!$E$10+1,1))</f>
        <v>348.76139845974495</v>
      </c>
      <c r="AO128" s="59">
        <f t="shared" si="90"/>
        <v>398.5142967182872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48.800424864064958</v>
      </c>
      <c r="AV128" s="21">
        <f>EXP(-LN(2)/25)*AV127+(1-EXP(-LN(2)/25))/(LN(2)/25)*Calculateur!AQ128*Calculateur!AS128*VLOOKUP('Données projet'!$B$10,Paramètres!$A$1:$I$89,3,0)*0.475*44/12</f>
        <v>9.3758928566540227</v>
      </c>
      <c r="AW128" s="21">
        <f>EXP(-LN(2)/2)*AW127+(1-EXP(-LN(2)/2))/(LN(2)/2)*AQ128*AT128*VLOOKUP('Données projet'!$B$10,Paramètres!$A$1:$I$89,3,0)*0.475*44/12</f>
        <v>7.8400654889842393E-9</v>
      </c>
      <c r="AX128" s="21">
        <f t="shared" si="60"/>
        <v>58.176317728559049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-5.1159076974727213E-13</v>
      </c>
      <c r="BE128" s="13">
        <f>BD128*VLOOKUP('Données projet'!$B$11,Paramètres!$A$1:$I$89,3,0)*VLOOKUP('Données projet'!$B$11,Paramètres!$A$1:$I$89,5,0)</f>
        <v>-5.1875304052373401E-13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413.81510455446738</v>
      </c>
      <c r="BJ128" s="59">
        <f t="shared" si="92"/>
        <v>254.25036207346602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126.25586941102748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126.25586941102748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-5.6843418860808015E-14</v>
      </c>
      <c r="BZ128" s="13">
        <f>BY128*VLOOKUP('Données projet'!$B$12,Paramètres!$A$1:$I$89,3,0)*VLOOKUP('Données projet'!$B$12,Paramètres!$A$1:$I$89,5,0)</f>
        <v>-5.4092197387944907E-14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292.61712942007972</v>
      </c>
      <c r="CE128" s="59">
        <f t="shared" si="94"/>
        <v>152.23954167722536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52.157750681870631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52.157750681870631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-5.6843418860808015E-14</v>
      </c>
      <c r="CU128" s="17">
        <f>CT128*VLOOKUP('Données projet'!$B$13,Paramètres!$A$1:$I$89,3,0)*VLOOKUP('Données projet'!$B$13,Paramètres!$A$1:$I$89,5,0)</f>
        <v>-5.4978954722173515E-14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296.78766823247003</v>
      </c>
      <c r="CZ128" s="59">
        <f t="shared" si="96"/>
        <v>154.08406475869634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82.652012846586345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82.652012846586345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229.61973863654862</v>
      </c>
      <c r="T129" s="59">
        <f t="shared" si="88"/>
        <v>254.08208375594052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24.673253130265898</v>
      </c>
      <c r="AA129" s="21">
        <f>EXP(-LN(2)/25)*AA128+(1-EXP(-LN(2)/25))/(LN(2)/25)*Calculateur!V129*Calculateur!X129*VLOOKUP('Données projet'!$B$9,Paramètres!$A$1:$I$89,3,0)*0.475*44/12</f>
        <v>9.562865153980983</v>
      </c>
      <c r="AB129" s="21">
        <f>EXP(-LN(2)/2)*AB128+(1-EXP(-LN(2)/2))/(LN(2)/2)*V129*Y129*VLOOKUP('Données projet'!$B$9,Paramètres!$A$1:$I$89,3,0)*0.475*44/12</f>
        <v>6.4044326800436246E-9</v>
      </c>
      <c r="AC129" s="22">
        <f t="shared" si="57"/>
        <v>34.236118290651319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2.2737367544323206E-13</v>
      </c>
      <c r="AJ129" s="13">
        <f>AI129*VLOOKUP('Données projet'!$B$10,Paramètres!$A$1:$I$89,3,0)*VLOOKUP('Données projet'!$B$10,Paramètres!$A$1:$I$89,5,0)</f>
        <v>1.3596945791505279E-13</v>
      </c>
      <c r="AK129" s="13">
        <f t="shared" si="89"/>
        <v>1.9708830566360721E-12</v>
      </c>
      <c r="AL129" s="20">
        <f t="shared" si="58"/>
        <v>3.669434796176543E-12</v>
      </c>
      <c r="AM129" s="59">
        <f t="shared" si="59"/>
        <v>293.33333333333701</v>
      </c>
      <c r="AN129" s="59">
        <f ca="1">AVERAGE(OFFSET($AM$3,0,0,'Données projet'!$E$10+1,1))-AVERAGE(OFFSET($H$3,0,0,'Données projet'!$E$10+1,1))</f>
        <v>348.76139845974495</v>
      </c>
      <c r="AO129" s="59">
        <f t="shared" si="90"/>
        <v>398.5142967182872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47.843478297800729</v>
      </c>
      <c r="AV129" s="21">
        <f>EXP(-LN(2)/25)*AV128+(1-EXP(-LN(2)/25))/(LN(2)/25)*Calculateur!AQ129*Calculateur!AS129*VLOOKUP('Données projet'!$B$10,Paramètres!$A$1:$I$89,3,0)*0.475*44/12</f>
        <v>9.1195085734320429</v>
      </c>
      <c r="AW129" s="21">
        <f>EXP(-LN(2)/2)*AW128+(1-EXP(-LN(2)/2))/(LN(2)/2)*AQ129*AT129*VLOOKUP('Données projet'!$B$10,Paramètres!$A$1:$I$89,3,0)*0.475*44/12</f>
        <v>5.5437634722073813E-9</v>
      </c>
      <c r="AX129" s="21">
        <f t="shared" si="60"/>
        <v>56.962986876776533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-5.1159076974727213E-13</v>
      </c>
      <c r="BE129" s="13">
        <f>BD129*VLOOKUP('Données projet'!$B$11,Paramètres!$A$1:$I$89,3,0)*VLOOKUP('Données projet'!$B$11,Paramètres!$A$1:$I$89,5,0)</f>
        <v>-5.1875304052373401E-13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413.81510455446738</v>
      </c>
      <c r="BJ129" s="59">
        <f t="shared" si="92"/>
        <v>254.25036207346602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123.78006882035361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123.78006882035361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-5.6843418860808015E-14</v>
      </c>
      <c r="BZ129" s="13">
        <f>BY129*VLOOKUP('Données projet'!$B$12,Paramètres!$A$1:$I$89,3,0)*VLOOKUP('Données projet'!$B$12,Paramètres!$A$1:$I$89,5,0)</f>
        <v>-5.4092197387944907E-14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292.61712942007972</v>
      </c>
      <c r="CE129" s="59">
        <f t="shared" si="94"/>
        <v>152.23954167722536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51.134969004085782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51.134969004085782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-5.6843418860808015E-14</v>
      </c>
      <c r="CU129" s="17">
        <f>CT129*VLOOKUP('Données projet'!$B$13,Paramètres!$A$1:$I$89,3,0)*VLOOKUP('Données projet'!$B$13,Paramètres!$A$1:$I$89,5,0)</f>
        <v>-5.4978954722173515E-14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296.78766823247003</v>
      </c>
      <c r="CZ129" s="59">
        <f t="shared" si="96"/>
        <v>154.08406475869634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81.031257287414775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81.031257287414775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229.61973863654862</v>
      </c>
      <c r="T130" s="59">
        <f t="shared" si="88"/>
        <v>254.08208375594052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24.18942568557981</v>
      </c>
      <c r="AA130" s="21">
        <f>EXP(-LN(2)/25)*AA129+(1-EXP(-LN(2)/25))/(LN(2)/25)*Calculateur!V130*Calculateur!X130*VLOOKUP('Données projet'!$B$9,Paramètres!$A$1:$I$89,3,0)*0.475*44/12</f>
        <v>9.3013681034561504</v>
      </c>
      <c r="AB130" s="21">
        <f>EXP(-LN(2)/2)*AB129+(1-EXP(-LN(2)/2))/(LN(2)/2)*V130*Y130*VLOOKUP('Données projet'!$B$9,Paramètres!$A$1:$I$89,3,0)*0.475*44/12</f>
        <v>4.5286177777115813E-9</v>
      </c>
      <c r="AC130" s="22">
        <f t="shared" si="57"/>
        <v>33.490793793564578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2.2737367544323206E-13</v>
      </c>
      <c r="AJ130" s="13">
        <f>AI130*VLOOKUP('Données projet'!$B$10,Paramètres!$A$1:$I$89,3,0)*VLOOKUP('Données projet'!$B$10,Paramètres!$A$1:$I$89,5,0)</f>
        <v>1.3596945791505279E-13</v>
      </c>
      <c r="AK130" s="13">
        <f t="shared" si="89"/>
        <v>1.9708830566360721E-12</v>
      </c>
      <c r="AL130" s="20">
        <f t="shared" si="58"/>
        <v>3.669434796176543E-12</v>
      </c>
      <c r="AM130" s="59">
        <f t="shared" si="59"/>
        <v>293.33333333333701</v>
      </c>
      <c r="AN130" s="59">
        <f ca="1">AVERAGE(OFFSET($AM$3,0,0,'Données projet'!$E$10+1,1))-AVERAGE(OFFSET($H$3,0,0,'Données projet'!$E$10+1,1))</f>
        <v>348.76139845974495</v>
      </c>
      <c r="AO130" s="59">
        <f t="shared" si="90"/>
        <v>398.5142967182872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46.905296870021168</v>
      </c>
      <c r="AV130" s="21">
        <f>EXP(-LN(2)/25)*AV129+(1-EXP(-LN(2)/25))/(LN(2)/25)*Calculateur!AQ130*Calculateur!AS130*VLOOKUP('Données projet'!$B$10,Paramètres!$A$1:$I$89,3,0)*0.475*44/12</f>
        <v>8.8701351319174311</v>
      </c>
      <c r="AW130" s="21">
        <f>EXP(-LN(2)/2)*AW129+(1-EXP(-LN(2)/2))/(LN(2)/2)*AQ130*AT130*VLOOKUP('Données projet'!$B$10,Paramètres!$A$1:$I$89,3,0)*0.475*44/12</f>
        <v>3.9200327444921197E-9</v>
      </c>
      <c r="AX130" s="21">
        <f t="shared" si="60"/>
        <v>55.775432005858633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-5.1159076974727213E-13</v>
      </c>
      <c r="BE130" s="13">
        <f>BD130*VLOOKUP('Données projet'!$B$11,Paramètres!$A$1:$I$89,3,0)*VLOOKUP('Données projet'!$B$11,Paramètres!$A$1:$I$89,5,0)</f>
        <v>-5.1875304052373401E-13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413.81510455446738</v>
      </c>
      <c r="BJ130" s="59">
        <f t="shared" si="92"/>
        <v>254.25036207346602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121.3528171691736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121.3528171691736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-5.6843418860808015E-14</v>
      </c>
      <c r="BZ130" s="13">
        <f>BY130*VLOOKUP('Données projet'!$B$12,Paramètres!$A$1:$I$89,3,0)*VLOOKUP('Données projet'!$B$12,Paramètres!$A$1:$I$89,5,0)</f>
        <v>-5.4092197387944907E-14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292.61712942007972</v>
      </c>
      <c r="CE130" s="59">
        <f t="shared" si="94"/>
        <v>152.23954167722536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50.132243451167071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50.132243451167071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-5.6843418860808015E-14</v>
      </c>
      <c r="CU130" s="17">
        <f>CT130*VLOOKUP('Données projet'!$B$13,Paramètres!$A$1:$I$89,3,0)*VLOOKUP('Données projet'!$B$13,Paramètres!$A$1:$I$89,5,0)</f>
        <v>-5.4978954722173515E-14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296.78766823247003</v>
      </c>
      <c r="CZ130" s="59">
        <f t="shared" si="96"/>
        <v>154.08406475869634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79.44228375619528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79.44228375619528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229.61973863654862</v>
      </c>
      <c r="T131" s="59">
        <f t="shared" si="88"/>
        <v>254.08208375594052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23.715085801978411</v>
      </c>
      <c r="AA131" s="21">
        <f>EXP(-LN(2)/25)*AA130+(1-EXP(-LN(2)/25))/(LN(2)/25)*Calculateur!V131*Calculateur!X131*VLOOKUP('Données projet'!$B$9,Paramètres!$A$1:$I$89,3,0)*0.475*44/12</f>
        <v>9.0470217035294525</v>
      </c>
      <c r="AB131" s="21">
        <f>EXP(-LN(2)/2)*AB130+(1-EXP(-LN(2)/2))/(LN(2)/2)*V131*Y131*VLOOKUP('Données projet'!$B$9,Paramètres!$A$1:$I$89,3,0)*0.475*44/12</f>
        <v>3.2022163400218123E-9</v>
      </c>
      <c r="AC131" s="22">
        <f t="shared" si="57"/>
        <v>32.762107508710081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2.2737367544323206E-13</v>
      </c>
      <c r="AJ131" s="13">
        <f>AI131*VLOOKUP('Données projet'!$B$10,Paramètres!$A$1:$I$89,3,0)*VLOOKUP('Données projet'!$B$10,Paramètres!$A$1:$I$89,5,0)</f>
        <v>1.3596945791505279E-13</v>
      </c>
      <c r="AK131" s="13">
        <f t="shared" si="89"/>
        <v>1.9708830566360721E-12</v>
      </c>
      <c r="AL131" s="20">
        <f t="shared" si="58"/>
        <v>3.669434796176543E-12</v>
      </c>
      <c r="AM131" s="59">
        <f t="shared" si="59"/>
        <v>293.33333333333701</v>
      </c>
      <c r="AN131" s="59">
        <f ca="1">AVERAGE(OFFSET($AM$3,0,0,'Données projet'!$E$10+1,1))-AVERAGE(OFFSET($H$3,0,0,'Données projet'!$E$10+1,1))</f>
        <v>348.76139845974495</v>
      </c>
      <c r="AO131" s="59">
        <f t="shared" si="90"/>
        <v>398.5142967182872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45.9855126078062</v>
      </c>
      <c r="AV131" s="21">
        <f>EXP(-LN(2)/25)*AV130+(1-EXP(-LN(2)/25))/(LN(2)/25)*Calculateur!AQ131*Calculateur!AS131*VLOOKUP('Données projet'!$B$10,Paramètres!$A$1:$I$89,3,0)*0.475*44/12</f>
        <v>8.6275808202750159</v>
      </c>
      <c r="AW131" s="21">
        <f>EXP(-LN(2)/2)*AW130+(1-EXP(-LN(2)/2))/(LN(2)/2)*AQ131*AT131*VLOOKUP('Données projet'!$B$10,Paramètres!$A$1:$I$89,3,0)*0.475*44/12</f>
        <v>2.7718817361036907E-9</v>
      </c>
      <c r="AX131" s="21">
        <f t="shared" si="60"/>
        <v>54.613093430853098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-5.1159076974727213E-13</v>
      </c>
      <c r="BE131" s="13">
        <f>BD131*VLOOKUP('Données projet'!$B$11,Paramètres!$A$1:$I$89,3,0)*VLOOKUP('Données projet'!$B$11,Paramètres!$A$1:$I$89,5,0)</f>
        <v>-5.1875304052373401E-13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413.81510455446738</v>
      </c>
      <c r="BJ131" s="59">
        <f t="shared" si="92"/>
        <v>254.25036207346602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118.97316244239592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118.97316244239592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-5.6843418860808015E-14</v>
      </c>
      <c r="BZ131" s="13">
        <f>BY131*VLOOKUP('Données projet'!$B$12,Paramètres!$A$1:$I$89,3,0)*VLOOKUP('Données projet'!$B$12,Paramètres!$A$1:$I$89,5,0)</f>
        <v>-5.4092197387944907E-14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292.61712942007972</v>
      </c>
      <c r="CE131" s="59">
        <f t="shared" si="94"/>
        <v>152.23954167722536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49.149180734738898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49.149180734738898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-5.6843418860808015E-14</v>
      </c>
      <c r="CU131" s="17">
        <f>CT131*VLOOKUP('Données projet'!$B$13,Paramètres!$A$1:$I$89,3,0)*VLOOKUP('Données projet'!$B$13,Paramètres!$A$1:$I$89,5,0)</f>
        <v>-5.4978954722173515E-14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296.78766823247003</v>
      </c>
      <c r="CZ131" s="59">
        <f t="shared" si="96"/>
        <v>154.08406475869634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77.884469026744853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77.884469026744853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229.61973863654862</v>
      </c>
      <c r="T132" s="59">
        <f t="shared" si="88"/>
        <v>254.08208375594052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23.250047434175677</v>
      </c>
      <c r="AA132" s="21">
        <f>EXP(-LN(2)/25)*AA131+(1-EXP(-LN(2)/25))/(LN(2)/25)*Calculateur!V132*Calculateur!X132*VLOOKUP('Données projet'!$B$9,Paramètres!$A$1:$I$89,3,0)*0.475*44/12</f>
        <v>8.7996304192842452</v>
      </c>
      <c r="AB132" s="21">
        <f>EXP(-LN(2)/2)*AB131+(1-EXP(-LN(2)/2))/(LN(2)/2)*V132*Y132*VLOOKUP('Données projet'!$B$9,Paramètres!$A$1:$I$89,3,0)*0.475*44/12</f>
        <v>2.2643088888557907E-9</v>
      </c>
      <c r="AC132" s="22">
        <f t="shared" ref="AC132:AC153" si="111">SUM(Z132:AB132)</f>
        <v>32.049677855724234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2.2737367544323206E-13</v>
      </c>
      <c r="AJ132" s="13">
        <f>AI132*VLOOKUP('Données projet'!$B$10,Paramètres!$A$1:$I$89,3,0)*VLOOKUP('Données projet'!$B$10,Paramètres!$A$1:$I$89,5,0)</f>
        <v>1.3596945791505279E-13</v>
      </c>
      <c r="AK132" s="13">
        <f t="shared" si="89"/>
        <v>1.9708830566360721E-12</v>
      </c>
      <c r="AL132" s="20">
        <f t="shared" ref="AL132:AL153" si="112">(AJ132+AK132)*0.475*44/12</f>
        <v>3.669434796176543E-12</v>
      </c>
      <c r="AM132" s="59">
        <f t="shared" ref="AM132:AM195" si="113">AL132+(AD132+AE132)*44/12</f>
        <v>293.33333333333701</v>
      </c>
      <c r="AN132" s="59">
        <f ca="1">AVERAGE(OFFSET($AM$3,0,0,'Données projet'!$E$10+1,1))-AVERAGE(OFFSET($H$3,0,0,'Données projet'!$E$10+1,1))</f>
        <v>348.76139845974495</v>
      </c>
      <c r="AO132" s="59">
        <f t="shared" si="90"/>
        <v>398.5142967182872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45.08376475396026</v>
      </c>
      <c r="AV132" s="21">
        <f>EXP(-LN(2)/25)*AV131+(1-EXP(-LN(2)/25))/(LN(2)/25)*Calculateur!AQ132*Calculateur!AS132*VLOOKUP('Données projet'!$B$10,Paramètres!$A$1:$I$89,3,0)*0.475*44/12</f>
        <v>8.3916591690398388</v>
      </c>
      <c r="AW132" s="21">
        <f>EXP(-LN(2)/2)*AW131+(1-EXP(-LN(2)/2))/(LN(2)/2)*AQ132*AT132*VLOOKUP('Données projet'!$B$10,Paramètres!$A$1:$I$89,3,0)*0.475*44/12</f>
        <v>1.9600163722460598E-9</v>
      </c>
      <c r="AX132" s="21">
        <f t="shared" ref="AX132:AX153" si="114">SUM(AU132:AW132)</f>
        <v>53.475423924960118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-5.1159076974727213E-13</v>
      </c>
      <c r="BE132" s="13">
        <f>BD132*VLOOKUP('Données projet'!$B$11,Paramètres!$A$1:$I$89,3,0)*VLOOKUP('Données projet'!$B$11,Paramètres!$A$1:$I$89,5,0)</f>
        <v>-5.1875304052373401E-13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413.81510455446738</v>
      </c>
      <c r="BJ132" s="59">
        <f t="shared" si="92"/>
        <v>254.25036207346602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116.64017129336428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116.64017129336428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-5.6843418860808015E-14</v>
      </c>
      <c r="BZ132" s="13">
        <f>BY132*VLOOKUP('Données projet'!$B$12,Paramètres!$A$1:$I$89,3,0)*VLOOKUP('Données projet'!$B$12,Paramètres!$A$1:$I$89,5,0)</f>
        <v>-5.4092197387944907E-14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292.61712942007972</v>
      </c>
      <c r="CE132" s="59">
        <f t="shared" si="94"/>
        <v>152.23954167722536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48.18539527857083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48.18539527857083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-5.6843418860808015E-14</v>
      </c>
      <c r="CU132" s="17">
        <f>CT132*VLOOKUP('Données projet'!$B$13,Paramètres!$A$1:$I$89,3,0)*VLOOKUP('Données projet'!$B$13,Paramètres!$A$1:$I$89,5,0)</f>
        <v>-5.4978954722173515E-14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296.78766823247003</v>
      </c>
      <c r="CZ132" s="59">
        <f t="shared" si="96"/>
        <v>154.08406475869634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76.357202093965782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76.357202093965782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229.61973863654862</v>
      </c>
      <c r="T133" s="59">
        <f t="shared" ref="T133:T196" si="142">$T$3</f>
        <v>254.08208375594052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22.794128185120158</v>
      </c>
      <c r="AA133" s="21">
        <f>EXP(-LN(2)/25)*AA132+(1-EXP(-LN(2)/25))/(LN(2)/25)*Calculateur!V133*Calculateur!X133*VLOOKUP('Données projet'!$B$9,Paramètres!$A$1:$I$89,3,0)*0.475*44/12</f>
        <v>8.5590040627164647</v>
      </c>
      <c r="AB133" s="21">
        <f>EXP(-LN(2)/2)*AB132+(1-EXP(-LN(2)/2))/(LN(2)/2)*V133*Y133*VLOOKUP('Données projet'!$B$9,Paramètres!$A$1:$I$89,3,0)*0.475*44/12</f>
        <v>1.6011081700109062E-9</v>
      </c>
      <c r="AC133" s="22">
        <f t="shared" si="111"/>
        <v>31.353132249437731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2.2737367544323206E-13</v>
      </c>
      <c r="AJ133" s="13">
        <f>AI133*VLOOKUP('Données projet'!$B$10,Paramètres!$A$1:$I$89,3,0)*VLOOKUP('Données projet'!$B$10,Paramètres!$A$1:$I$89,5,0)</f>
        <v>1.3596945791505279E-13</v>
      </c>
      <c r="AK133" s="13">
        <f t="shared" ref="AK133:AK153" si="143">EXP(-1.0587+0.8836*LN(AJ133)+0.284)</f>
        <v>1.9708830566360721E-12</v>
      </c>
      <c r="AL133" s="20">
        <f t="shared" si="112"/>
        <v>3.669434796176543E-12</v>
      </c>
      <c r="AM133" s="59">
        <f t="shared" si="113"/>
        <v>293.33333333333701</v>
      </c>
      <c r="AN133" s="59">
        <f ca="1">AVERAGE(OFFSET($AM$3,0,0,'Données projet'!$E$10+1,1))-AVERAGE(OFFSET($H$3,0,0,'Données projet'!$E$10+1,1))</f>
        <v>348.76139845974495</v>
      </c>
      <c r="AO133" s="59">
        <f t="shared" ref="AO133:AO196" si="144">$AO$3</f>
        <v>398.5142967182872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44.199699625516359</v>
      </c>
      <c r="AV133" s="21">
        <f>EXP(-LN(2)/25)*AV132+(1-EXP(-LN(2)/25))/(LN(2)/25)*Calculateur!AQ133*Calculateur!AS133*VLOOKUP('Données projet'!$B$10,Paramètres!$A$1:$I$89,3,0)*0.475*44/12</f>
        <v>8.1621888077642684</v>
      </c>
      <c r="AW133" s="21">
        <f>EXP(-LN(2)/2)*AW132+(1-EXP(-LN(2)/2))/(LN(2)/2)*AQ133*AT133*VLOOKUP('Données projet'!$B$10,Paramètres!$A$1:$I$89,3,0)*0.475*44/12</f>
        <v>1.3859408680518453E-9</v>
      </c>
      <c r="AX133" s="21">
        <f t="shared" si="114"/>
        <v>52.361888434666568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-5.1159076974727213E-13</v>
      </c>
      <c r="BE133" s="13">
        <f>BD133*VLOOKUP('Données projet'!$B$11,Paramètres!$A$1:$I$89,3,0)*VLOOKUP('Données projet'!$B$11,Paramètres!$A$1:$I$89,5,0)</f>
        <v>-5.1875304052373401E-13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413.81510455446738</v>
      </c>
      <c r="BJ133" s="59">
        <f t="shared" ref="BJ133:BJ196" si="146">$BJ$3</f>
        <v>254.25036207346602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114.35292867778105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114.35292867778105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-5.6843418860808015E-14</v>
      </c>
      <c r="BZ133" s="13">
        <f>BY133*VLOOKUP('Données projet'!$B$12,Paramètres!$A$1:$I$89,3,0)*VLOOKUP('Données projet'!$B$12,Paramètres!$A$1:$I$89,5,0)</f>
        <v>-5.4092197387944907E-14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292.61712942007972</v>
      </c>
      <c r="CE133" s="59">
        <f t="shared" ref="CE133:CE196" si="148">$CE$3</f>
        <v>152.23954167722536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47.240509067347134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47.240509067347134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-5.6843418860808015E-14</v>
      </c>
      <c r="CU133" s="17">
        <f>CT133*VLOOKUP('Données projet'!$B$13,Paramètres!$A$1:$I$89,3,0)*VLOOKUP('Données projet'!$B$13,Paramètres!$A$1:$I$89,5,0)</f>
        <v>-5.4978954722173515E-14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296.78766823247003</v>
      </c>
      <c r="CZ133" s="59">
        <f t="shared" ref="CZ133:CZ196" si="150">$CZ$3</f>
        <v>154.08406475869634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74.859883934197654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74.859883934197654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229.61973863654862</v>
      </c>
      <c r="T134" s="59">
        <f t="shared" si="142"/>
        <v>254.08208375594052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22.347149234455333</v>
      </c>
      <c r="AA134" s="21">
        <f>EXP(-LN(2)/25)*AA133+(1-EXP(-LN(2)/25))/(LN(2)/25)*Calculateur!V134*Calculateur!X134*VLOOKUP('Données projet'!$B$9,Paramètres!$A$1:$I$89,3,0)*0.475*44/12</f>
        <v>8.3249576465230213</v>
      </c>
      <c r="AB134" s="21">
        <f>EXP(-LN(2)/2)*AB133+(1-EXP(-LN(2)/2))/(LN(2)/2)*V134*Y134*VLOOKUP('Données projet'!$B$9,Paramètres!$A$1:$I$89,3,0)*0.475*44/12</f>
        <v>1.1321544444278953E-9</v>
      </c>
      <c r="AC134" s="22">
        <f t="shared" si="111"/>
        <v>30.672106882110509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2.2737367544323206E-13</v>
      </c>
      <c r="AJ134" s="13">
        <f>AI134*VLOOKUP('Données projet'!$B$10,Paramètres!$A$1:$I$89,3,0)*VLOOKUP('Données projet'!$B$10,Paramètres!$A$1:$I$89,5,0)</f>
        <v>1.3596945791505279E-13</v>
      </c>
      <c r="AK134" s="13">
        <f t="shared" si="143"/>
        <v>1.9708830566360721E-12</v>
      </c>
      <c r="AL134" s="20">
        <f t="shared" si="112"/>
        <v>3.669434796176543E-12</v>
      </c>
      <c r="AM134" s="59">
        <f t="shared" si="113"/>
        <v>293.33333333333701</v>
      </c>
      <c r="AN134" s="59">
        <f ca="1">AVERAGE(OFFSET($AM$3,0,0,'Données projet'!$E$10+1,1))-AVERAGE(OFFSET($H$3,0,0,'Données projet'!$E$10+1,1))</f>
        <v>348.76139845974495</v>
      </c>
      <c r="AO134" s="59">
        <f t="shared" si="144"/>
        <v>398.5142967182872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43.332970475014761</v>
      </c>
      <c r="AV134" s="21">
        <f>EXP(-LN(2)/25)*AV133+(1-EXP(-LN(2)/25))/(LN(2)/25)*Calculateur!AQ134*Calculateur!AS134*VLOOKUP('Données projet'!$B$10,Paramètres!$A$1:$I$89,3,0)*0.475*44/12</f>
        <v>7.9389933255851002</v>
      </c>
      <c r="AW134" s="21">
        <f>EXP(-LN(2)/2)*AW133+(1-EXP(-LN(2)/2))/(LN(2)/2)*AQ134*AT134*VLOOKUP('Données projet'!$B$10,Paramètres!$A$1:$I$89,3,0)*0.475*44/12</f>
        <v>9.8000818612302992E-10</v>
      </c>
      <c r="AX134" s="21">
        <f t="shared" si="114"/>
        <v>51.271963801579872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-5.1159076974727213E-13</v>
      </c>
      <c r="BE134" s="13">
        <f>BD134*VLOOKUP('Données projet'!$B$11,Paramètres!$A$1:$I$89,3,0)*VLOOKUP('Données projet'!$B$11,Paramètres!$A$1:$I$89,5,0)</f>
        <v>-5.1875304052373401E-13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413.81510455446738</v>
      </c>
      <c r="BJ134" s="59">
        <f t="shared" si="146"/>
        <v>254.25036207346602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112.11053749480918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112.11053749480918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-5.6843418860808015E-14</v>
      </c>
      <c r="BZ134" s="13">
        <f>BY134*VLOOKUP('Données projet'!$B$12,Paramètres!$A$1:$I$89,3,0)*VLOOKUP('Données projet'!$B$12,Paramètres!$A$1:$I$89,5,0)</f>
        <v>-5.4092197387944907E-14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292.61712942007972</v>
      </c>
      <c r="CE134" s="59">
        <f t="shared" si="148"/>
        <v>152.23954167722536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46.314151498401856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46.314151498401856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-5.6843418860808015E-14</v>
      </c>
      <c r="CU134" s="17">
        <f>CT134*VLOOKUP('Données projet'!$B$13,Paramètres!$A$1:$I$89,3,0)*VLOOKUP('Données projet'!$B$13,Paramètres!$A$1:$I$89,5,0)</f>
        <v>-5.4978954722173515E-14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296.78766823247003</v>
      </c>
      <c r="CZ134" s="59">
        <f t="shared" si="150"/>
        <v>154.08406475869634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73.391927270268681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73.391927270268681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229.61973863654862</v>
      </c>
      <c r="T135" s="59">
        <f t="shared" si="142"/>
        <v>254.08208375594052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21.908935268382805</v>
      </c>
      <c r="AA135" s="21">
        <f>EXP(-LN(2)/25)*AA134+(1-EXP(-LN(2)/25))/(LN(2)/25)*Calculateur!V135*Calculateur!X135*VLOOKUP('Données projet'!$B$9,Paramètres!$A$1:$I$89,3,0)*0.475*44/12</f>
        <v>8.0973112418883542</v>
      </c>
      <c r="AB135" s="21">
        <f>EXP(-LN(2)/2)*AB134+(1-EXP(-LN(2)/2))/(LN(2)/2)*V135*Y135*VLOOKUP('Données projet'!$B$9,Paramètres!$A$1:$I$89,3,0)*0.475*44/12</f>
        <v>8.0055408500545308E-10</v>
      </c>
      <c r="AC135" s="22">
        <f t="shared" si="111"/>
        <v>30.006246511071716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2.2737367544323206E-13</v>
      </c>
      <c r="AJ135" s="13">
        <f>AI135*VLOOKUP('Données projet'!$B$10,Paramètres!$A$1:$I$89,3,0)*VLOOKUP('Données projet'!$B$10,Paramètres!$A$1:$I$89,5,0)</f>
        <v>1.3596945791505279E-13</v>
      </c>
      <c r="AK135" s="13">
        <f t="shared" si="143"/>
        <v>1.9708830566360721E-12</v>
      </c>
      <c r="AL135" s="20">
        <f t="shared" si="112"/>
        <v>3.669434796176543E-12</v>
      </c>
      <c r="AM135" s="59">
        <f t="shared" si="113"/>
        <v>293.33333333333701</v>
      </c>
      <c r="AN135" s="59">
        <f ca="1">AVERAGE(OFFSET($AM$3,0,0,'Données projet'!$E$10+1,1))-AVERAGE(OFFSET($H$3,0,0,'Données projet'!$E$10+1,1))</f>
        <v>348.76139845974495</v>
      </c>
      <c r="AO135" s="59">
        <f t="shared" si="144"/>
        <v>398.5142967182872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42.483237354501917</v>
      </c>
      <c r="AV135" s="21">
        <f>EXP(-LN(2)/25)*AV134+(1-EXP(-LN(2)/25))/(LN(2)/25)*Calculateur!AQ135*Calculateur!AS135*VLOOKUP('Données projet'!$B$10,Paramètres!$A$1:$I$89,3,0)*0.475*44/12</f>
        <v>7.7219011356034617</v>
      </c>
      <c r="AW135" s="21">
        <f>EXP(-LN(2)/2)*AW134+(1-EXP(-LN(2)/2))/(LN(2)/2)*AQ135*AT135*VLOOKUP('Données projet'!$B$10,Paramètres!$A$1:$I$89,3,0)*0.475*44/12</f>
        <v>6.9297043402592267E-10</v>
      </c>
      <c r="AX135" s="21">
        <f t="shared" si="114"/>
        <v>50.205138490798348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-5.1159076974727213E-13</v>
      </c>
      <c r="BE135" s="13">
        <f>BD135*VLOOKUP('Données projet'!$B$11,Paramètres!$A$1:$I$89,3,0)*VLOOKUP('Données projet'!$B$11,Paramètres!$A$1:$I$89,5,0)</f>
        <v>-5.1875304052373401E-13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413.81510455446738</v>
      </c>
      <c r="BJ135" s="59">
        <f t="shared" si="146"/>
        <v>254.25036207346602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109.91211823521181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109.91211823521181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-5.6843418860808015E-14</v>
      </c>
      <c r="BZ135" s="13">
        <f>BY135*VLOOKUP('Données projet'!$B$12,Paramètres!$A$1:$I$89,3,0)*VLOOKUP('Données projet'!$B$12,Paramètres!$A$1:$I$89,5,0)</f>
        <v>-5.4092197387944907E-14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292.61712942007972</v>
      </c>
      <c r="CE135" s="59">
        <f t="shared" si="148"/>
        <v>152.23954167722536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45.405959236361269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45.405959236361269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-5.6843418860808015E-14</v>
      </c>
      <c r="CU135" s="17">
        <f>CT135*VLOOKUP('Données projet'!$B$13,Paramètres!$A$1:$I$89,3,0)*VLOOKUP('Données projet'!$B$13,Paramètres!$A$1:$I$89,5,0)</f>
        <v>-5.4978954722173515E-14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296.78766823247003</v>
      </c>
      <c r="CZ135" s="59">
        <f t="shared" si="150"/>
        <v>154.08406475869634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71.952756341154199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71.952756341154199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229.61973863654862</v>
      </c>
      <c r="T136" s="59">
        <f t="shared" si="142"/>
        <v>254.08208375594052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21.479314410900834</v>
      </c>
      <c r="AA136" s="21">
        <f>EXP(-LN(2)/25)*AA135+(1-EXP(-LN(2)/25))/(LN(2)/25)*Calculateur!V136*Calculateur!X136*VLOOKUP('Données projet'!$B$9,Paramètres!$A$1:$I$89,3,0)*0.475*44/12</f>
        <v>7.8758898401598252</v>
      </c>
      <c r="AB136" s="21">
        <f>EXP(-LN(2)/2)*AB135+(1-EXP(-LN(2)/2))/(LN(2)/2)*V136*Y136*VLOOKUP('Données projet'!$B$9,Paramètres!$A$1:$I$89,3,0)*0.475*44/12</f>
        <v>5.6607722221394766E-10</v>
      </c>
      <c r="AC136" s="22">
        <f t="shared" si="111"/>
        <v>29.355204251626738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2.2737367544323206E-13</v>
      </c>
      <c r="AJ136" s="13">
        <f>AI136*VLOOKUP('Données projet'!$B$10,Paramètres!$A$1:$I$89,3,0)*VLOOKUP('Données projet'!$B$10,Paramètres!$A$1:$I$89,5,0)</f>
        <v>1.3596945791505279E-13</v>
      </c>
      <c r="AK136" s="13">
        <f t="shared" si="143"/>
        <v>1.9708830566360721E-12</v>
      </c>
      <c r="AL136" s="20">
        <f t="shared" si="112"/>
        <v>3.669434796176543E-12</v>
      </c>
      <c r="AM136" s="59">
        <f t="shared" si="113"/>
        <v>293.33333333333701</v>
      </c>
      <c r="AN136" s="59">
        <f ca="1">AVERAGE(OFFSET($AM$3,0,0,'Données projet'!$E$10+1,1))-AVERAGE(OFFSET($H$3,0,0,'Données projet'!$E$10+1,1))</f>
        <v>348.76139845974495</v>
      </c>
      <c r="AO136" s="59">
        <f t="shared" si="144"/>
        <v>398.5142967182872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41.650166982196303</v>
      </c>
      <c r="AV136" s="21">
        <f>EXP(-LN(2)/25)*AV135+(1-EXP(-LN(2)/25))/(LN(2)/25)*Calculateur!AQ136*Calculateur!AS136*VLOOKUP('Données projet'!$B$10,Paramètres!$A$1:$I$89,3,0)*0.475*44/12</f>
        <v>7.5107453429732534</v>
      </c>
      <c r="AW136" s="21">
        <f>EXP(-LN(2)/2)*AW135+(1-EXP(-LN(2)/2))/(LN(2)/2)*AQ136*AT136*VLOOKUP('Données projet'!$B$10,Paramètres!$A$1:$I$89,3,0)*0.475*44/12</f>
        <v>4.9000409306151496E-10</v>
      </c>
      <c r="AX136" s="21">
        <f t="shared" si="114"/>
        <v>49.160912325659559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-5.1159076974727213E-13</v>
      </c>
      <c r="BE136" s="13">
        <f>BD136*VLOOKUP('Données projet'!$B$11,Paramètres!$A$1:$I$89,3,0)*VLOOKUP('Données projet'!$B$11,Paramètres!$A$1:$I$89,5,0)</f>
        <v>-5.1875304052373401E-13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413.81510455446738</v>
      </c>
      <c r="BJ136" s="59">
        <f t="shared" si="146"/>
        <v>254.25036207346602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107.7568086363918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107.7568086363918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-5.6843418860808015E-14</v>
      </c>
      <c r="BZ136" s="13">
        <f>BY136*VLOOKUP('Données projet'!$B$12,Paramètres!$A$1:$I$89,3,0)*VLOOKUP('Données projet'!$B$12,Paramètres!$A$1:$I$89,5,0)</f>
        <v>-5.4092197387944907E-14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292.61712942007972</v>
      </c>
      <c r="CE136" s="59">
        <f t="shared" si="148"/>
        <v>152.23954167722536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44.515576070636712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44.515576070636712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-5.6843418860808015E-14</v>
      </c>
      <c r="CU136" s="17">
        <f>CT136*VLOOKUP('Données projet'!$B$13,Paramètres!$A$1:$I$89,3,0)*VLOOKUP('Données projet'!$B$13,Paramètres!$A$1:$I$89,5,0)</f>
        <v>-5.4978954722173515E-14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296.78766823247003</v>
      </c>
      <c r="CZ136" s="59">
        <f t="shared" si="150"/>
        <v>154.08406475869634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70.541806676152063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70.541806676152063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229.61973863654862</v>
      </c>
      <c r="T137" s="59">
        <f t="shared" si="142"/>
        <v>254.08208375594052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21.058118156391235</v>
      </c>
      <c r="AA137" s="21">
        <f>EXP(-LN(2)/25)*AA136+(1-EXP(-LN(2)/25))/(LN(2)/25)*Calculateur!V137*Calculateur!X137*VLOOKUP('Données projet'!$B$9,Paramètres!$A$1:$I$89,3,0)*0.475*44/12</f>
        <v>7.6605232183056087</v>
      </c>
      <c r="AB137" s="21">
        <f>EXP(-LN(2)/2)*AB136+(1-EXP(-LN(2)/2))/(LN(2)/2)*V137*Y137*VLOOKUP('Données projet'!$B$9,Paramètres!$A$1:$I$89,3,0)*0.475*44/12</f>
        <v>4.0027704250272654E-10</v>
      </c>
      <c r="AC137" s="22">
        <f t="shared" si="111"/>
        <v>28.718641375097121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2.2737367544323206E-13</v>
      </c>
      <c r="AJ137" s="13">
        <f>AI137*VLOOKUP('Données projet'!$B$10,Paramètres!$A$1:$I$89,3,0)*VLOOKUP('Données projet'!$B$10,Paramètres!$A$1:$I$89,5,0)</f>
        <v>1.3596945791505279E-13</v>
      </c>
      <c r="AK137" s="13">
        <f t="shared" si="143"/>
        <v>1.9708830566360721E-12</v>
      </c>
      <c r="AL137" s="20">
        <f t="shared" si="112"/>
        <v>3.669434796176543E-12</v>
      </c>
      <c r="AM137" s="59">
        <f t="shared" si="113"/>
        <v>293.33333333333701</v>
      </c>
      <c r="AN137" s="59">
        <f ca="1">AVERAGE(OFFSET($AM$3,0,0,'Données projet'!$E$10+1,1))-AVERAGE(OFFSET($H$3,0,0,'Données projet'!$E$10+1,1))</f>
        <v>348.76139845974495</v>
      </c>
      <c r="AO137" s="59">
        <f t="shared" si="144"/>
        <v>398.5142967182872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40.833432611768849</v>
      </c>
      <c r="AV137" s="21">
        <f>EXP(-LN(2)/25)*AV136+(1-EXP(-LN(2)/25))/(LN(2)/25)*Calculateur!AQ137*Calculateur!AS137*VLOOKUP('Données projet'!$B$10,Paramètres!$A$1:$I$89,3,0)*0.475*44/12</f>
        <v>7.3053636165967184</v>
      </c>
      <c r="AW137" s="21">
        <f>EXP(-LN(2)/2)*AW136+(1-EXP(-LN(2)/2))/(LN(2)/2)*AQ137*AT137*VLOOKUP('Données projet'!$B$10,Paramètres!$A$1:$I$89,3,0)*0.475*44/12</f>
        <v>3.4648521701296133E-10</v>
      </c>
      <c r="AX137" s="21">
        <f t="shared" si="114"/>
        <v>48.138796228712046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-5.1159076974727213E-13</v>
      </c>
      <c r="BE137" s="13">
        <f>BD137*VLOOKUP('Données projet'!$B$11,Paramètres!$A$1:$I$89,3,0)*VLOOKUP('Données projet'!$B$11,Paramètres!$A$1:$I$89,5,0)</f>
        <v>-5.1875304052373401E-13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413.81510455446738</v>
      </c>
      <c r="BJ137" s="59">
        <f t="shared" si="146"/>
        <v>254.25036207346602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105.64376334419561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105.64376334419561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-5.6843418860808015E-14</v>
      </c>
      <c r="BZ137" s="13">
        <f>BY137*VLOOKUP('Données projet'!$B$12,Paramètres!$A$1:$I$89,3,0)*VLOOKUP('Données projet'!$B$12,Paramètres!$A$1:$I$89,5,0)</f>
        <v>-5.4092197387944907E-14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292.61712942007972</v>
      </c>
      <c r="CE137" s="59">
        <f t="shared" si="148"/>
        <v>152.23954167722536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43.642652775711909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43.642652775711909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-5.6843418860808015E-14</v>
      </c>
      <c r="CU137" s="17">
        <f>CT137*VLOOKUP('Données projet'!$B$13,Paramètres!$A$1:$I$89,3,0)*VLOOKUP('Données projet'!$B$13,Paramètres!$A$1:$I$89,5,0)</f>
        <v>-5.4978954722173515E-14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296.78766823247003</v>
      </c>
      <c r="CZ137" s="59">
        <f t="shared" si="150"/>
        <v>154.08406475869634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69.1585248734863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69.1585248734863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229.61973863654862</v>
      </c>
      <c r="T138" s="59">
        <f t="shared" si="142"/>
        <v>254.08208375594052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20.645181303528219</v>
      </c>
      <c r="AA138" s="21">
        <f>EXP(-LN(2)/25)*AA137+(1-EXP(-LN(2)/25))/(LN(2)/25)*Calculateur!V138*Calculateur!X138*VLOOKUP('Données projet'!$B$9,Paramètres!$A$1:$I$89,3,0)*0.475*44/12</f>
        <v>7.4510458080516342</v>
      </c>
      <c r="AB138" s="21">
        <f>EXP(-LN(2)/2)*AB137+(1-EXP(-LN(2)/2))/(LN(2)/2)*V138*Y138*VLOOKUP('Données projet'!$B$9,Paramètres!$A$1:$I$89,3,0)*0.475*44/12</f>
        <v>2.8303861110697383E-10</v>
      </c>
      <c r="AC138" s="22">
        <f t="shared" si="111"/>
        <v>28.096227111862891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2.2737367544323206E-13</v>
      </c>
      <c r="AJ138" s="13">
        <f>AI138*VLOOKUP('Données projet'!$B$10,Paramètres!$A$1:$I$89,3,0)*VLOOKUP('Données projet'!$B$10,Paramètres!$A$1:$I$89,5,0)</f>
        <v>1.3596945791505279E-13</v>
      </c>
      <c r="AK138" s="13">
        <f t="shared" si="143"/>
        <v>1.9708830566360721E-12</v>
      </c>
      <c r="AL138" s="20">
        <f t="shared" si="112"/>
        <v>3.669434796176543E-12</v>
      </c>
      <c r="AM138" s="59">
        <f t="shared" si="113"/>
        <v>293.33333333333701</v>
      </c>
      <c r="AN138" s="59">
        <f ca="1">AVERAGE(OFFSET($AM$3,0,0,'Données projet'!$E$10+1,1))-AVERAGE(OFFSET($H$3,0,0,'Données projet'!$E$10+1,1))</f>
        <v>348.76139845974495</v>
      </c>
      <c r="AO138" s="59">
        <f t="shared" si="144"/>
        <v>398.5142967182872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40.0327139041867</v>
      </c>
      <c r="AV138" s="21">
        <f>EXP(-LN(2)/25)*AV137+(1-EXP(-LN(2)/25))/(LN(2)/25)*Calculateur!AQ138*Calculateur!AS138*VLOOKUP('Données projet'!$B$10,Paramètres!$A$1:$I$89,3,0)*0.475*44/12</f>
        <v>7.1055980643285048</v>
      </c>
      <c r="AW138" s="21">
        <f>EXP(-LN(2)/2)*AW137+(1-EXP(-LN(2)/2))/(LN(2)/2)*AQ138*AT138*VLOOKUP('Données projet'!$B$10,Paramètres!$A$1:$I$89,3,0)*0.475*44/12</f>
        <v>2.4500204653075748E-10</v>
      </c>
      <c r="AX138" s="21">
        <f t="shared" si="114"/>
        <v>47.138311968760206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-5.1159076974727213E-13</v>
      </c>
      <c r="BE138" s="13">
        <f>BD138*VLOOKUP('Données projet'!$B$11,Paramètres!$A$1:$I$89,3,0)*VLOOKUP('Données projet'!$B$11,Paramètres!$A$1:$I$89,5,0)</f>
        <v>-5.1875304052373401E-13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413.81510455446738</v>
      </c>
      <c r="BJ138" s="59">
        <f t="shared" si="146"/>
        <v>254.25036207346602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103.57215358134901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103.57215358134901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-5.6843418860808015E-14</v>
      </c>
      <c r="BZ138" s="13">
        <f>BY138*VLOOKUP('Données projet'!$B$12,Paramètres!$A$1:$I$89,3,0)*VLOOKUP('Données projet'!$B$12,Paramètres!$A$1:$I$89,5,0)</f>
        <v>-5.4092197387944907E-14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292.61712942007972</v>
      </c>
      <c r="CE138" s="59">
        <f t="shared" si="148"/>
        <v>152.23954167722536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42.786846974169947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42.786846974169947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-5.6843418860808015E-14</v>
      </c>
      <c r="CU138" s="17">
        <f>CT138*VLOOKUP('Données projet'!$B$13,Paramètres!$A$1:$I$89,3,0)*VLOOKUP('Données projet'!$B$13,Paramètres!$A$1:$I$89,5,0)</f>
        <v>-5.4978954722173515E-14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296.78766823247003</v>
      </c>
      <c r="CZ138" s="59">
        <f t="shared" si="150"/>
        <v>154.08406475869634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67.802368383252229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67.802368383252229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229.61973863654862</v>
      </c>
      <c r="T139" s="59">
        <f t="shared" si="142"/>
        <v>254.08208375594052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20.240341890483236</v>
      </c>
      <c r="AA139" s="21">
        <f>EXP(-LN(2)/25)*AA138+(1-EXP(-LN(2)/25))/(LN(2)/25)*Calculateur!V139*Calculateur!X139*VLOOKUP('Données projet'!$B$9,Paramètres!$A$1:$I$89,3,0)*0.475*44/12</f>
        <v>7.247296568596993</v>
      </c>
      <c r="AB139" s="21">
        <f>EXP(-LN(2)/2)*AB138+(1-EXP(-LN(2)/2))/(LN(2)/2)*V139*Y139*VLOOKUP('Données projet'!$B$9,Paramètres!$A$1:$I$89,3,0)*0.475*44/12</f>
        <v>2.0013852125136327E-10</v>
      </c>
      <c r="AC139" s="22">
        <f t="shared" si="111"/>
        <v>27.487638459280369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2.2737367544323206E-13</v>
      </c>
      <c r="AJ139" s="13">
        <f>AI139*VLOOKUP('Données projet'!$B$10,Paramètres!$A$1:$I$89,3,0)*VLOOKUP('Données projet'!$B$10,Paramètres!$A$1:$I$89,5,0)</f>
        <v>1.3596945791505279E-13</v>
      </c>
      <c r="AK139" s="13">
        <f t="shared" si="143"/>
        <v>1.9708830566360721E-12</v>
      </c>
      <c r="AL139" s="20">
        <f t="shared" si="112"/>
        <v>3.669434796176543E-12</v>
      </c>
      <c r="AM139" s="59">
        <f t="shared" si="113"/>
        <v>293.33333333333701</v>
      </c>
      <c r="AN139" s="59">
        <f ca="1">AVERAGE(OFFSET($AM$3,0,0,'Données projet'!$E$10+1,1))-AVERAGE(OFFSET($H$3,0,0,'Données projet'!$E$10+1,1))</f>
        <v>348.76139845974495</v>
      </c>
      <c r="AO139" s="59">
        <f t="shared" si="144"/>
        <v>398.5142967182872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39.247696802070045</v>
      </c>
      <c r="AV139" s="21">
        <f>EXP(-LN(2)/25)*AV138+(1-EXP(-LN(2)/25))/(LN(2)/25)*Calculateur!AQ139*Calculateur!AS139*VLOOKUP('Données projet'!$B$10,Paramètres!$A$1:$I$89,3,0)*0.475*44/12</f>
        <v>6.9112951115922794</v>
      </c>
      <c r="AW139" s="21">
        <f>EXP(-LN(2)/2)*AW138+(1-EXP(-LN(2)/2))/(LN(2)/2)*AQ139*AT139*VLOOKUP('Données projet'!$B$10,Paramètres!$A$1:$I$89,3,0)*0.475*44/12</f>
        <v>1.7324260850648067E-10</v>
      </c>
      <c r="AX139" s="21">
        <f t="shared" si="114"/>
        <v>46.158991913835571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-5.1159076974727213E-13</v>
      </c>
      <c r="BE139" s="13">
        <f>BD139*VLOOKUP('Données projet'!$B$11,Paramètres!$A$1:$I$89,3,0)*VLOOKUP('Données projet'!$B$11,Paramètres!$A$1:$I$89,5,0)</f>
        <v>-5.1875304052373401E-13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413.81510455446738</v>
      </c>
      <c r="BJ139" s="59">
        <f t="shared" si="146"/>
        <v>254.25036207346602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101.54116682239464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101.54116682239464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-5.6843418860808015E-14</v>
      </c>
      <c r="BZ139" s="13">
        <f>BY139*VLOOKUP('Données projet'!$B$12,Paramètres!$A$1:$I$89,3,0)*VLOOKUP('Données projet'!$B$12,Paramètres!$A$1:$I$89,5,0)</f>
        <v>-5.4092197387944907E-14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292.61712942007972</v>
      </c>
      <c r="CE139" s="59">
        <f t="shared" si="148"/>
        <v>152.23954167722536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41.947823002406224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41.947823002406224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-5.6843418860808015E-14</v>
      </c>
      <c r="CU139" s="17">
        <f>CT139*VLOOKUP('Données projet'!$B$13,Paramètres!$A$1:$I$89,3,0)*VLOOKUP('Données projet'!$B$13,Paramètres!$A$1:$I$89,5,0)</f>
        <v>-5.4978954722173515E-14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296.78766823247003</v>
      </c>
      <c r="CZ139" s="59">
        <f t="shared" si="150"/>
        <v>154.08406475869634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66.472805294617871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66.472805294617871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229.61973863654862</v>
      </c>
      <c r="T140" s="59">
        <f t="shared" si="142"/>
        <v>254.08208375594052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19.843441131400407</v>
      </c>
      <c r="AA140" s="21">
        <f>EXP(-LN(2)/25)*AA139+(1-EXP(-LN(2)/25))/(LN(2)/25)*Calculateur!V140*Calculateur!X140*VLOOKUP('Données projet'!$B$9,Paramètres!$A$1:$I$89,3,0)*0.475*44/12</f>
        <v>7.0491188628099453</v>
      </c>
      <c r="AB140" s="21">
        <f>EXP(-LN(2)/2)*AB139+(1-EXP(-LN(2)/2))/(LN(2)/2)*V140*Y140*VLOOKUP('Données projet'!$B$9,Paramètres!$A$1:$I$89,3,0)*0.475*44/12</f>
        <v>1.4151930555348692E-10</v>
      </c>
      <c r="AC140" s="22">
        <f t="shared" si="111"/>
        <v>26.892559994351871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2.2737367544323206E-13</v>
      </c>
      <c r="AJ140" s="13">
        <f>AI140*VLOOKUP('Données projet'!$B$10,Paramètres!$A$1:$I$89,3,0)*VLOOKUP('Données projet'!$B$10,Paramètres!$A$1:$I$89,5,0)</f>
        <v>1.3596945791505279E-13</v>
      </c>
      <c r="AK140" s="13">
        <f t="shared" si="143"/>
        <v>1.9708830566360721E-12</v>
      </c>
      <c r="AL140" s="20">
        <f t="shared" si="112"/>
        <v>3.669434796176543E-12</v>
      </c>
      <c r="AM140" s="59">
        <f t="shared" si="113"/>
        <v>293.33333333333701</v>
      </c>
      <c r="AN140" s="59">
        <f ca="1">AVERAGE(OFFSET($AM$3,0,0,'Données projet'!$E$10+1,1))-AVERAGE(OFFSET($H$3,0,0,'Données projet'!$E$10+1,1))</f>
        <v>348.76139845974495</v>
      </c>
      <c r="AO140" s="59">
        <f t="shared" si="144"/>
        <v>398.5142967182872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38.478073406512749</v>
      </c>
      <c r="AV140" s="21">
        <f>EXP(-LN(2)/25)*AV139+(1-EXP(-LN(2)/25))/(LN(2)/25)*Calculateur!AQ140*Calculateur!AS140*VLOOKUP('Données projet'!$B$10,Paramètres!$A$1:$I$89,3,0)*0.475*44/12</f>
        <v>6.7223053833165745</v>
      </c>
      <c r="AW140" s="21">
        <f>EXP(-LN(2)/2)*AW139+(1-EXP(-LN(2)/2))/(LN(2)/2)*AQ140*AT140*VLOOKUP('Données projet'!$B$10,Paramètres!$A$1:$I$89,3,0)*0.475*44/12</f>
        <v>1.2250102326537874E-10</v>
      </c>
      <c r="AX140" s="21">
        <f t="shared" si="114"/>
        <v>45.20037878995182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-5.1159076974727213E-13</v>
      </c>
      <c r="BE140" s="13">
        <f>BD140*VLOOKUP('Données projet'!$B$11,Paramètres!$A$1:$I$89,3,0)*VLOOKUP('Données projet'!$B$11,Paramètres!$A$1:$I$89,5,0)</f>
        <v>-5.1875304052373401E-13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413.81510455446738</v>
      </c>
      <c r="BJ140" s="59">
        <f t="shared" si="146"/>
        <v>254.25036207346602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99.550006475003769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99.550006475003769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-5.6843418860808015E-14</v>
      </c>
      <c r="BZ140" s="13">
        <f>BY140*VLOOKUP('Données projet'!$B$12,Paramètres!$A$1:$I$89,3,0)*VLOOKUP('Données projet'!$B$12,Paramètres!$A$1:$I$89,5,0)</f>
        <v>-5.4092197387944907E-14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292.61712942007972</v>
      </c>
      <c r="CE140" s="59">
        <f t="shared" si="148"/>
        <v>152.23954167722536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41.1252517789747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41.1252517789747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-5.6843418860808015E-14</v>
      </c>
      <c r="CU140" s="17">
        <f>CT140*VLOOKUP('Données projet'!$B$13,Paramètres!$A$1:$I$89,3,0)*VLOOKUP('Données projet'!$B$13,Paramètres!$A$1:$I$89,5,0)</f>
        <v>-5.4978954722173515E-14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296.78766823247003</v>
      </c>
      <c r="CZ140" s="59">
        <f t="shared" si="150"/>
        <v>154.08406475869634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65.16931412719822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65.16931412719822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229.61973863654862</v>
      </c>
      <c r="T141" s="59">
        <f t="shared" si="142"/>
        <v>254.08208375594052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19.454323354117633</v>
      </c>
      <c r="AA141" s="21">
        <f>EXP(-LN(2)/25)*AA140+(1-EXP(-LN(2)/25))/(LN(2)/25)*Calculateur!V141*Calculateur!X141*VLOOKUP('Données projet'!$B$9,Paramètres!$A$1:$I$89,3,0)*0.475*44/12</f>
        <v>6.8563603368093569</v>
      </c>
      <c r="AB141" s="21">
        <f>EXP(-LN(2)/2)*AB140+(1-EXP(-LN(2)/2))/(LN(2)/2)*V141*Y141*VLOOKUP('Données projet'!$B$9,Paramètres!$A$1:$I$89,3,0)*0.475*44/12</f>
        <v>1.0006926062568163E-10</v>
      </c>
      <c r="AC141" s="22">
        <f t="shared" si="111"/>
        <v>26.310683691027059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2.2737367544323206E-13</v>
      </c>
      <c r="AJ141" s="13">
        <f>AI141*VLOOKUP('Données projet'!$B$10,Paramètres!$A$1:$I$89,3,0)*VLOOKUP('Données projet'!$B$10,Paramètres!$A$1:$I$89,5,0)</f>
        <v>1.3596945791505279E-13</v>
      </c>
      <c r="AK141" s="13">
        <f t="shared" si="143"/>
        <v>1.9708830566360721E-12</v>
      </c>
      <c r="AL141" s="20">
        <f t="shared" si="112"/>
        <v>3.669434796176543E-12</v>
      </c>
      <c r="AM141" s="59">
        <f t="shared" si="113"/>
        <v>293.33333333333701</v>
      </c>
      <c r="AN141" s="59">
        <f ca="1">AVERAGE(OFFSET($AM$3,0,0,'Données projet'!$E$10+1,1))-AVERAGE(OFFSET($H$3,0,0,'Données projet'!$E$10+1,1))</f>
        <v>348.76139845974495</v>
      </c>
      <c r="AO141" s="59">
        <f t="shared" si="144"/>
        <v>398.5142967182872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37.723541856318413</v>
      </c>
      <c r="AV141" s="21">
        <f>EXP(-LN(2)/25)*AV140+(1-EXP(-LN(2)/25))/(LN(2)/25)*Calculateur!AQ141*Calculateur!AS141*VLOOKUP('Données projet'!$B$10,Paramètres!$A$1:$I$89,3,0)*0.475*44/12</f>
        <v>6.5384835890991067</v>
      </c>
      <c r="AW141" s="21">
        <f>EXP(-LN(2)/2)*AW140+(1-EXP(-LN(2)/2))/(LN(2)/2)*AQ141*AT141*VLOOKUP('Données projet'!$B$10,Paramètres!$A$1:$I$89,3,0)*0.475*44/12</f>
        <v>8.6621304253240334E-11</v>
      </c>
      <c r="AX141" s="21">
        <f t="shared" si="114"/>
        <v>44.262025445504143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-5.1159076974727213E-13</v>
      </c>
      <c r="BE141" s="13">
        <f>BD141*VLOOKUP('Données projet'!$B$11,Paramètres!$A$1:$I$89,3,0)*VLOOKUP('Données projet'!$B$11,Paramètres!$A$1:$I$89,5,0)</f>
        <v>-5.1875304052373401E-13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413.81510455446738</v>
      </c>
      <c r="BJ141" s="59">
        <f t="shared" si="146"/>
        <v>254.25036207346602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97.597891567537346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97.597891567537346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-5.6843418860808015E-14</v>
      </c>
      <c r="BZ141" s="13">
        <f>BY141*VLOOKUP('Données projet'!$B$12,Paramètres!$A$1:$I$89,3,0)*VLOOKUP('Données projet'!$B$12,Paramètres!$A$1:$I$89,5,0)</f>
        <v>-5.4092197387944907E-14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292.61712942007972</v>
      </c>
      <c r="CE141" s="59">
        <f t="shared" si="148"/>
        <v>152.23954167722536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40.318810675515756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40.318810675515756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-5.6843418860808015E-14</v>
      </c>
      <c r="CU141" s="17">
        <f>CT141*VLOOKUP('Données projet'!$B$13,Paramètres!$A$1:$I$89,3,0)*VLOOKUP('Données projet'!$B$13,Paramètres!$A$1:$I$89,5,0)</f>
        <v>-5.4978954722173515E-14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296.78766823247003</v>
      </c>
      <c r="CZ141" s="59">
        <f t="shared" si="150"/>
        <v>154.08406475869634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63.891383626520557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63.891383626520557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229.61973863654862</v>
      </c>
      <c r="T142" s="59">
        <f t="shared" si="142"/>
        <v>254.08208375594052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19.072835939108966</v>
      </c>
      <c r="AA142" s="21">
        <f>EXP(-LN(2)/25)*AA141+(1-EXP(-LN(2)/25))/(LN(2)/25)*Calculateur!V142*Calculateur!X142*VLOOKUP('Données projet'!$B$9,Paramètres!$A$1:$I$89,3,0)*0.475*44/12</f>
        <v>6.668872802838985</v>
      </c>
      <c r="AB142" s="21">
        <f>EXP(-LN(2)/2)*AB141+(1-EXP(-LN(2)/2))/(LN(2)/2)*V142*Y142*VLOOKUP('Données projet'!$B$9,Paramètres!$A$1:$I$89,3,0)*0.475*44/12</f>
        <v>7.0759652776743458E-11</v>
      </c>
      <c r="AC142" s="22">
        <f t="shared" si="111"/>
        <v>25.741708742018712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2.2737367544323206E-13</v>
      </c>
      <c r="AJ142" s="13">
        <f>AI142*VLOOKUP('Données projet'!$B$10,Paramètres!$A$1:$I$89,3,0)*VLOOKUP('Données projet'!$B$10,Paramètres!$A$1:$I$89,5,0)</f>
        <v>1.3596945791505279E-13</v>
      </c>
      <c r="AK142" s="13">
        <f t="shared" si="143"/>
        <v>1.9708830566360721E-12</v>
      </c>
      <c r="AL142" s="20">
        <f t="shared" si="112"/>
        <v>3.669434796176543E-12</v>
      </c>
      <c r="AM142" s="59">
        <f t="shared" si="113"/>
        <v>293.33333333333701</v>
      </c>
      <c r="AN142" s="59">
        <f ca="1">AVERAGE(OFFSET($AM$3,0,0,'Données projet'!$E$10+1,1))-AVERAGE(OFFSET($H$3,0,0,'Données projet'!$E$10+1,1))</f>
        <v>348.76139845974495</v>
      </c>
      <c r="AO142" s="59">
        <f t="shared" si="144"/>
        <v>398.5142967182872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36.98380620960458</v>
      </c>
      <c r="AV142" s="21">
        <f>EXP(-LN(2)/25)*AV141+(1-EXP(-LN(2)/25))/(LN(2)/25)*Calculateur!AQ142*Calculateur!AS142*VLOOKUP('Données projet'!$B$10,Paramètres!$A$1:$I$89,3,0)*0.475*44/12</f>
        <v>6.3596884115112839</v>
      </c>
      <c r="AW142" s="21">
        <f>EXP(-LN(2)/2)*AW141+(1-EXP(-LN(2)/2))/(LN(2)/2)*AQ142*AT142*VLOOKUP('Données projet'!$B$10,Paramètres!$A$1:$I$89,3,0)*0.475*44/12</f>
        <v>6.125051163268937E-11</v>
      </c>
      <c r="AX142" s="21">
        <f t="shared" si="114"/>
        <v>43.343494621177115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-5.1159076974727213E-13</v>
      </c>
      <c r="BE142" s="13">
        <f>BD142*VLOOKUP('Données projet'!$B$11,Paramètres!$A$1:$I$89,3,0)*VLOOKUP('Données projet'!$B$11,Paramètres!$A$1:$I$89,5,0)</f>
        <v>-5.1875304052373401E-13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413.81510455446738</v>
      </c>
      <c r="BJ142" s="59">
        <f t="shared" si="146"/>
        <v>254.25036207346602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95.684056442733805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95.684056442733805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-5.6843418860808015E-14</v>
      </c>
      <c r="BZ142" s="13">
        <f>BY142*VLOOKUP('Données projet'!$B$12,Paramètres!$A$1:$I$89,3,0)*VLOOKUP('Données projet'!$B$12,Paramètres!$A$1:$I$89,5,0)</f>
        <v>-5.4092197387944907E-14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292.61712942007972</v>
      </c>
      <c r="CE142" s="59">
        <f t="shared" si="148"/>
        <v>152.23954167722536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39.52818339021514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39.52818339021514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-5.6843418860808015E-14</v>
      </c>
      <c r="CU142" s="17">
        <f>CT142*VLOOKUP('Données projet'!$B$13,Paramètres!$A$1:$I$89,3,0)*VLOOKUP('Données projet'!$B$13,Paramètres!$A$1:$I$89,5,0)</f>
        <v>-5.4978954722173515E-14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296.78766823247003</v>
      </c>
      <c r="CZ142" s="59">
        <f t="shared" si="150"/>
        <v>154.08406475869634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62.638512563500541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62.638512563500541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229.61973863654862</v>
      </c>
      <c r="T143" s="59">
        <f t="shared" si="142"/>
        <v>254.08208375594052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18.698829259624272</v>
      </c>
      <c r="AA143" s="21">
        <f>EXP(-LN(2)/25)*AA142+(1-EXP(-LN(2)/25))/(LN(2)/25)*Calculateur!V143*Calculateur!X143*VLOOKUP('Données projet'!$B$9,Paramètres!$A$1:$I$89,3,0)*0.475*44/12</f>
        <v>6.4865121253445741</v>
      </c>
      <c r="AB143" s="21">
        <f>EXP(-LN(2)/2)*AB142+(1-EXP(-LN(2)/2))/(LN(2)/2)*V143*Y143*VLOOKUP('Données projet'!$B$9,Paramètres!$A$1:$I$89,3,0)*0.475*44/12</f>
        <v>5.0034630312840817E-11</v>
      </c>
      <c r="AC143" s="22">
        <f t="shared" si="111"/>
        <v>25.18534138501888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2.2737367544323206E-13</v>
      </c>
      <c r="AJ143" s="13">
        <f>AI143*VLOOKUP('Données projet'!$B$10,Paramètres!$A$1:$I$89,3,0)*VLOOKUP('Données projet'!$B$10,Paramètres!$A$1:$I$89,5,0)</f>
        <v>1.3596945791505279E-13</v>
      </c>
      <c r="AK143" s="13">
        <f t="shared" si="143"/>
        <v>1.9708830566360721E-12</v>
      </c>
      <c r="AL143" s="20">
        <f t="shared" si="112"/>
        <v>3.669434796176543E-12</v>
      </c>
      <c r="AM143" s="59">
        <f t="shared" si="113"/>
        <v>293.33333333333701</v>
      </c>
      <c r="AN143" s="59">
        <f ca="1">AVERAGE(OFFSET($AM$3,0,0,'Données projet'!$E$10+1,1))-AVERAGE(OFFSET($H$3,0,0,'Données projet'!$E$10+1,1))</f>
        <v>348.76139845974495</v>
      </c>
      <c r="AO143" s="59">
        <f t="shared" si="144"/>
        <v>398.5142967182872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36.258576327728612</v>
      </c>
      <c r="AV143" s="21">
        <f>EXP(-LN(2)/25)*AV142+(1-EXP(-LN(2)/25))/(LN(2)/25)*Calculateur!AQ143*Calculateur!AS143*VLOOKUP('Données projet'!$B$10,Paramètres!$A$1:$I$89,3,0)*0.475*44/12</f>
        <v>6.1857823974570296</v>
      </c>
      <c r="AW143" s="21">
        <f>EXP(-LN(2)/2)*AW142+(1-EXP(-LN(2)/2))/(LN(2)/2)*AQ143*AT143*VLOOKUP('Données projet'!$B$10,Paramètres!$A$1:$I$89,3,0)*0.475*44/12</f>
        <v>4.3310652126620167E-11</v>
      </c>
      <c r="AX143" s="21">
        <f t="shared" si="114"/>
        <v>42.444358725228952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-5.1159076974727213E-13</v>
      </c>
      <c r="BE143" s="13">
        <f>BD143*VLOOKUP('Données projet'!$B$11,Paramètres!$A$1:$I$89,3,0)*VLOOKUP('Données projet'!$B$11,Paramètres!$A$1:$I$89,5,0)</f>
        <v>-5.1875304052373401E-13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413.81510455446738</v>
      </c>
      <c r="BJ143" s="59">
        <f t="shared" si="146"/>
        <v>254.25036207346602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93.8077504574035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93.8077504574035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-5.6843418860808015E-14</v>
      </c>
      <c r="BZ143" s="13">
        <f>BY143*VLOOKUP('Données projet'!$B$12,Paramètres!$A$1:$I$89,3,0)*VLOOKUP('Données projet'!$B$12,Paramètres!$A$1:$I$89,5,0)</f>
        <v>-5.4092197387944907E-14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292.61712942007972</v>
      </c>
      <c r="CE143" s="59">
        <f t="shared" si="148"/>
        <v>152.23954167722536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38.753059823744245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38.753059823744245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-5.6843418860808015E-14</v>
      </c>
      <c r="CU143" s="17">
        <f>CT143*VLOOKUP('Données projet'!$B$13,Paramètres!$A$1:$I$89,3,0)*VLOOKUP('Données projet'!$B$13,Paramètres!$A$1:$I$89,5,0)</f>
        <v>-5.4978954722173515E-14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296.78766823247003</v>
      </c>
      <c r="CZ143" s="59">
        <f t="shared" si="150"/>
        <v>154.08406475869634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61.410209537850456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61.410209537850456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229.61973863654862</v>
      </c>
      <c r="T144" s="59">
        <f t="shared" si="142"/>
        <v>254.08208375594052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18.332156623002721</v>
      </c>
      <c r="AA144" s="21">
        <f>EXP(-LN(2)/25)*AA143+(1-EXP(-LN(2)/25))/(LN(2)/25)*Calculateur!V144*Calculateur!X144*VLOOKUP('Données projet'!$B$9,Paramètres!$A$1:$I$89,3,0)*0.475*44/12</f>
        <v>6.3091381101661792</v>
      </c>
      <c r="AB144" s="21">
        <f>EXP(-LN(2)/2)*AB143+(1-EXP(-LN(2)/2))/(LN(2)/2)*V144*Y144*VLOOKUP('Données projet'!$B$9,Paramètres!$A$1:$I$89,3,0)*0.475*44/12</f>
        <v>3.5379826388371729E-11</v>
      </c>
      <c r="AC144" s="22">
        <f t="shared" si="111"/>
        <v>24.64129473320428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2.2737367544323206E-13</v>
      </c>
      <c r="AJ144" s="13">
        <f>AI144*VLOOKUP('Données projet'!$B$10,Paramètres!$A$1:$I$89,3,0)*VLOOKUP('Données projet'!$B$10,Paramètres!$A$1:$I$89,5,0)</f>
        <v>1.3596945791505279E-13</v>
      </c>
      <c r="AK144" s="13">
        <f t="shared" si="143"/>
        <v>1.9708830566360721E-12</v>
      </c>
      <c r="AL144" s="20">
        <f t="shared" si="112"/>
        <v>3.669434796176543E-12</v>
      </c>
      <c r="AM144" s="59">
        <f t="shared" si="113"/>
        <v>293.33333333333701</v>
      </c>
      <c r="AN144" s="59">
        <f ca="1">AVERAGE(OFFSET($AM$3,0,0,'Données projet'!$E$10+1,1))-AVERAGE(OFFSET($H$3,0,0,'Données projet'!$E$10+1,1))</f>
        <v>348.76139845974495</v>
      </c>
      <c r="AO144" s="59">
        <f t="shared" si="144"/>
        <v>398.5142967182872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35.547567761489688</v>
      </c>
      <c r="AV144" s="21">
        <f>EXP(-LN(2)/25)*AV143+(1-EXP(-LN(2)/25))/(LN(2)/25)*Calculateur!AQ144*Calculateur!AS144*VLOOKUP('Données projet'!$B$10,Paramètres!$A$1:$I$89,3,0)*0.475*44/12</f>
        <v>6.0166318525024085</v>
      </c>
      <c r="AW144" s="21">
        <f>EXP(-LN(2)/2)*AW143+(1-EXP(-LN(2)/2))/(LN(2)/2)*AQ144*AT144*VLOOKUP('Données projet'!$B$10,Paramètres!$A$1:$I$89,3,0)*0.475*44/12</f>
        <v>3.0625255816344685E-11</v>
      </c>
      <c r="AX144" s="21">
        <f t="shared" si="114"/>
        <v>41.564199614022719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-5.1159076974727213E-13</v>
      </c>
      <c r="BE144" s="13">
        <f>BD144*VLOOKUP('Données projet'!$B$11,Paramètres!$A$1:$I$89,3,0)*VLOOKUP('Données projet'!$B$11,Paramètres!$A$1:$I$89,5,0)</f>
        <v>-5.1875304052373401E-13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413.81510455446738</v>
      </c>
      <c r="BJ144" s="59">
        <f t="shared" si="146"/>
        <v>254.25036207346602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91.968237688011882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91.968237688011882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-5.6843418860808015E-14</v>
      </c>
      <c r="BZ144" s="13">
        <f>BY144*VLOOKUP('Données projet'!$B$12,Paramètres!$A$1:$I$89,3,0)*VLOOKUP('Données projet'!$B$12,Paramètres!$A$1:$I$89,5,0)</f>
        <v>-5.4092197387944907E-14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292.61712942007972</v>
      </c>
      <c r="CE144" s="59">
        <f t="shared" si="148"/>
        <v>152.23954167722536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37.99313595763315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37.99313595763315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-5.6843418860808015E-14</v>
      </c>
      <c r="CU144" s="17">
        <f>CT144*VLOOKUP('Données projet'!$B$13,Paramètres!$A$1:$I$89,3,0)*VLOOKUP('Données projet'!$B$13,Paramètres!$A$1:$I$89,5,0)</f>
        <v>-5.4978954722173515E-14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296.78766823247003</v>
      </c>
      <c r="CZ144" s="59">
        <f t="shared" si="150"/>
        <v>154.08406475869634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60.205992785342502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60.205992785342502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229.61973863654862</v>
      </c>
      <c r="T145" s="59">
        <f t="shared" si="142"/>
        <v>254.08208375594052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17.972674213137093</v>
      </c>
      <c r="AA145" s="21">
        <f>EXP(-LN(2)/25)*AA144+(1-EXP(-LN(2)/25))/(LN(2)/25)*Calculateur!V145*Calculateur!X145*VLOOKUP('Données projet'!$B$9,Paramètres!$A$1:$I$89,3,0)*0.475*44/12</f>
        <v>6.1366143967605318</v>
      </c>
      <c r="AB145" s="21">
        <f>EXP(-LN(2)/2)*AB144+(1-EXP(-LN(2)/2))/(LN(2)/2)*V145*Y145*VLOOKUP('Données projet'!$B$9,Paramètres!$A$1:$I$89,3,0)*0.475*44/12</f>
        <v>2.5017315156420409E-11</v>
      </c>
      <c r="AC145" s="22">
        <f t="shared" si="111"/>
        <v>24.109288609922643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2.2737367544323206E-13</v>
      </c>
      <c r="AJ145" s="13">
        <f>AI145*VLOOKUP('Données projet'!$B$10,Paramètres!$A$1:$I$89,3,0)*VLOOKUP('Données projet'!$B$10,Paramètres!$A$1:$I$89,5,0)</f>
        <v>1.3596945791505279E-13</v>
      </c>
      <c r="AK145" s="13">
        <f t="shared" si="143"/>
        <v>1.9708830566360721E-12</v>
      </c>
      <c r="AL145" s="20">
        <f t="shared" si="112"/>
        <v>3.669434796176543E-12</v>
      </c>
      <c r="AM145" s="59">
        <f t="shared" si="113"/>
        <v>293.33333333333701</v>
      </c>
      <c r="AN145" s="59">
        <f ca="1">AVERAGE(OFFSET($AM$3,0,0,'Données projet'!$E$10+1,1))-AVERAGE(OFFSET($H$3,0,0,'Données projet'!$E$10+1,1))</f>
        <v>348.76139845974495</v>
      </c>
      <c r="AO145" s="59">
        <f t="shared" si="144"/>
        <v>398.5142967182872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34.850501639562303</v>
      </c>
      <c r="AV145" s="21">
        <f>EXP(-LN(2)/25)*AV144+(1-EXP(-LN(2)/25))/(LN(2)/25)*Calculateur!AQ145*Calculateur!AS145*VLOOKUP('Données projet'!$B$10,Paramètres!$A$1:$I$89,3,0)*0.475*44/12</f>
        <v>5.852106738094812</v>
      </c>
      <c r="AW145" s="21">
        <f>EXP(-LN(2)/2)*AW144+(1-EXP(-LN(2)/2))/(LN(2)/2)*AQ145*AT145*VLOOKUP('Données projet'!$B$10,Paramètres!$A$1:$I$89,3,0)*0.475*44/12</f>
        <v>2.1655326063310083E-11</v>
      </c>
      <c r="AX145" s="21">
        <f t="shared" si="114"/>
        <v>40.702608377678771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-5.1159076974727213E-13</v>
      </c>
      <c r="BE145" s="13">
        <f>BD145*VLOOKUP('Données projet'!$B$11,Paramètres!$A$1:$I$89,3,0)*VLOOKUP('Données projet'!$B$11,Paramètres!$A$1:$I$89,5,0)</f>
        <v>-5.1875304052373401E-13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413.81510455446738</v>
      </c>
      <c r="BJ145" s="59">
        <f t="shared" si="146"/>
        <v>254.25036207346602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90.164796642036023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90.164796642036023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-5.6843418860808015E-14</v>
      </c>
      <c r="BZ145" s="13">
        <f>BY145*VLOOKUP('Données projet'!$B$12,Paramètres!$A$1:$I$89,3,0)*VLOOKUP('Données projet'!$B$12,Paramètres!$A$1:$I$89,5,0)</f>
        <v>-5.4092197387944907E-14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292.61712942007972</v>
      </c>
      <c r="CE145" s="59">
        <f t="shared" si="148"/>
        <v>152.23954167722536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37.248113735028703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37.248113735028703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-5.6843418860808015E-14</v>
      </c>
      <c r="CU145" s="17">
        <f>CT145*VLOOKUP('Données projet'!$B$13,Paramètres!$A$1:$I$89,3,0)*VLOOKUP('Données projet'!$B$13,Paramètres!$A$1:$I$89,5,0)</f>
        <v>-5.4978954722173515E-14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296.78766823247003</v>
      </c>
      <c r="CZ145" s="59">
        <f t="shared" si="150"/>
        <v>154.08406475869634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59.025389988851536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59.025389988851536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229.61973863654862</v>
      </c>
      <c r="T146" s="59">
        <f t="shared" si="142"/>
        <v>254.08208375594052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17.620241034066314</v>
      </c>
      <c r="AA146" s="21">
        <f>EXP(-LN(2)/25)*AA145+(1-EXP(-LN(2)/25))/(LN(2)/25)*Calculateur!V146*Calculateur!X146*VLOOKUP('Données projet'!$B$9,Paramètres!$A$1:$I$89,3,0)*0.475*44/12</f>
        <v>5.9688083533705889</v>
      </c>
      <c r="AB146" s="21">
        <f>EXP(-LN(2)/2)*AB145+(1-EXP(-LN(2)/2))/(LN(2)/2)*V146*Y146*VLOOKUP('Données projet'!$B$9,Paramètres!$A$1:$I$89,3,0)*0.475*44/12</f>
        <v>1.7689913194185865E-11</v>
      </c>
      <c r="AC146" s="22">
        <f t="shared" si="111"/>
        <v>23.58904938745459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2.2737367544323206E-13</v>
      </c>
      <c r="AJ146" s="13">
        <f>AI146*VLOOKUP('Données projet'!$B$10,Paramètres!$A$1:$I$89,3,0)*VLOOKUP('Données projet'!$B$10,Paramètres!$A$1:$I$89,5,0)</f>
        <v>1.3596945791505279E-13</v>
      </c>
      <c r="AK146" s="13">
        <f t="shared" si="143"/>
        <v>1.9708830566360721E-12</v>
      </c>
      <c r="AL146" s="20">
        <f t="shared" si="112"/>
        <v>3.669434796176543E-12</v>
      </c>
      <c r="AM146" s="59">
        <f t="shared" si="113"/>
        <v>293.33333333333701</v>
      </c>
      <c r="AN146" s="59">
        <f ca="1">AVERAGE(OFFSET($AM$3,0,0,'Données projet'!$E$10+1,1))-AVERAGE(OFFSET($H$3,0,0,'Données projet'!$E$10+1,1))</f>
        <v>348.76139845974495</v>
      </c>
      <c r="AO146" s="59">
        <f t="shared" si="144"/>
        <v>398.5142967182872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34.167104559117561</v>
      </c>
      <c r="AV146" s="21">
        <f>EXP(-LN(2)/25)*AV145+(1-EXP(-LN(2)/25))/(LN(2)/25)*Calculateur!AQ146*Calculateur!AS146*VLOOKUP('Données projet'!$B$10,Paramètres!$A$1:$I$89,3,0)*0.475*44/12</f>
        <v>5.6920805715926912</v>
      </c>
      <c r="AW146" s="21">
        <f>EXP(-LN(2)/2)*AW145+(1-EXP(-LN(2)/2))/(LN(2)/2)*AQ146*AT146*VLOOKUP('Données projet'!$B$10,Paramètres!$A$1:$I$89,3,0)*0.475*44/12</f>
        <v>1.5312627908172342E-11</v>
      </c>
      <c r="AX146" s="21">
        <f t="shared" si="114"/>
        <v>39.859185130725564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-5.1159076974727213E-13</v>
      </c>
      <c r="BE146" s="13">
        <f>BD146*VLOOKUP('Données projet'!$B$11,Paramètres!$A$1:$I$89,3,0)*VLOOKUP('Données projet'!$B$11,Paramètres!$A$1:$I$89,5,0)</f>
        <v>-5.1875304052373401E-13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413.81510455446738</v>
      </c>
      <c r="BJ146" s="59">
        <f t="shared" si="146"/>
        <v>254.25036207346602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88.396719974981337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88.396719974981337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-5.6843418860808015E-14</v>
      </c>
      <c r="BZ146" s="13">
        <f>BY146*VLOOKUP('Données projet'!$B$12,Paramètres!$A$1:$I$89,3,0)*VLOOKUP('Données projet'!$B$12,Paramètres!$A$1:$I$89,5,0)</f>
        <v>-5.4092197387944907E-14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292.61712942007972</v>
      </c>
      <c r="CE146" s="59">
        <f t="shared" si="148"/>
        <v>152.23954167722536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36.517700943790842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36.517700943790842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-5.6843418860808015E-14</v>
      </c>
      <c r="CU146" s="17">
        <f>CT146*VLOOKUP('Données projet'!$B$13,Paramètres!$A$1:$I$89,3,0)*VLOOKUP('Données projet'!$B$13,Paramètres!$A$1:$I$89,5,0)</f>
        <v>-5.4978954722173515E-14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296.78766823247003</v>
      </c>
      <c r="CZ146" s="59">
        <f t="shared" si="150"/>
        <v>154.08406475869634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57.867938093103156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57.867938093103156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229.61973863654862</v>
      </c>
      <c r="T147" s="59">
        <f t="shared" si="142"/>
        <v>254.08208375594052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17.274718854674099</v>
      </c>
      <c r="AA147" s="21">
        <f>EXP(-LN(2)/25)*AA146+(1-EXP(-LN(2)/25))/(LN(2)/25)*Calculateur!V147*Calculateur!X147*VLOOKUP('Données projet'!$B$9,Paramètres!$A$1:$I$89,3,0)*0.475*44/12</f>
        <v>5.8055909750616808</v>
      </c>
      <c r="AB147" s="21">
        <f>EXP(-LN(2)/2)*AB146+(1-EXP(-LN(2)/2))/(LN(2)/2)*V147*Y147*VLOOKUP('Données projet'!$B$9,Paramètres!$A$1:$I$89,3,0)*0.475*44/12</f>
        <v>1.2508657578210204E-11</v>
      </c>
      <c r="AC147" s="22">
        <f t="shared" si="111"/>
        <v>23.080309829748288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2.2737367544323206E-13</v>
      </c>
      <c r="AJ147" s="13">
        <f>AI147*VLOOKUP('Données projet'!$B$10,Paramètres!$A$1:$I$89,3,0)*VLOOKUP('Données projet'!$B$10,Paramètres!$A$1:$I$89,5,0)</f>
        <v>1.3596945791505279E-13</v>
      </c>
      <c r="AK147" s="13">
        <f t="shared" si="143"/>
        <v>1.9708830566360721E-12</v>
      </c>
      <c r="AL147" s="20">
        <f t="shared" si="112"/>
        <v>3.669434796176543E-12</v>
      </c>
      <c r="AM147" s="59">
        <f t="shared" si="113"/>
        <v>293.33333333333701</v>
      </c>
      <c r="AN147" s="59">
        <f ca="1">AVERAGE(OFFSET($AM$3,0,0,'Données projet'!$E$10+1,1))-AVERAGE(OFFSET($H$3,0,0,'Données projet'!$E$10+1,1))</f>
        <v>348.76139845974495</v>
      </c>
      <c r="AO147" s="59">
        <f t="shared" si="144"/>
        <v>398.5142967182872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33.497108478589283</v>
      </c>
      <c r="AV147" s="21">
        <f>EXP(-LN(2)/25)*AV146+(1-EXP(-LN(2)/25))/(LN(2)/25)*Calculateur!AQ147*Calculateur!AS147*VLOOKUP('Données projet'!$B$10,Paramètres!$A$1:$I$89,3,0)*0.475*44/12</f>
        <v>5.5364303290289811</v>
      </c>
      <c r="AW147" s="21">
        <f>EXP(-LN(2)/2)*AW146+(1-EXP(-LN(2)/2))/(LN(2)/2)*AQ147*AT147*VLOOKUP('Données projet'!$B$10,Paramètres!$A$1:$I$89,3,0)*0.475*44/12</f>
        <v>1.0827663031655042E-11</v>
      </c>
      <c r="AX147" s="21">
        <f t="shared" si="114"/>
        <v>39.033538807629093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-5.1159076974727213E-13</v>
      </c>
      <c r="BE147" s="13">
        <f>BD147*VLOOKUP('Données projet'!$B$11,Paramètres!$A$1:$I$89,3,0)*VLOOKUP('Données projet'!$B$11,Paramètres!$A$1:$I$89,5,0)</f>
        <v>-5.1875304052373401E-13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413.81510455446738</v>
      </c>
      <c r="BJ147" s="59">
        <f t="shared" si="146"/>
        <v>254.25036207346602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86.663314212947313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86.663314212947313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-5.6843418860808015E-14</v>
      </c>
      <c r="BZ147" s="13">
        <f>BY147*VLOOKUP('Données projet'!$B$12,Paramètres!$A$1:$I$89,3,0)*VLOOKUP('Données projet'!$B$12,Paramètres!$A$1:$I$89,5,0)</f>
        <v>-5.4092197387944907E-14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292.61712942007972</v>
      </c>
      <c r="CE147" s="59">
        <f t="shared" si="148"/>
        <v>152.23954167722536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35.801611101881342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35.801611101881342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-5.6843418860808015E-14</v>
      </c>
      <c r="CU147" s="17">
        <f>CT147*VLOOKUP('Données projet'!$B$13,Paramètres!$A$1:$I$89,3,0)*VLOOKUP('Données projet'!$B$13,Paramètres!$A$1:$I$89,5,0)</f>
        <v>-5.4978954722173515E-14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296.78766823247003</v>
      </c>
      <c r="CZ147" s="59">
        <f t="shared" si="150"/>
        <v>154.08406475869634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56.733183123054452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56.733183123054452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229.61973863654862</v>
      </c>
      <c r="T148" s="59">
        <f t="shared" si="142"/>
        <v>254.08208375594052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16.935972154472044</v>
      </c>
      <c r="AA148" s="21">
        <f>EXP(-LN(2)/25)*AA147+(1-EXP(-LN(2)/25))/(LN(2)/25)*Calculateur!V148*Calculateur!X148*VLOOKUP('Données projet'!$B$9,Paramètres!$A$1:$I$89,3,0)*0.475*44/12</f>
        <v>5.6468367845458589</v>
      </c>
      <c r="AB148" s="21">
        <f>EXP(-LN(2)/2)*AB147+(1-EXP(-LN(2)/2))/(LN(2)/2)*V148*Y148*VLOOKUP('Données projet'!$B$9,Paramètres!$A$1:$I$89,3,0)*0.475*44/12</f>
        <v>8.8449565970929323E-12</v>
      </c>
      <c r="AC148" s="22">
        <f t="shared" si="111"/>
        <v>22.582808939026748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2.2737367544323206E-13</v>
      </c>
      <c r="AJ148" s="13">
        <f>AI148*VLOOKUP('Données projet'!$B$10,Paramètres!$A$1:$I$89,3,0)*VLOOKUP('Données projet'!$B$10,Paramètres!$A$1:$I$89,5,0)</f>
        <v>1.3596945791505279E-13</v>
      </c>
      <c r="AK148" s="13">
        <f t="shared" si="143"/>
        <v>1.9708830566360721E-12</v>
      </c>
      <c r="AL148" s="20">
        <f t="shared" si="112"/>
        <v>3.669434796176543E-12</v>
      </c>
      <c r="AM148" s="59">
        <f t="shared" si="113"/>
        <v>293.33333333333701</v>
      </c>
      <c r="AN148" s="59">
        <f ca="1">AVERAGE(OFFSET($AM$3,0,0,'Données projet'!$E$10+1,1))-AVERAGE(OFFSET($H$3,0,0,'Données projet'!$E$10+1,1))</f>
        <v>348.76139845974495</v>
      </c>
      <c r="AO148" s="59">
        <f t="shared" si="144"/>
        <v>398.5142967182872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32.840250612542903</v>
      </c>
      <c r="AV148" s="21">
        <f>EXP(-LN(2)/25)*AV147+(1-EXP(-LN(2)/25))/(LN(2)/25)*Calculateur!AQ148*Calculateur!AS148*VLOOKUP('Données projet'!$B$10,Paramètres!$A$1:$I$89,3,0)*0.475*44/12</f>
        <v>5.3850363505334666</v>
      </c>
      <c r="AW148" s="21">
        <f>EXP(-LN(2)/2)*AW147+(1-EXP(-LN(2)/2))/(LN(2)/2)*AQ148*AT148*VLOOKUP('Données projet'!$B$10,Paramètres!$A$1:$I$89,3,0)*0.475*44/12</f>
        <v>7.6563139540861712E-12</v>
      </c>
      <c r="AX148" s="21">
        <f t="shared" si="114"/>
        <v>38.225286963084031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-5.1159076974727213E-13</v>
      </c>
      <c r="BE148" s="13">
        <f>BD148*VLOOKUP('Données projet'!$B$11,Paramètres!$A$1:$I$89,3,0)*VLOOKUP('Données projet'!$B$11,Paramètres!$A$1:$I$89,5,0)</f>
        <v>-5.1875304052373401E-13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413.81510455446738</v>
      </c>
      <c r="BJ148" s="59">
        <f t="shared" si="146"/>
        <v>254.25036207346602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84.963899480633657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84.963899480633657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-5.6843418860808015E-14</v>
      </c>
      <c r="BZ148" s="13">
        <f>BY148*VLOOKUP('Données projet'!$B$12,Paramètres!$A$1:$I$89,3,0)*VLOOKUP('Données projet'!$B$12,Paramètres!$A$1:$I$89,5,0)</f>
        <v>-5.4092197387944907E-14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292.61712942007972</v>
      </c>
      <c r="CE148" s="59">
        <f t="shared" si="148"/>
        <v>152.23954167722536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35.099563345000014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35.099563345000014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-5.6843418860808015E-14</v>
      </c>
      <c r="CU148" s="17">
        <f>CT148*VLOOKUP('Données projet'!$B$13,Paramètres!$A$1:$I$89,3,0)*VLOOKUP('Données projet'!$B$13,Paramètres!$A$1:$I$89,5,0)</f>
        <v>-5.4978954722173515E-14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296.78766823247003</v>
      </c>
      <c r="CZ148" s="59">
        <f t="shared" si="150"/>
        <v>154.08406475869634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55.620680005836213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55.620680005836213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229.61973863654862</v>
      </c>
      <c r="T149" s="59">
        <f t="shared" si="142"/>
        <v>254.08208375594052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16.603868070445866</v>
      </c>
      <c r="AA149" s="21">
        <f>EXP(-LN(2)/25)*AA148+(1-EXP(-LN(2)/25))/(LN(2)/25)*Calculateur!V149*Calculateur!X149*VLOOKUP('Données projet'!$B$9,Paramètres!$A$1:$I$89,3,0)*0.475*44/12</f>
        <v>5.4924237357182122</v>
      </c>
      <c r="AB149" s="21">
        <f>EXP(-LN(2)/2)*AB148+(1-EXP(-LN(2)/2))/(LN(2)/2)*V149*Y149*VLOOKUP('Données projet'!$B$9,Paramètres!$A$1:$I$89,3,0)*0.475*44/12</f>
        <v>6.2543287891051022E-12</v>
      </c>
      <c r="AC149" s="22">
        <f t="shared" si="111"/>
        <v>22.096291806170331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2.2737367544323206E-13</v>
      </c>
      <c r="AJ149" s="13">
        <f>AI149*VLOOKUP('Données projet'!$B$10,Paramètres!$A$1:$I$89,3,0)*VLOOKUP('Données projet'!$B$10,Paramètres!$A$1:$I$89,5,0)</f>
        <v>1.3596945791505279E-13</v>
      </c>
      <c r="AK149" s="13">
        <f t="shared" si="143"/>
        <v>1.9708830566360721E-12</v>
      </c>
      <c r="AL149" s="20">
        <f t="shared" si="112"/>
        <v>3.669434796176543E-12</v>
      </c>
      <c r="AM149" s="59">
        <f t="shared" si="113"/>
        <v>293.33333333333701</v>
      </c>
      <c r="AN149" s="59">
        <f ca="1">AVERAGE(OFFSET($AM$3,0,0,'Données projet'!$E$10+1,1))-AVERAGE(OFFSET($H$3,0,0,'Données projet'!$E$10+1,1))</f>
        <v>348.76139845974495</v>
      </c>
      <c r="AO149" s="59">
        <f t="shared" si="144"/>
        <v>398.5142967182872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32.196273328605955</v>
      </c>
      <c r="AV149" s="21">
        <f>EXP(-LN(2)/25)*AV148+(1-EXP(-LN(2)/25))/(LN(2)/25)*Calculateur!AQ149*Calculateur!AS149*VLOOKUP('Données projet'!$B$10,Paramètres!$A$1:$I$89,3,0)*0.475*44/12</f>
        <v>5.2377822483413752</v>
      </c>
      <c r="AW149" s="21">
        <f>EXP(-LN(2)/2)*AW148+(1-EXP(-LN(2)/2))/(LN(2)/2)*AQ149*AT149*VLOOKUP('Données projet'!$B$10,Paramètres!$A$1:$I$89,3,0)*0.475*44/12</f>
        <v>5.4138315158275208E-12</v>
      </c>
      <c r="AX149" s="21">
        <f t="shared" si="114"/>
        <v>37.434055576952744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-5.1159076974727213E-13</v>
      </c>
      <c r="BE149" s="13">
        <f>BD149*VLOOKUP('Données projet'!$B$11,Paramètres!$A$1:$I$89,3,0)*VLOOKUP('Données projet'!$B$11,Paramètres!$A$1:$I$89,5,0)</f>
        <v>-5.1875304052373401E-13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413.81510455446738</v>
      </c>
      <c r="BJ149" s="59">
        <f t="shared" si="146"/>
        <v>254.25036207346602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83.297809234680031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83.297809234680031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-5.6843418860808015E-14</v>
      </c>
      <c r="BZ149" s="13">
        <f>BY149*VLOOKUP('Données projet'!$B$12,Paramètres!$A$1:$I$89,3,0)*VLOOKUP('Données projet'!$B$12,Paramètres!$A$1:$I$89,5,0)</f>
        <v>-5.4092197387944907E-14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292.61712942007972</v>
      </c>
      <c r="CE149" s="59">
        <f t="shared" si="148"/>
        <v>152.23954167722536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34.411282316424277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34.411282316424277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-5.6843418860808015E-14</v>
      </c>
      <c r="CU149" s="17">
        <f>CT149*VLOOKUP('Données projet'!$B$13,Paramètres!$A$1:$I$89,3,0)*VLOOKUP('Données projet'!$B$13,Paramètres!$A$1:$I$89,5,0)</f>
        <v>-5.4978954722173515E-14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296.78766823247003</v>
      </c>
      <c r="CZ149" s="59">
        <f t="shared" si="150"/>
        <v>154.08406475869634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54.529992396186728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54.529992396186728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229.61973863654862</v>
      </c>
      <c r="T150" s="59">
        <f t="shared" si="142"/>
        <v>254.08208375594052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16.278276344943951</v>
      </c>
      <c r="AA150" s="21">
        <f>EXP(-LN(2)/25)*AA149+(1-EXP(-LN(2)/25))/(LN(2)/25)*Calculateur!V150*Calculateur!X150*VLOOKUP('Données projet'!$B$9,Paramètres!$A$1:$I$89,3,0)*0.475*44/12</f>
        <v>5.3422331198309863</v>
      </c>
      <c r="AB150" s="21">
        <f>EXP(-LN(2)/2)*AB149+(1-EXP(-LN(2)/2))/(LN(2)/2)*V150*Y150*VLOOKUP('Données projet'!$B$9,Paramètres!$A$1:$I$89,3,0)*0.475*44/12</f>
        <v>4.4224782985464661E-12</v>
      </c>
      <c r="AC150" s="22">
        <f t="shared" si="111"/>
        <v>21.62050946477936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2.2737367544323206E-13</v>
      </c>
      <c r="AJ150" s="13">
        <f>AI150*VLOOKUP('Données projet'!$B$10,Paramètres!$A$1:$I$89,3,0)*VLOOKUP('Données projet'!$B$10,Paramètres!$A$1:$I$89,5,0)</f>
        <v>1.3596945791505279E-13</v>
      </c>
      <c r="AK150" s="13">
        <f t="shared" si="143"/>
        <v>1.9708830566360721E-12</v>
      </c>
      <c r="AL150" s="20">
        <f t="shared" si="112"/>
        <v>3.669434796176543E-12</v>
      </c>
      <c r="AM150" s="59">
        <f t="shared" si="113"/>
        <v>293.33333333333701</v>
      </c>
      <c r="AN150" s="59">
        <f ca="1">AVERAGE(OFFSET($AM$3,0,0,'Données projet'!$E$10+1,1))-AVERAGE(OFFSET($H$3,0,0,'Données projet'!$E$10+1,1))</f>
        <v>348.76139845974495</v>
      </c>
      <c r="AO150" s="59">
        <f t="shared" si="144"/>
        <v>398.5142967182872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31.564924046419652</v>
      </c>
      <c r="AV150" s="21">
        <f>EXP(-LN(2)/25)*AV149+(1-EXP(-LN(2)/25))/(LN(2)/25)*Calculateur!AQ150*Calculateur!AS150*VLOOKUP('Données projet'!$B$10,Paramètres!$A$1:$I$89,3,0)*0.475*44/12</f>
        <v>5.0945548173174826</v>
      </c>
      <c r="AW150" s="21">
        <f>EXP(-LN(2)/2)*AW149+(1-EXP(-LN(2)/2))/(LN(2)/2)*AQ150*AT150*VLOOKUP('Données projet'!$B$10,Paramètres!$A$1:$I$89,3,0)*0.475*44/12</f>
        <v>3.8281569770430856E-12</v>
      </c>
      <c r="AX150" s="21">
        <f t="shared" si="114"/>
        <v>36.659478863740965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-5.1159076974727213E-13</v>
      </c>
      <c r="BE150" s="13">
        <f>BD150*VLOOKUP('Données projet'!$B$11,Paramètres!$A$1:$I$89,3,0)*VLOOKUP('Données projet'!$B$11,Paramètres!$A$1:$I$89,5,0)</f>
        <v>-5.1875304052373401E-13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413.81510455446738</v>
      </c>
      <c r="BJ150" s="59">
        <f t="shared" si="146"/>
        <v>254.25036207346602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81.664390002234853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81.664390002234853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-5.6843418860808015E-14</v>
      </c>
      <c r="BZ150" s="13">
        <f>BY150*VLOOKUP('Données projet'!$B$12,Paramètres!$A$1:$I$89,3,0)*VLOOKUP('Données projet'!$B$12,Paramètres!$A$1:$I$89,5,0)</f>
        <v>-5.4092197387944907E-14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292.61712942007972</v>
      </c>
      <c r="CE150" s="59">
        <f t="shared" si="148"/>
        <v>152.23954167722536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33.736498059008937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33.736498059008937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-5.6843418860808015E-14</v>
      </c>
      <c r="CU150" s="17">
        <f>CT150*VLOOKUP('Données projet'!$B$13,Paramètres!$A$1:$I$89,3,0)*VLOOKUP('Données projet'!$B$13,Paramètres!$A$1:$I$89,5,0)</f>
        <v>-5.4978954722173515E-14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296.78766823247003</v>
      </c>
      <c r="CZ150" s="59">
        <f t="shared" si="150"/>
        <v>154.08406475869634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53.460692505308714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53.460692505308714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229.61973863654862</v>
      </c>
      <c r="T151" s="59">
        <f t="shared" si="142"/>
        <v>254.08208375594052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15.959069274587787</v>
      </c>
      <c r="AA151" s="21">
        <f>EXP(-LN(2)/25)*AA150+(1-EXP(-LN(2)/25))/(LN(2)/25)*Calculateur!V151*Calculateur!X151*VLOOKUP('Données projet'!$B$9,Paramètres!$A$1:$I$89,3,0)*0.475*44/12</f>
        <v>5.196149474233378</v>
      </c>
      <c r="AB151" s="21">
        <f>EXP(-LN(2)/2)*AB150+(1-EXP(-LN(2)/2))/(LN(2)/2)*V151*Y151*VLOOKUP('Données projet'!$B$9,Paramètres!$A$1:$I$89,3,0)*0.475*44/12</f>
        <v>3.1271643945525511E-12</v>
      </c>
      <c r="AC151" s="22">
        <f t="shared" si="111"/>
        <v>21.155218748824289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2.2737367544323206E-13</v>
      </c>
      <c r="AJ151" s="13">
        <f>AI151*VLOOKUP('Données projet'!$B$10,Paramètres!$A$1:$I$89,3,0)*VLOOKUP('Données projet'!$B$10,Paramètres!$A$1:$I$89,5,0)</f>
        <v>1.3596945791505279E-13</v>
      </c>
      <c r="AK151" s="13">
        <f t="shared" si="143"/>
        <v>1.9708830566360721E-12</v>
      </c>
      <c r="AL151" s="20">
        <f t="shared" si="112"/>
        <v>3.669434796176543E-12</v>
      </c>
      <c r="AM151" s="59">
        <f t="shared" si="113"/>
        <v>293.33333333333701</v>
      </c>
      <c r="AN151" s="59">
        <f ca="1">AVERAGE(OFFSET($AM$3,0,0,'Données projet'!$E$10+1,1))-AVERAGE(OFFSET($H$3,0,0,'Données projet'!$E$10+1,1))</f>
        <v>348.76139845974495</v>
      </c>
      <c r="AO151" s="59">
        <f t="shared" si="144"/>
        <v>398.5142967182872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30.945955138571986</v>
      </c>
      <c r="AV151" s="21">
        <f>EXP(-LN(2)/25)*AV150+(1-EXP(-LN(2)/25))/(LN(2)/25)*Calculateur!AQ151*Calculateur!AS151*VLOOKUP('Données projet'!$B$10,Paramètres!$A$1:$I$89,3,0)*0.475*44/12</f>
        <v>4.9552439479269417</v>
      </c>
      <c r="AW151" s="21">
        <f>EXP(-LN(2)/2)*AW150+(1-EXP(-LN(2)/2))/(LN(2)/2)*AQ151*AT151*VLOOKUP('Données projet'!$B$10,Paramètres!$A$1:$I$89,3,0)*0.475*44/12</f>
        <v>2.7069157579137604E-12</v>
      </c>
      <c r="AX151" s="21">
        <f t="shared" si="114"/>
        <v>35.901199086501634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-5.1159076974727213E-13</v>
      </c>
      <c r="BE151" s="13">
        <f>BD151*VLOOKUP('Données projet'!$B$11,Paramètres!$A$1:$I$89,3,0)*VLOOKUP('Données projet'!$B$11,Paramètres!$A$1:$I$89,5,0)</f>
        <v>-5.1875304052373401E-13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413.81510455446738</v>
      </c>
      <c r="BJ151" s="59">
        <f t="shared" si="146"/>
        <v>254.25036207346602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80.063001124650569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80.063001124650569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-5.6843418860808015E-14</v>
      </c>
      <c r="BZ151" s="13">
        <f>BY151*VLOOKUP('Données projet'!$B$12,Paramètres!$A$1:$I$89,3,0)*VLOOKUP('Données projet'!$B$12,Paramètres!$A$1:$I$89,5,0)</f>
        <v>-5.4092197387944907E-14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292.61712942007972</v>
      </c>
      <c r="CE151" s="59">
        <f t="shared" si="148"/>
        <v>152.23954167722536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33.074945909303757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33.074945909303757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-5.6843418860808015E-14</v>
      </c>
      <c r="CU151" s="17">
        <f>CT151*VLOOKUP('Données projet'!$B$13,Paramètres!$A$1:$I$89,3,0)*VLOOKUP('Données projet'!$B$13,Paramètres!$A$1:$I$89,5,0)</f>
        <v>-5.4978954722173515E-14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296.78766823247003</v>
      </c>
      <c r="CZ151" s="59">
        <f t="shared" si="150"/>
        <v>154.08406475869634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52.412360933082283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52.412360933082283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229.61973863654862</v>
      </c>
      <c r="T152" s="59">
        <f t="shared" si="142"/>
        <v>254.08208375594052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15.646121660184217</v>
      </c>
      <c r="AA152" s="21">
        <f>EXP(-LN(2)/25)*AA151+(1-EXP(-LN(2)/25))/(LN(2)/25)*Calculateur!V152*Calculateur!X152*VLOOKUP('Données projet'!$B$9,Paramètres!$A$1:$I$89,3,0)*0.475*44/12</f>
        <v>5.0540604936068414</v>
      </c>
      <c r="AB152" s="21">
        <f>EXP(-LN(2)/2)*AB151+(1-EXP(-LN(2)/2))/(LN(2)/2)*V152*Y152*VLOOKUP('Données projet'!$B$9,Paramètres!$A$1:$I$89,3,0)*0.475*44/12</f>
        <v>2.2112391492732331E-12</v>
      </c>
      <c r="AC152" s="22">
        <f t="shared" si="111"/>
        <v>20.700182153793268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2.2737367544323206E-13</v>
      </c>
      <c r="AJ152" s="13">
        <f>AI152*VLOOKUP('Données projet'!$B$10,Paramètres!$A$1:$I$89,3,0)*VLOOKUP('Données projet'!$B$10,Paramètres!$A$1:$I$89,5,0)</f>
        <v>1.3596945791505279E-13</v>
      </c>
      <c r="AK152" s="13">
        <f t="shared" si="143"/>
        <v>1.9708830566360721E-12</v>
      </c>
      <c r="AL152" s="20">
        <f t="shared" si="112"/>
        <v>3.669434796176543E-12</v>
      </c>
      <c r="AM152" s="59">
        <f t="shared" si="113"/>
        <v>293.33333333333701</v>
      </c>
      <c r="AN152" s="59">
        <f ca="1">AVERAGE(OFFSET($AM$3,0,0,'Données projet'!$E$10+1,1))-AVERAGE(OFFSET($H$3,0,0,'Données projet'!$E$10+1,1))</f>
        <v>348.76139845974495</v>
      </c>
      <c r="AO152" s="59">
        <f t="shared" si="144"/>
        <v>398.5142967182872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30.339123833473455</v>
      </c>
      <c r="AV152" s="21">
        <f>EXP(-LN(2)/25)*AV151+(1-EXP(-LN(2)/25))/(LN(2)/25)*Calculateur!AQ152*Calculateur!AS152*VLOOKUP('Données projet'!$B$10,Paramètres!$A$1:$I$89,3,0)*0.475*44/12</f>
        <v>4.8197425415859252</v>
      </c>
      <c r="AW152" s="21">
        <f>EXP(-LN(2)/2)*AW151+(1-EXP(-LN(2)/2))/(LN(2)/2)*AQ152*AT152*VLOOKUP('Données projet'!$B$10,Paramètres!$A$1:$I$89,3,0)*0.475*44/12</f>
        <v>1.9140784885215428E-12</v>
      </c>
      <c r="AX152" s="21">
        <f t="shared" si="114"/>
        <v>35.158866375061294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-5.1159076974727213E-13</v>
      </c>
      <c r="BE152" s="13">
        <f>BD152*VLOOKUP('Données projet'!$B$11,Paramètres!$A$1:$I$89,3,0)*VLOOKUP('Données projet'!$B$11,Paramètres!$A$1:$I$89,5,0)</f>
        <v>-5.1875304052373401E-13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413.81510455446738</v>
      </c>
      <c r="BJ152" s="59">
        <f t="shared" si="146"/>
        <v>254.25036207346602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78.493014506204943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78.493014506204943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-5.6843418860808015E-14</v>
      </c>
      <c r="BZ152" s="13">
        <f>BY152*VLOOKUP('Données projet'!$B$12,Paramètres!$A$1:$I$89,3,0)*VLOOKUP('Données projet'!$B$12,Paramètres!$A$1:$I$89,5,0)</f>
        <v>-5.4092197387944907E-14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292.61712942007972</v>
      </c>
      <c r="CE152" s="59">
        <f t="shared" si="148"/>
        <v>152.23954167722536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32.426366393747323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32.426366393747323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-5.6843418860808015E-14</v>
      </c>
      <c r="CU152" s="17">
        <f>CT152*VLOOKUP('Données projet'!$B$13,Paramètres!$A$1:$I$89,3,0)*VLOOKUP('Données projet'!$B$13,Paramètres!$A$1:$I$89,5,0)</f>
        <v>-5.4978954722173515E-14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296.78766823247003</v>
      </c>
      <c r="CZ152" s="59">
        <f t="shared" si="150"/>
        <v>154.08406475869634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51.384586503568094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51.384586503568094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229.61973863654862</v>
      </c>
      <c r="T153" s="59">
        <f t="shared" si="142"/>
        <v>254.08208375594052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15.339310757619906</v>
      </c>
      <c r="AA153" s="21">
        <f>EXP(-LN(2)/25)*AA152+(1-EXP(-LN(2)/25))/(LN(2)/25)*Calculateur!V153*Calculateur!X153*VLOOKUP('Données projet'!$B$9,Paramètres!$A$1:$I$89,3,0)*0.475*44/12</f>
        <v>4.9158569436276718</v>
      </c>
      <c r="AB153" s="21">
        <f>EXP(-LN(2)/2)*AB152+(1-EXP(-LN(2)/2))/(LN(2)/2)*V153*Y153*VLOOKUP('Données projet'!$B$9,Paramètres!$A$1:$I$89,3,0)*0.475*44/12</f>
        <v>1.5635821972762755E-12</v>
      </c>
      <c r="AC153" s="22">
        <f t="shared" si="111"/>
        <v>20.255167701249142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2.2737367544323206E-13</v>
      </c>
      <c r="AJ153" s="13">
        <f>AI153*VLOOKUP('Données projet'!$B$10,Paramètres!$A$1:$I$89,3,0)*VLOOKUP('Données projet'!$B$10,Paramètres!$A$1:$I$89,5,0)</f>
        <v>1.3596945791505279E-13</v>
      </c>
      <c r="AK153" s="13">
        <f t="shared" si="143"/>
        <v>1.9708830566360721E-12</v>
      </c>
      <c r="AL153" s="20">
        <f t="shared" si="112"/>
        <v>3.669434796176543E-12</v>
      </c>
      <c r="AM153" s="59">
        <f t="shared" si="113"/>
        <v>293.33333333333701</v>
      </c>
      <c r="AN153" s="59">
        <f ca="1">AVERAGE(OFFSET($AM$3,0,0,'Données projet'!$E$10+1,1))-AVERAGE(OFFSET($H$3,0,0,'Données projet'!$E$10+1,1))</f>
        <v>348.76139845974495</v>
      </c>
      <c r="AO153" s="59">
        <f t="shared" si="144"/>
        <v>398.5142967182872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29.744192120137356</v>
      </c>
      <c r="AV153" s="21">
        <f>EXP(-LN(2)/25)*AV152+(1-EXP(-LN(2)/25))/(LN(2)/25)*Calculateur!AQ153*Calculateur!AS153*VLOOKUP('Données projet'!$B$10,Paramètres!$A$1:$I$89,3,0)*0.475*44/12</f>
        <v>4.6879464283270131</v>
      </c>
      <c r="AW153" s="21">
        <f>EXP(-LN(2)/2)*AW152+(1-EXP(-LN(2)/2))/(LN(2)/2)*AQ153*AT153*VLOOKUP('Données projet'!$B$10,Paramètres!$A$1:$I$89,3,0)*0.475*44/12</f>
        <v>1.3534578789568802E-12</v>
      </c>
      <c r="AX153" s="21">
        <f t="shared" si="114"/>
        <v>34.432138548465716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-5.1159076974727213E-13</v>
      </c>
      <c r="BE153" s="13">
        <f>BD153*VLOOKUP('Données projet'!$B$11,Paramètres!$A$1:$I$89,3,0)*VLOOKUP('Données projet'!$B$11,Paramètres!$A$1:$I$89,5,0)</f>
        <v>-5.1875304052373401E-13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413.81510455446738</v>
      </c>
      <c r="BJ153" s="59">
        <f t="shared" si="146"/>
        <v>254.25036207346602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76.953814367749743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76.953814367749743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-5.6843418860808015E-14</v>
      </c>
      <c r="BZ153" s="13">
        <f>BY153*VLOOKUP('Données projet'!$B$12,Paramètres!$A$1:$I$89,3,0)*VLOOKUP('Données projet'!$B$12,Paramètres!$A$1:$I$89,5,0)</f>
        <v>-5.4092197387944907E-14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292.61712942007972</v>
      </c>
      <c r="CE153" s="59">
        <f t="shared" si="148"/>
        <v>152.23954167722536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31.790505126896509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31.790505126896509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-5.6843418860808015E-14</v>
      </c>
      <c r="CU153" s="17">
        <f>CT153*VLOOKUP('Données projet'!$B$13,Paramètres!$A$1:$I$89,3,0)*VLOOKUP('Données projet'!$B$13,Paramètres!$A$1:$I$89,5,0)</f>
        <v>-5.4978954722173515E-14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296.78766823247003</v>
      </c>
      <c r="CZ153" s="59">
        <f t="shared" si="150"/>
        <v>154.08406475869634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50.376966103736173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50.376966103736173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229.61973863654862</v>
      </c>
      <c r="T154" s="59">
        <f t="shared" si="142"/>
        <v>254.08208375594052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15.038516229718708</v>
      </c>
      <c r="AA154" s="21">
        <f>EXP(-LN(2)/25)*AA153+(1-EXP(-LN(2)/25))/(LN(2)/25)*Calculateur!V154*Calculateur!X154*VLOOKUP('Données projet'!$B$9,Paramètres!$A$1:$I$89,3,0)*0.475*44/12</f>
        <v>4.7814325769904915</v>
      </c>
      <c r="AB154" s="21">
        <f>EXP(-LN(2)/2)*AB153+(1-EXP(-LN(2)/2))/(LN(2)/2)*V154*Y154*VLOOKUP('Données projet'!$B$9,Paramètres!$A$1:$I$89,3,0)*0.475*44/12</f>
        <v>1.1056195746366165E-12</v>
      </c>
      <c r="AC154" s="22">
        <f t="shared" ref="AC154:AC203" si="163">SUM(Z154:AB154)</f>
        <v>19.819948806710304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1.3596945791505279E-13</v>
      </c>
      <c r="AK154" s="13">
        <f t="shared" ref="AK154:AK203" si="164">EXP(-1.0587+0.8836*LN(AJ154)+0.284)</f>
        <v>1.9708830566360721E-12</v>
      </c>
      <c r="AL154" s="20">
        <f t="shared" ref="AL154:AL203" si="165">(AJ154+AK154)*0.475*44/12</f>
        <v>3.669434796176543E-12</v>
      </c>
      <c r="AM154" s="59">
        <f t="shared" si="113"/>
        <v>293.33333333333701</v>
      </c>
      <c r="AN154" s="59">
        <f ca="1">AVERAGE(OFFSET($AM$3,0,0,'Données projet'!$E$10+1,1))-AVERAGE(OFFSET($H$3,0,0,'Données projet'!$E$10+1,1))</f>
        <v>348.76139845974495</v>
      </c>
      <c r="AO154" s="59">
        <f t="shared" si="144"/>
        <v>398.5142967182872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29.160926654827264</v>
      </c>
      <c r="AV154" s="21">
        <f>EXP(-LN(2)/25)*AV153+(1-EXP(-LN(2)/25))/(LN(2)/25)*Calculateur!AQ154*Calculateur!AS154*VLOOKUP('Données projet'!$B$10,Paramètres!$A$1:$I$89,3,0)*0.475*44/12</f>
        <v>4.5597542867160223</v>
      </c>
      <c r="AW154" s="21">
        <f>EXP(-LN(2)/2)*AW153+(1-EXP(-LN(2)/2))/(LN(2)/2)*AQ154*AT154*VLOOKUP('Données projet'!$B$10,Paramètres!$A$1:$I$89,3,0)*0.475*44/12</f>
        <v>9.570392442607714E-13</v>
      </c>
      <c r="AX154" s="21">
        <f t="shared" ref="AX154:AX203" si="166">SUM(AU154:AW154)</f>
        <v>33.720680941544245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-5.1159076974727213E-13</v>
      </c>
      <c r="BE154" s="13">
        <f>BD154*VLOOKUP('Données projet'!$B$11,Paramètres!$A$1:$I$89,3,0)*VLOOKUP('Données projet'!$B$11,Paramètres!$A$1:$I$89,5,0)</f>
        <v>-5.1875304052373401E-13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413.81510455446738</v>
      </c>
      <c r="BJ154" s="59">
        <f t="shared" si="146"/>
        <v>254.25036207346602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75.444797005190267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75.444797005190267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-5.6843418860808015E-14</v>
      </c>
      <c r="BZ154" s="13">
        <f>BY154*VLOOKUP('Données projet'!$B$12,Paramètres!$A$1:$I$89,3,0)*VLOOKUP('Données projet'!$B$12,Paramètres!$A$1:$I$89,5,0)</f>
        <v>-5.4092197387944907E-14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292.61712942007972</v>
      </c>
      <c r="CE154" s="59">
        <f t="shared" si="148"/>
        <v>152.23954167722536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31.167112711651562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31.167112711651562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-5.6843418860808015E-14</v>
      </c>
      <c r="CU154" s="17">
        <f>CT154*VLOOKUP('Données projet'!$B$13,Paramètres!$A$1:$I$89,3,0)*VLOOKUP('Données projet'!$B$13,Paramètres!$A$1:$I$89,5,0)</f>
        <v>-5.4978954722173515E-14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296.78766823247003</v>
      </c>
      <c r="CZ154" s="59">
        <f t="shared" si="150"/>
        <v>154.08406475869634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49.389104525357197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49.389104525357197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229.61973863654862</v>
      </c>
      <c r="T155" s="59">
        <f t="shared" si="142"/>
        <v>254.08208375594052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14.743620099043106</v>
      </c>
      <c r="AA155" s="21">
        <f>EXP(-LN(2)/25)*AA154+(1-EXP(-LN(2)/25))/(LN(2)/25)*Calculateur!V155*Calculateur!X155*VLOOKUP('Données projet'!$B$9,Paramètres!$A$1:$I$89,3,0)*0.475*44/12</f>
        <v>4.6506840517280752</v>
      </c>
      <c r="AB155" s="21">
        <f>EXP(-LN(2)/2)*AB154+(1-EXP(-LN(2)/2))/(LN(2)/2)*V155*Y155*VLOOKUP('Données projet'!$B$9,Paramètres!$A$1:$I$89,3,0)*0.475*44/12</f>
        <v>7.8179109863813777E-13</v>
      </c>
      <c r="AC155" s="22">
        <f t="shared" si="163"/>
        <v>19.394304150771962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1.3596945791505279E-13</v>
      </c>
      <c r="AK155" s="13">
        <f t="shared" si="164"/>
        <v>1.9708830566360721E-12</v>
      </c>
      <c r="AL155" s="20">
        <f t="shared" si="165"/>
        <v>3.669434796176543E-12</v>
      </c>
      <c r="AM155" s="59">
        <f t="shared" si="113"/>
        <v>293.33333333333701</v>
      </c>
      <c r="AN155" s="59">
        <f ca="1">AVERAGE(OFFSET($AM$3,0,0,'Données projet'!$E$10+1,1))-AVERAGE(OFFSET($H$3,0,0,'Données projet'!$E$10+1,1))</f>
        <v>348.76139845974495</v>
      </c>
      <c r="AO155" s="59">
        <f t="shared" si="144"/>
        <v>398.5142967182872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28.589098669535097</v>
      </c>
      <c r="AV155" s="21">
        <f>EXP(-LN(2)/25)*AV154+(1-EXP(-LN(2)/25))/(LN(2)/25)*Calculateur!AQ155*Calculateur!AS155*VLOOKUP('Données projet'!$B$10,Paramètres!$A$1:$I$89,3,0)*0.475*44/12</f>
        <v>4.4350675659587164</v>
      </c>
      <c r="AW155" s="21">
        <f>EXP(-LN(2)/2)*AW154+(1-EXP(-LN(2)/2))/(LN(2)/2)*AQ155*AT155*VLOOKUP('Données projet'!$B$10,Paramètres!$A$1:$I$89,3,0)*0.475*44/12</f>
        <v>6.7672893947844011E-13</v>
      </c>
      <c r="AX155" s="21">
        <f t="shared" si="166"/>
        <v>33.024166235494491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-5.1159076974727213E-13</v>
      </c>
      <c r="BE155" s="13">
        <f>BD155*VLOOKUP('Données projet'!$B$11,Paramètres!$A$1:$I$89,3,0)*VLOOKUP('Données projet'!$B$11,Paramètres!$A$1:$I$89,5,0)</f>
        <v>-5.1875304052373401E-13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413.81510455446738</v>
      </c>
      <c r="BJ155" s="59">
        <f t="shared" si="146"/>
        <v>254.25036207346602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73.965370552700875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73.965370552700875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-5.6843418860808015E-14</v>
      </c>
      <c r="BZ155" s="13">
        <f>BY155*VLOOKUP('Données projet'!$B$12,Paramètres!$A$1:$I$89,3,0)*VLOOKUP('Données projet'!$B$12,Paramètres!$A$1:$I$89,5,0)</f>
        <v>-5.4092197387944907E-14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292.61712942007972</v>
      </c>
      <c r="CE155" s="59">
        <f t="shared" si="148"/>
        <v>152.23954167722536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30.55594464143774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30.55594464143774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-5.6843418860808015E-14</v>
      </c>
      <c r="CU155" s="17">
        <f>CT155*VLOOKUP('Données projet'!$B$13,Paramètres!$A$1:$I$89,3,0)*VLOOKUP('Données projet'!$B$13,Paramètres!$A$1:$I$89,5,0)</f>
        <v>-5.4978954722173515E-14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296.78766823247003</v>
      </c>
      <c r="CZ155" s="59">
        <f t="shared" si="150"/>
        <v>154.08406475869634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48.420614309994171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48.420614309994171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229.61973863654862</v>
      </c>
      <c r="T156" s="59">
        <f t="shared" si="142"/>
        <v>254.08208375594052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14.454506701621174</v>
      </c>
      <c r="AA156" s="21">
        <f>EXP(-LN(2)/25)*AA155+(1-EXP(-LN(2)/25))/(LN(2)/25)*Calculateur!V156*Calculateur!X156*VLOOKUP('Données projet'!$B$9,Paramètres!$A$1:$I$89,3,0)*0.475*44/12</f>
        <v>4.5235108517647262</v>
      </c>
      <c r="AB156" s="21">
        <f>EXP(-LN(2)/2)*AB155+(1-EXP(-LN(2)/2))/(LN(2)/2)*V156*Y156*VLOOKUP('Données projet'!$B$9,Paramètres!$A$1:$I$89,3,0)*0.475*44/12</f>
        <v>5.5280978731830827E-13</v>
      </c>
      <c r="AC156" s="22">
        <f t="shared" si="163"/>
        <v>18.978017553386454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1.3596945791505279E-13</v>
      </c>
      <c r="AK156" s="13">
        <f t="shared" si="164"/>
        <v>1.9708830566360721E-12</v>
      </c>
      <c r="AL156" s="20">
        <f t="shared" si="165"/>
        <v>3.669434796176543E-12</v>
      </c>
      <c r="AM156" s="59">
        <f t="shared" si="113"/>
        <v>293.33333333333701</v>
      </c>
      <c r="AN156" s="59">
        <f ca="1">AVERAGE(OFFSET($AM$3,0,0,'Données projet'!$E$10+1,1))-AVERAGE(OFFSET($H$3,0,0,'Données projet'!$E$10+1,1))</f>
        <v>348.76139845974495</v>
      </c>
      <c r="AO156" s="59">
        <f t="shared" si="144"/>
        <v>398.5142967182872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28.02848388225388</v>
      </c>
      <c r="AV156" s="21">
        <f>EXP(-LN(2)/25)*AV155+(1-EXP(-LN(2)/25))/(LN(2)/25)*Calculateur!AQ156*Calculateur!AS156*VLOOKUP('Données projet'!$B$10,Paramètres!$A$1:$I$89,3,0)*0.475*44/12</f>
        <v>4.3137904101375089</v>
      </c>
      <c r="AW156" s="21">
        <f>EXP(-LN(2)/2)*AW155+(1-EXP(-LN(2)/2))/(LN(2)/2)*AQ156*AT156*VLOOKUP('Données projet'!$B$10,Paramètres!$A$1:$I$89,3,0)*0.475*44/12</f>
        <v>4.785196221303857E-13</v>
      </c>
      <c r="AX156" s="21">
        <f t="shared" si="166"/>
        <v>32.342274292391863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-5.1159076974727213E-13</v>
      </c>
      <c r="BE156" s="13">
        <f>BD156*VLOOKUP('Données projet'!$B$11,Paramètres!$A$1:$I$89,3,0)*VLOOKUP('Données projet'!$B$11,Paramètres!$A$1:$I$89,5,0)</f>
        <v>-5.1875304052373401E-13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413.81510455446738</v>
      </c>
      <c r="BJ156" s="59">
        <f t="shared" si="146"/>
        <v>254.25036207346602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72.514954750583769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72.514954750583769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-5.6843418860808015E-14</v>
      </c>
      <c r="BZ156" s="13">
        <f>BY156*VLOOKUP('Données projet'!$B$12,Paramètres!$A$1:$I$89,3,0)*VLOOKUP('Données projet'!$B$12,Paramètres!$A$1:$I$89,5,0)</f>
        <v>-5.4092197387944907E-14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292.61712942007972</v>
      </c>
      <c r="CE156" s="59">
        <f t="shared" si="148"/>
        <v>152.23954167722536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29.956761204305099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29.956761204305099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-5.6843418860808015E-14</v>
      </c>
      <c r="CU156" s="17">
        <f>CT156*VLOOKUP('Données projet'!$B$13,Paramètres!$A$1:$I$89,3,0)*VLOOKUP('Données projet'!$B$13,Paramètres!$A$1:$I$89,5,0)</f>
        <v>-5.4978954722173515E-14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296.78766823247003</v>
      </c>
      <c r="CZ156" s="59">
        <f t="shared" si="150"/>
        <v>154.08406475869634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47.471115597033709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47.471115597033709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229.61973863654862</v>
      </c>
      <c r="T157" s="59">
        <f t="shared" si="142"/>
        <v>254.08208375594052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14.171062641580926</v>
      </c>
      <c r="AA157" s="21">
        <f>EXP(-LN(2)/25)*AA156+(1-EXP(-LN(2)/25))/(LN(2)/25)*Calculateur!V157*Calculateur!X157*VLOOKUP('Données projet'!$B$9,Paramètres!$A$1:$I$89,3,0)*0.475*44/12</f>
        <v>4.3998152096421226</v>
      </c>
      <c r="AB157" s="21">
        <f>EXP(-LN(2)/2)*AB156+(1-EXP(-LN(2)/2))/(LN(2)/2)*V157*Y157*VLOOKUP('Données projet'!$B$9,Paramètres!$A$1:$I$89,3,0)*0.475*44/12</f>
        <v>3.9089554931906888E-13</v>
      </c>
      <c r="AC157" s="22">
        <f t="shared" si="163"/>
        <v>18.57087785122344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1.3596945791505279E-13</v>
      </c>
      <c r="AK157" s="13">
        <f t="shared" si="164"/>
        <v>1.9708830566360721E-12</v>
      </c>
      <c r="AL157" s="20">
        <f t="shared" si="165"/>
        <v>3.669434796176543E-12</v>
      </c>
      <c r="AM157" s="59">
        <f t="shared" si="113"/>
        <v>293.33333333333701</v>
      </c>
      <c r="AN157" s="59">
        <f ca="1">AVERAGE(OFFSET($AM$3,0,0,'Données projet'!$E$10+1,1))-AVERAGE(OFFSET($H$3,0,0,'Données projet'!$E$10+1,1))</f>
        <v>348.76139845974495</v>
      </c>
      <c r="AO157" s="59">
        <f t="shared" si="144"/>
        <v>398.5142967182872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27.478862409009992</v>
      </c>
      <c r="AV157" s="21">
        <f>EXP(-LN(2)/25)*AV156+(1-EXP(-LN(2)/25))/(LN(2)/25)*Calculateur!AQ157*Calculateur!AS157*VLOOKUP('Données projet'!$B$10,Paramètres!$A$1:$I$89,3,0)*0.475*44/12</f>
        <v>4.1958295845199203</v>
      </c>
      <c r="AW157" s="21">
        <f>EXP(-LN(2)/2)*AW156+(1-EXP(-LN(2)/2))/(LN(2)/2)*AQ157*AT157*VLOOKUP('Données projet'!$B$10,Paramètres!$A$1:$I$89,3,0)*0.475*44/12</f>
        <v>3.3836446973922005E-13</v>
      </c>
      <c r="AX157" s="21">
        <f t="shared" si="166"/>
        <v>31.674691993530249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-5.1159076974727213E-13</v>
      </c>
      <c r="BE157" s="13">
        <f>BD157*VLOOKUP('Données projet'!$B$11,Paramètres!$A$1:$I$89,3,0)*VLOOKUP('Données projet'!$B$11,Paramètres!$A$1:$I$89,5,0)</f>
        <v>-5.1875304052373401E-13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413.81510455446738</v>
      </c>
      <c r="BJ157" s="59">
        <f t="shared" si="146"/>
        <v>254.25036207346602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71.092980717679893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71.092980717679893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-5.6843418860808015E-14</v>
      </c>
      <c r="BZ157" s="13">
        <f>BY157*VLOOKUP('Données projet'!$B$12,Paramètres!$A$1:$I$89,3,0)*VLOOKUP('Données projet'!$B$12,Paramètres!$A$1:$I$89,5,0)</f>
        <v>-5.4092197387944907E-14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292.61712942007972</v>
      </c>
      <c r="CE157" s="59">
        <f t="shared" si="148"/>
        <v>152.23954167722536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29.369327388908818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29.369327388908818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-5.6843418860808015E-14</v>
      </c>
      <c r="CU157" s="17">
        <f>CT157*VLOOKUP('Données projet'!$B$13,Paramètres!$A$1:$I$89,3,0)*VLOOKUP('Données projet'!$B$13,Paramètres!$A$1:$I$89,5,0)</f>
        <v>-5.4978954722173515E-14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296.78766823247003</v>
      </c>
      <c r="CZ157" s="59">
        <f t="shared" si="150"/>
        <v>154.08406475869634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46.540235974697367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46.540235974697367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229.61973863654862</v>
      </c>
      <c r="T158" s="59">
        <f t="shared" si="142"/>
        <v>254.08208375594052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13.893176746674261</v>
      </c>
      <c r="AA158" s="21">
        <f>EXP(-LN(2)/25)*AA157+(1-EXP(-LN(2)/25))/(LN(2)/25)*Calculateur!V158*Calculateur!X158*VLOOKUP('Données projet'!$B$9,Paramètres!$A$1:$I$89,3,0)*0.475*44/12</f>
        <v>4.2795020313582324</v>
      </c>
      <c r="AB158" s="21">
        <f>EXP(-LN(2)/2)*AB157+(1-EXP(-LN(2)/2))/(LN(2)/2)*V158*Y158*VLOOKUP('Données projet'!$B$9,Paramètres!$A$1:$I$89,3,0)*0.475*44/12</f>
        <v>2.7640489365915413E-13</v>
      </c>
      <c r="AC158" s="22">
        <f t="shared" si="163"/>
        <v>18.172678778032768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1.3596945791505279E-13</v>
      </c>
      <c r="AK158" s="13">
        <f t="shared" si="164"/>
        <v>1.9708830566360721E-12</v>
      </c>
      <c r="AL158" s="20">
        <f t="shared" si="165"/>
        <v>3.669434796176543E-12</v>
      </c>
      <c r="AM158" s="59">
        <f t="shared" si="113"/>
        <v>293.33333333333701</v>
      </c>
      <c r="AN158" s="59">
        <f ca="1">AVERAGE(OFFSET($AM$3,0,0,'Données projet'!$E$10+1,1))-AVERAGE(OFFSET($H$3,0,0,'Données projet'!$E$10+1,1))</f>
        <v>348.76139845974495</v>
      </c>
      <c r="AO158" s="59">
        <f t="shared" si="144"/>
        <v>398.5142967182872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26.940018677620419</v>
      </c>
      <c r="AV158" s="21">
        <f>EXP(-LN(2)/25)*AV157+(1-EXP(-LN(2)/25))/(LN(2)/25)*Calculateur!AQ158*Calculateur!AS158*VLOOKUP('Données projet'!$B$10,Paramètres!$A$1:$I$89,3,0)*0.475*44/12</f>
        <v>4.0810944038821351</v>
      </c>
      <c r="AW158" s="21">
        <f>EXP(-LN(2)/2)*AW157+(1-EXP(-LN(2)/2))/(LN(2)/2)*AQ158*AT158*VLOOKUP('Données projet'!$B$10,Paramètres!$A$1:$I$89,3,0)*0.475*44/12</f>
        <v>2.3925981106519285E-13</v>
      </c>
      <c r="AX158" s="21">
        <f t="shared" si="166"/>
        <v>31.021113081502794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-5.1159076974727213E-13</v>
      </c>
      <c r="BE158" s="13">
        <f>BD158*VLOOKUP('Données projet'!$B$11,Paramètres!$A$1:$I$89,3,0)*VLOOKUP('Données projet'!$B$11,Paramètres!$A$1:$I$89,5,0)</f>
        <v>-5.1875304052373401E-13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413.81510455446738</v>
      </c>
      <c r="BJ158" s="59">
        <f t="shared" si="146"/>
        <v>254.25036207346602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69.698890728242745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69.698890728242745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-5.6843418860808015E-14</v>
      </c>
      <c r="BZ158" s="13">
        <f>BY158*VLOOKUP('Données projet'!$B$12,Paramètres!$A$1:$I$89,3,0)*VLOOKUP('Données projet'!$B$12,Paramètres!$A$1:$I$89,5,0)</f>
        <v>-5.4092197387944907E-14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292.61712942007972</v>
      </c>
      <c r="CE158" s="59">
        <f t="shared" si="148"/>
        <v>152.23954167722536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28.793412792333211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28.793412792333211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-5.6843418860808015E-14</v>
      </c>
      <c r="CU158" s="17">
        <f>CT158*VLOOKUP('Données projet'!$B$13,Paramètres!$A$1:$I$89,3,0)*VLOOKUP('Données projet'!$B$13,Paramètres!$A$1:$I$89,5,0)</f>
        <v>-5.4978954722173515E-14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296.78766823247003</v>
      </c>
      <c r="CZ158" s="59">
        <f t="shared" si="150"/>
        <v>154.08406475869634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45.627610333974538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45.627610333974538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229.61973863654862</v>
      </c>
      <c r="T159" s="59">
        <f t="shared" si="142"/>
        <v>254.08208375594052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13.620740024673056</v>
      </c>
      <c r="AA159" s="21">
        <f>EXP(-LN(2)/25)*AA158+(1-EXP(-LN(2)/25))/(LN(2)/25)*Calculateur!V159*Calculateur!X159*VLOOKUP('Données projet'!$B$9,Paramètres!$A$1:$I$89,3,0)*0.475*44/12</f>
        <v>4.1624788232615106</v>
      </c>
      <c r="AB159" s="21">
        <f>EXP(-LN(2)/2)*AB158+(1-EXP(-LN(2)/2))/(LN(2)/2)*V159*Y159*VLOOKUP('Données projet'!$B$9,Paramètres!$A$1:$I$89,3,0)*0.475*44/12</f>
        <v>1.9544777465953444E-13</v>
      </c>
      <c r="AC159" s="22">
        <f t="shared" si="163"/>
        <v>17.783218847934762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1.3596945791505279E-13</v>
      </c>
      <c r="AK159" s="13">
        <f t="shared" si="164"/>
        <v>1.9708830566360721E-12</v>
      </c>
      <c r="AL159" s="20">
        <f t="shared" si="165"/>
        <v>3.669434796176543E-12</v>
      </c>
      <c r="AM159" s="59">
        <f t="shared" si="113"/>
        <v>293.33333333333701</v>
      </c>
      <c r="AN159" s="59">
        <f ca="1">AVERAGE(OFFSET($AM$3,0,0,'Données projet'!$E$10+1,1))-AVERAGE(OFFSET($H$3,0,0,'Données projet'!$E$10+1,1))</f>
        <v>348.76139845974495</v>
      </c>
      <c r="AO159" s="59">
        <f t="shared" si="144"/>
        <v>398.5142967182872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26.41174134314117</v>
      </c>
      <c r="AV159" s="21">
        <f>EXP(-LN(2)/25)*AV158+(1-EXP(-LN(2)/25))/(LN(2)/25)*Calculateur!AQ159*Calculateur!AS159*VLOOKUP('Données projet'!$B$10,Paramètres!$A$1:$I$89,3,0)*0.475*44/12</f>
        <v>3.969496662792551</v>
      </c>
      <c r="AW159" s="21">
        <f>EXP(-LN(2)/2)*AW158+(1-EXP(-LN(2)/2))/(LN(2)/2)*AQ159*AT159*VLOOKUP('Données projet'!$B$10,Paramètres!$A$1:$I$89,3,0)*0.475*44/12</f>
        <v>1.6918223486961003E-13</v>
      </c>
      <c r="AX159" s="21">
        <f t="shared" si="166"/>
        <v>30.381238005933891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-5.1159076974727213E-13</v>
      </c>
      <c r="BE159" s="13">
        <f>BD159*VLOOKUP('Données projet'!$B$11,Paramètres!$A$1:$I$89,3,0)*VLOOKUP('Données projet'!$B$11,Paramètres!$A$1:$I$89,5,0)</f>
        <v>-5.1875304052373401E-13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413.81510455446738</v>
      </c>
      <c r="BJ159" s="59">
        <f t="shared" si="146"/>
        <v>254.25036207346602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68.33213799318753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68.33213799318753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-5.6843418860808015E-14</v>
      </c>
      <c r="BZ159" s="13">
        <f>BY159*VLOOKUP('Données projet'!$B$12,Paramètres!$A$1:$I$89,3,0)*VLOOKUP('Données projet'!$B$12,Paramètres!$A$1:$I$89,5,0)</f>
        <v>-5.4092197387944907E-14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292.61712942007972</v>
      </c>
      <c r="CE159" s="59">
        <f t="shared" si="148"/>
        <v>152.23954167722536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28.228791529723232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28.228791529723232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-5.6843418860808015E-14</v>
      </c>
      <c r="CU159" s="17">
        <f>CT159*VLOOKUP('Données projet'!$B$13,Paramètres!$A$1:$I$89,3,0)*VLOOKUP('Données projet'!$B$13,Paramètres!$A$1:$I$89,5,0)</f>
        <v>-5.4978954722173515E-14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296.78766823247003</v>
      </c>
      <c r="CZ159" s="59">
        <f t="shared" si="150"/>
        <v>154.08406475869634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44.732880725419605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44.732880725419605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229.61973863654862</v>
      </c>
      <c r="T160" s="59">
        <f t="shared" si="142"/>
        <v>254.08208375594052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13.353645620620302</v>
      </c>
      <c r="AA160" s="21">
        <f>EXP(-LN(2)/25)*AA159+(1-EXP(-LN(2)/25))/(LN(2)/25)*Calculateur!V160*Calculateur!X160*VLOOKUP('Données projet'!$B$9,Paramètres!$A$1:$I$89,3,0)*0.475*44/12</f>
        <v>4.0486556209441771</v>
      </c>
      <c r="AB160" s="21">
        <f>EXP(-LN(2)/2)*AB159+(1-EXP(-LN(2)/2))/(LN(2)/2)*V160*Y160*VLOOKUP('Données projet'!$B$9,Paramètres!$A$1:$I$89,3,0)*0.475*44/12</f>
        <v>1.3820244682957707E-13</v>
      </c>
      <c r="AC160" s="22">
        <f t="shared" si="163"/>
        <v>17.402301241564619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1.3596945791505279E-13</v>
      </c>
      <c r="AK160" s="13">
        <f t="shared" si="164"/>
        <v>1.9708830566360721E-12</v>
      </c>
      <c r="AL160" s="20">
        <f t="shared" si="165"/>
        <v>3.669434796176543E-12</v>
      </c>
      <c r="AM160" s="59">
        <f t="shared" si="113"/>
        <v>293.33333333333701</v>
      </c>
      <c r="AN160" s="59">
        <f ca="1">AVERAGE(OFFSET($AM$3,0,0,'Données projet'!$E$10+1,1))-AVERAGE(OFFSET($H$3,0,0,'Données projet'!$E$10+1,1))</f>
        <v>348.76139845974495</v>
      </c>
      <c r="AO160" s="59">
        <f t="shared" si="144"/>
        <v>398.5142967182872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25.893823204973703</v>
      </c>
      <c r="AV160" s="21">
        <f>EXP(-LN(2)/25)*AV159+(1-EXP(-LN(2)/25))/(LN(2)/25)*Calculateur!AQ160*Calculateur!AS160*VLOOKUP('Données projet'!$B$10,Paramètres!$A$1:$I$89,3,0)*0.475*44/12</f>
        <v>3.8609505678017317</v>
      </c>
      <c r="AW160" s="21">
        <f>EXP(-LN(2)/2)*AW159+(1-EXP(-LN(2)/2))/(LN(2)/2)*AQ160*AT160*VLOOKUP('Données projet'!$B$10,Paramètres!$A$1:$I$89,3,0)*0.475*44/12</f>
        <v>1.1962990553259643E-13</v>
      </c>
      <c r="AX160" s="21">
        <f t="shared" si="166"/>
        <v>29.754773772775557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-5.1159076974727213E-13</v>
      </c>
      <c r="BE160" s="13">
        <f>BD160*VLOOKUP('Données projet'!$B$11,Paramètres!$A$1:$I$89,3,0)*VLOOKUP('Données projet'!$B$11,Paramètres!$A$1:$I$89,5,0)</f>
        <v>-5.1875304052373401E-13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413.81510455446738</v>
      </c>
      <c r="BJ160" s="59">
        <f t="shared" si="146"/>
        <v>254.25036207346602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66.992186445629883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66.992186445629883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-5.6843418860808015E-14</v>
      </c>
      <c r="BZ160" s="13">
        <f>BY160*VLOOKUP('Données projet'!$B$12,Paramètres!$A$1:$I$89,3,0)*VLOOKUP('Données projet'!$B$12,Paramètres!$A$1:$I$89,5,0)</f>
        <v>-5.4092197387944907E-14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292.61712942007972</v>
      </c>
      <c r="CE160" s="59">
        <f t="shared" si="148"/>
        <v>152.23954167722536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27.67524214568807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27.67524214568807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-5.6843418860808015E-14</v>
      </c>
      <c r="CU160" s="17">
        <f>CT160*VLOOKUP('Données projet'!$B$13,Paramètres!$A$1:$I$89,3,0)*VLOOKUP('Données projet'!$B$13,Paramètres!$A$1:$I$89,5,0)</f>
        <v>-5.4978954722173515E-14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296.78766823247003</v>
      </c>
      <c r="CZ160" s="59">
        <f t="shared" si="150"/>
        <v>154.08406475869634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43.855696218757259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43.855696218757259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229.61973863654862</v>
      </c>
      <c r="T161" s="59">
        <f t="shared" si="142"/>
        <v>254.08208375594052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13.091788774919522</v>
      </c>
      <c r="AA161" s="21">
        <f>EXP(-LN(2)/25)*AA160+(1-EXP(-LN(2)/25))/(LN(2)/25)*Calculateur!V161*Calculateur!X161*VLOOKUP('Données projet'!$B$9,Paramètres!$A$1:$I$89,3,0)*0.475*44/12</f>
        <v>3.9379449200799126</v>
      </c>
      <c r="AB161" s="21">
        <f>EXP(-LN(2)/2)*AB160+(1-EXP(-LN(2)/2))/(LN(2)/2)*V161*Y161*VLOOKUP('Données projet'!$B$9,Paramètres!$A$1:$I$89,3,0)*0.475*44/12</f>
        <v>9.7723887329767221E-14</v>
      </c>
      <c r="AC161" s="22">
        <f t="shared" si="163"/>
        <v>17.029733694999535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1.3596945791505279E-13</v>
      </c>
      <c r="AK161" s="13">
        <f t="shared" si="164"/>
        <v>1.9708830566360721E-12</v>
      </c>
      <c r="AL161" s="20">
        <f t="shared" si="165"/>
        <v>3.669434796176543E-12</v>
      </c>
      <c r="AM161" s="59">
        <f t="shared" si="113"/>
        <v>293.33333333333701</v>
      </c>
      <c r="AN161" s="59">
        <f ca="1">AVERAGE(OFFSET($AM$3,0,0,'Données projet'!$E$10+1,1))-AVERAGE(OFFSET($H$3,0,0,'Données projet'!$E$10+1,1))</f>
        <v>348.76139845974495</v>
      </c>
      <c r="AO161" s="59">
        <f t="shared" si="144"/>
        <v>398.5142967182872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25.386061125596829</v>
      </c>
      <c r="AV161" s="21">
        <f>EXP(-LN(2)/25)*AV160+(1-EXP(-LN(2)/25))/(LN(2)/25)*Calculateur!AQ161*Calculateur!AS161*VLOOKUP('Données projet'!$B$10,Paramètres!$A$1:$I$89,3,0)*0.475*44/12</f>
        <v>3.7553726714866271</v>
      </c>
      <c r="AW161" s="21">
        <f>EXP(-LN(2)/2)*AW160+(1-EXP(-LN(2)/2))/(LN(2)/2)*AQ161*AT161*VLOOKUP('Données projet'!$B$10,Paramètres!$A$1:$I$89,3,0)*0.475*44/12</f>
        <v>8.4591117434805013E-14</v>
      </c>
      <c r="AX161" s="21">
        <f t="shared" si="166"/>
        <v>29.14143379708354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-5.1159076974727213E-13</v>
      </c>
      <c r="BE161" s="13">
        <f>BD161*VLOOKUP('Données projet'!$B$11,Paramètres!$A$1:$I$89,3,0)*VLOOKUP('Données projet'!$B$11,Paramètres!$A$1:$I$89,5,0)</f>
        <v>-5.1875304052373401E-13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413.81510455446738</v>
      </c>
      <c r="BJ161" s="59">
        <f t="shared" si="146"/>
        <v>254.25036207346602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65.678510530630106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65.678510530630106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-5.6843418860808015E-14</v>
      </c>
      <c r="BZ161" s="13">
        <f>BY161*VLOOKUP('Données projet'!$B$12,Paramètres!$A$1:$I$89,3,0)*VLOOKUP('Données projet'!$B$12,Paramètres!$A$1:$I$89,5,0)</f>
        <v>-5.4092197387944907E-14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292.61712942007972</v>
      </c>
      <c r="CE161" s="59">
        <f t="shared" si="148"/>
        <v>152.23954167722536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27.132547527442053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27.132547527442053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-5.6843418860808015E-14</v>
      </c>
      <c r="CU161" s="17">
        <f>CT161*VLOOKUP('Données projet'!$B$13,Paramètres!$A$1:$I$89,3,0)*VLOOKUP('Données projet'!$B$13,Paramètres!$A$1:$I$89,5,0)</f>
        <v>-5.4978954722173515E-14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296.78766823247003</v>
      </c>
      <c r="CZ161" s="59">
        <f t="shared" si="150"/>
        <v>154.08406475869634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42.995712765240846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42.995712765240846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229.61973863654862</v>
      </c>
      <c r="T162" s="59">
        <f t="shared" si="142"/>
        <v>254.08208375594052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12.835066782246029</v>
      </c>
      <c r="AA162" s="21">
        <f>EXP(-LN(2)/25)*AA161+(1-EXP(-LN(2)/25))/(LN(2)/25)*Calculateur!V162*Calculateur!X162*VLOOKUP('Données projet'!$B$9,Paramètres!$A$1:$I$89,3,0)*0.475*44/12</f>
        <v>3.8302616091528043</v>
      </c>
      <c r="AB162" s="21">
        <f>EXP(-LN(2)/2)*AB161+(1-EXP(-LN(2)/2))/(LN(2)/2)*V162*Y162*VLOOKUP('Données projet'!$B$9,Paramètres!$A$1:$I$89,3,0)*0.475*44/12</f>
        <v>6.9101223414788533E-14</v>
      </c>
      <c r="AC162" s="22">
        <f t="shared" si="163"/>
        <v>16.665328391398901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1.3596945791505279E-13</v>
      </c>
      <c r="AK162" s="13">
        <f t="shared" si="164"/>
        <v>1.9708830566360721E-12</v>
      </c>
      <c r="AL162" s="20">
        <f t="shared" si="165"/>
        <v>3.669434796176543E-12</v>
      </c>
      <c r="AM162" s="59">
        <f t="shared" si="113"/>
        <v>293.33333333333701</v>
      </c>
      <c r="AN162" s="59">
        <f ca="1">AVERAGE(OFFSET($AM$3,0,0,'Données projet'!$E$10+1,1))-AVERAGE(OFFSET($H$3,0,0,'Données projet'!$E$10+1,1))</f>
        <v>348.76139845974495</v>
      </c>
      <c r="AO162" s="59">
        <f t="shared" si="144"/>
        <v>398.5142967182872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24.888255950892248</v>
      </c>
      <c r="AV162" s="21">
        <f>EXP(-LN(2)/25)*AV161+(1-EXP(-LN(2)/25))/(LN(2)/25)*Calculateur!AQ162*Calculateur!AS162*VLOOKUP('Données projet'!$B$10,Paramètres!$A$1:$I$89,3,0)*0.475*44/12</f>
        <v>3.6526818082983596</v>
      </c>
      <c r="AW162" s="21">
        <f>EXP(-LN(2)/2)*AW161+(1-EXP(-LN(2)/2))/(LN(2)/2)*AQ162*AT162*VLOOKUP('Données projet'!$B$10,Paramètres!$A$1:$I$89,3,0)*0.475*44/12</f>
        <v>5.9814952766298213E-14</v>
      </c>
      <c r="AX162" s="21">
        <f t="shared" si="166"/>
        <v>28.540937759190669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-5.1159076974727213E-13</v>
      </c>
      <c r="BE162" s="13">
        <f>BD162*VLOOKUP('Données projet'!$B$11,Paramètres!$A$1:$I$89,3,0)*VLOOKUP('Données projet'!$B$11,Paramètres!$A$1:$I$89,5,0)</f>
        <v>-5.1875304052373401E-13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413.81510455446738</v>
      </c>
      <c r="BJ162" s="59">
        <f t="shared" si="146"/>
        <v>254.25036207346602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64.390594999060283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64.390594999060283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-5.6843418860808015E-14</v>
      </c>
      <c r="BZ162" s="13">
        <f>BY162*VLOOKUP('Données projet'!$B$12,Paramètres!$A$1:$I$89,3,0)*VLOOKUP('Données projet'!$B$12,Paramètres!$A$1:$I$89,5,0)</f>
        <v>-5.4092197387944907E-14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292.61712942007972</v>
      </c>
      <c r="CE162" s="59">
        <f t="shared" si="148"/>
        <v>152.23954167722536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26.600494819648805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26.600494819648805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-5.6843418860808015E-14</v>
      </c>
      <c r="CU162" s="17">
        <f>CT162*VLOOKUP('Données projet'!$B$13,Paramètres!$A$1:$I$89,3,0)*VLOOKUP('Données projet'!$B$13,Paramètres!$A$1:$I$89,5,0)</f>
        <v>-5.4978954722173515E-14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296.78766823247003</v>
      </c>
      <c r="CZ162" s="59">
        <f t="shared" si="150"/>
        <v>154.08406475869634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42.152593062709776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42.152593062709776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229.61973863654862</v>
      </c>
      <c r="T163" s="59">
        <f t="shared" si="142"/>
        <v>254.08208375594052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12.58337895126391</v>
      </c>
      <c r="AA163" s="21">
        <f>EXP(-LN(2)/25)*AA162+(1-EXP(-LN(2)/25))/(LN(2)/25)*Calculateur!V163*Calculateur!X163*VLOOKUP('Données projet'!$B$9,Paramètres!$A$1:$I$89,3,0)*0.475*44/12</f>
        <v>3.7255229040258171</v>
      </c>
      <c r="AB163" s="21">
        <f>EXP(-LN(2)/2)*AB162+(1-EXP(-LN(2)/2))/(LN(2)/2)*V163*Y163*VLOOKUP('Données projet'!$B$9,Paramètres!$A$1:$I$89,3,0)*0.475*44/12</f>
        <v>4.8861943664883611E-14</v>
      </c>
      <c r="AC163" s="22">
        <f t="shared" si="163"/>
        <v>16.308901855289776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1.3596945791505279E-13</v>
      </c>
      <c r="AK163" s="13">
        <f t="shared" si="164"/>
        <v>1.9708830566360721E-12</v>
      </c>
      <c r="AL163" s="20">
        <f t="shared" si="165"/>
        <v>3.669434796176543E-12</v>
      </c>
      <c r="AM163" s="59">
        <f t="shared" si="113"/>
        <v>293.33333333333701</v>
      </c>
      <c r="AN163" s="59">
        <f ca="1">AVERAGE(OFFSET($AM$3,0,0,'Données projet'!$E$10+1,1))-AVERAGE(OFFSET($H$3,0,0,'Données projet'!$E$10+1,1))</f>
        <v>348.76139845974495</v>
      </c>
      <c r="AO163" s="59">
        <f t="shared" si="144"/>
        <v>398.5142967182872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24.400212432032447</v>
      </c>
      <c r="AV163" s="21">
        <f>EXP(-LN(2)/25)*AV162+(1-EXP(-LN(2)/25))/(LN(2)/25)*Calculateur!AQ163*Calculateur!AS163*VLOOKUP('Données projet'!$B$10,Paramètres!$A$1:$I$89,3,0)*0.475*44/12</f>
        <v>3.5527990321642529</v>
      </c>
      <c r="AW163" s="21">
        <f>EXP(-LN(2)/2)*AW162+(1-EXP(-LN(2)/2))/(LN(2)/2)*AQ163*AT163*VLOOKUP('Données projet'!$B$10,Paramètres!$A$1:$I$89,3,0)*0.475*44/12</f>
        <v>4.2295558717402507E-14</v>
      </c>
      <c r="AX163" s="21">
        <f t="shared" si="166"/>
        <v>27.953011464196742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-5.1159076974727213E-13</v>
      </c>
      <c r="BE163" s="13">
        <f>BD163*VLOOKUP('Données projet'!$B$11,Paramètres!$A$1:$I$89,3,0)*VLOOKUP('Données projet'!$B$11,Paramètres!$A$1:$I$89,5,0)</f>
        <v>-5.1875304052373401E-13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413.81510455446738</v>
      </c>
      <c r="BJ163" s="59">
        <f t="shared" si="146"/>
        <v>254.25036207346602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63.127934705513638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63.127934705513638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-5.6843418860808015E-14</v>
      </c>
      <c r="BZ163" s="13">
        <f>BY163*VLOOKUP('Données projet'!$B$12,Paramètres!$A$1:$I$89,3,0)*VLOOKUP('Données projet'!$B$12,Paramètres!$A$1:$I$89,5,0)</f>
        <v>-5.4092197387944907E-14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292.61712942007972</v>
      </c>
      <c r="CE163" s="59">
        <f t="shared" si="148"/>
        <v>152.23954167722536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26.078875340935276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26.078875340935276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-5.6843418860808015E-14</v>
      </c>
      <c r="CU163" s="17">
        <f>CT163*VLOOKUP('Données projet'!$B$13,Paramètres!$A$1:$I$89,3,0)*VLOOKUP('Données projet'!$B$13,Paramètres!$A$1:$I$89,5,0)</f>
        <v>-5.4978954722173515E-14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296.78766823247003</v>
      </c>
      <c r="CZ163" s="59">
        <f t="shared" si="150"/>
        <v>154.08406475869634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41.326006423293101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41.326006423293101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229.61973863654862</v>
      </c>
      <c r="T164" s="59">
        <f t="shared" si="142"/>
        <v>254.08208375594052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12.336626565132931</v>
      </c>
      <c r="AA164" s="21">
        <f>EXP(-LN(2)/25)*AA163+(1-EXP(-LN(2)/25))/(LN(2)/25)*Calculateur!V164*Calculateur!X164*VLOOKUP('Données projet'!$B$9,Paramètres!$A$1:$I$89,3,0)*0.475*44/12</f>
        <v>3.6236482842984965</v>
      </c>
      <c r="AB164" s="21">
        <f>EXP(-LN(2)/2)*AB163+(1-EXP(-LN(2)/2))/(LN(2)/2)*V164*Y164*VLOOKUP('Données projet'!$B$9,Paramètres!$A$1:$I$89,3,0)*0.475*44/12</f>
        <v>3.4550611707394267E-14</v>
      </c>
      <c r="AC164" s="22">
        <f t="shared" si="163"/>
        <v>15.960274849431462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1.3596945791505279E-13</v>
      </c>
      <c r="AK164" s="13">
        <f t="shared" si="164"/>
        <v>1.9708830566360721E-12</v>
      </c>
      <c r="AL164" s="20">
        <f t="shared" si="165"/>
        <v>3.669434796176543E-12</v>
      </c>
      <c r="AM164" s="59">
        <f t="shared" si="113"/>
        <v>293.33333333333701</v>
      </c>
      <c r="AN164" s="59">
        <f ca="1">AVERAGE(OFFSET($AM$3,0,0,'Données projet'!$E$10+1,1))-AVERAGE(OFFSET($H$3,0,0,'Données projet'!$E$10+1,1))</f>
        <v>348.76139845974495</v>
      </c>
      <c r="AO164" s="59">
        <f t="shared" si="144"/>
        <v>398.5142967182872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23.921739148900333</v>
      </c>
      <c r="AV164" s="21">
        <f>EXP(-LN(2)/25)*AV163+(1-EXP(-LN(2)/25))/(LN(2)/25)*Calculateur!AQ164*Calculateur!AS164*VLOOKUP('Données projet'!$B$10,Paramètres!$A$1:$I$89,3,0)*0.475*44/12</f>
        <v>3.4556475557961401</v>
      </c>
      <c r="AW164" s="21">
        <f>EXP(-LN(2)/2)*AW163+(1-EXP(-LN(2)/2))/(LN(2)/2)*AQ164*AT164*VLOOKUP('Données projet'!$B$10,Paramètres!$A$1:$I$89,3,0)*0.475*44/12</f>
        <v>2.9907476383149106E-14</v>
      </c>
      <c r="AX164" s="21">
        <f t="shared" si="166"/>
        <v>27.377386704696502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-5.1159076974727213E-13</v>
      </c>
      <c r="BE164" s="13">
        <f>BD164*VLOOKUP('Données projet'!$B$11,Paramètres!$A$1:$I$89,3,0)*VLOOKUP('Données projet'!$B$11,Paramètres!$A$1:$I$89,5,0)</f>
        <v>-5.1875304052373401E-13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413.81510455446738</v>
      </c>
      <c r="BJ164" s="59">
        <f t="shared" si="146"/>
        <v>254.25036207346602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61.89003441017671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61.89003441017671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-5.6843418860808015E-14</v>
      </c>
      <c r="BZ164" s="13">
        <f>BY164*VLOOKUP('Données projet'!$B$12,Paramètres!$A$1:$I$89,3,0)*VLOOKUP('Données projet'!$B$12,Paramètres!$A$1:$I$89,5,0)</f>
        <v>-5.4092197387944907E-14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292.61712942007972</v>
      </c>
      <c r="CE164" s="59">
        <f t="shared" si="148"/>
        <v>152.23954167722536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25.567484502042852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25.567484502042852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-5.6843418860808015E-14</v>
      </c>
      <c r="CU164" s="17">
        <f>CT164*VLOOKUP('Données projet'!$B$13,Paramètres!$A$1:$I$89,3,0)*VLOOKUP('Données projet'!$B$13,Paramètres!$A$1:$I$89,5,0)</f>
        <v>-5.4978954722173515E-14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296.78766823247003</v>
      </c>
      <c r="CZ164" s="59">
        <f t="shared" si="150"/>
        <v>154.08406475869634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40.515628643707316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40.515628643707316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229.61973863654862</v>
      </c>
      <c r="T165" s="59">
        <f t="shared" si="142"/>
        <v>254.08208375594052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12.094712842789887</v>
      </c>
      <c r="AA165" s="21">
        <f>EXP(-LN(2)/25)*AA164+(1-EXP(-LN(2)/25))/(LN(2)/25)*Calculateur!V165*Calculateur!X165*VLOOKUP('Données projet'!$B$9,Paramètres!$A$1:$I$89,3,0)*0.475*44/12</f>
        <v>3.5245594314049726</v>
      </c>
      <c r="AB165" s="21">
        <f>EXP(-LN(2)/2)*AB164+(1-EXP(-LN(2)/2))/(LN(2)/2)*V165*Y165*VLOOKUP('Données projet'!$B$9,Paramètres!$A$1:$I$89,3,0)*0.475*44/12</f>
        <v>2.4430971832441805E-14</v>
      </c>
      <c r="AC165" s="22">
        <f t="shared" si="163"/>
        <v>15.619272274194884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1.3596945791505279E-13</v>
      </c>
      <c r="AK165" s="13">
        <f t="shared" si="164"/>
        <v>1.9708830566360721E-12</v>
      </c>
      <c r="AL165" s="20">
        <f t="shared" si="165"/>
        <v>3.669434796176543E-12</v>
      </c>
      <c r="AM165" s="59">
        <f t="shared" si="113"/>
        <v>293.33333333333701</v>
      </c>
      <c r="AN165" s="59">
        <f ca="1">AVERAGE(OFFSET($AM$3,0,0,'Données projet'!$E$10+1,1))-AVERAGE(OFFSET($H$3,0,0,'Données projet'!$E$10+1,1))</f>
        <v>348.76139845974495</v>
      </c>
      <c r="AO165" s="59">
        <f t="shared" si="144"/>
        <v>398.5142967182872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23.452648435010556</v>
      </c>
      <c r="AV165" s="21">
        <f>EXP(-LN(2)/25)*AV164+(1-EXP(-LN(2)/25))/(LN(2)/25)*Calculateur!AQ165*Calculateur!AS165*VLOOKUP('Données projet'!$B$10,Paramètres!$A$1:$I$89,3,0)*0.475*44/12</f>
        <v>3.3611526916582877</v>
      </c>
      <c r="AW165" s="21">
        <f>EXP(-LN(2)/2)*AW164+(1-EXP(-LN(2)/2))/(LN(2)/2)*AQ165*AT165*VLOOKUP('Données projet'!$B$10,Paramètres!$A$1:$I$89,3,0)*0.475*44/12</f>
        <v>2.1147779358701253E-14</v>
      </c>
      <c r="AX165" s="21">
        <f t="shared" si="166"/>
        <v>26.813801126668864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-5.1159076974727213E-13</v>
      </c>
      <c r="BE165" s="13">
        <f>BD165*VLOOKUP('Données projet'!$B$11,Paramètres!$A$1:$I$89,3,0)*VLOOKUP('Données projet'!$B$11,Paramètres!$A$1:$I$89,5,0)</f>
        <v>-5.1875304052373401E-13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413.81510455446738</v>
      </c>
      <c r="BJ165" s="59">
        <f t="shared" si="146"/>
        <v>254.25036207346602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60.67640858458671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60.67640858458671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-5.6843418860808015E-14</v>
      </c>
      <c r="BZ165" s="13">
        <f>BY165*VLOOKUP('Données projet'!$B$12,Paramètres!$A$1:$I$89,3,0)*VLOOKUP('Données projet'!$B$12,Paramètres!$A$1:$I$89,5,0)</f>
        <v>-5.4092197387944907E-14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292.61712942007972</v>
      </c>
      <c r="CE165" s="59">
        <f t="shared" si="148"/>
        <v>152.23954167722536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25.066121725583496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25.066121725583496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-5.6843418860808015E-14</v>
      </c>
      <c r="CU165" s="17">
        <f>CT165*VLOOKUP('Données projet'!$B$13,Paramètres!$A$1:$I$89,3,0)*VLOOKUP('Données projet'!$B$13,Paramètres!$A$1:$I$89,5,0)</f>
        <v>-5.4978954722173515E-14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296.78766823247003</v>
      </c>
      <c r="CZ165" s="59">
        <f t="shared" si="150"/>
        <v>154.08406475869634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39.721141878097569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39.721141878097569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229.61973863654862</v>
      </c>
      <c r="T166" s="59">
        <f t="shared" si="142"/>
        <v>254.08208375594052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11.85754290098919</v>
      </c>
      <c r="AA166" s="21">
        <f>EXP(-LN(2)/25)*AA165+(1-EXP(-LN(2)/25))/(LN(2)/25)*Calculateur!V166*Calculateur!X166*VLOOKUP('Données projet'!$B$9,Paramètres!$A$1:$I$89,3,0)*0.475*44/12</f>
        <v>3.4281801684046784</v>
      </c>
      <c r="AB166" s="21">
        <f>EXP(-LN(2)/2)*AB165+(1-EXP(-LN(2)/2))/(LN(2)/2)*V166*Y166*VLOOKUP('Données projet'!$B$9,Paramètres!$A$1:$I$89,3,0)*0.475*44/12</f>
        <v>1.7275305853697133E-14</v>
      </c>
      <c r="AC166" s="22">
        <f t="shared" si="163"/>
        <v>15.285723069393885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1.3596945791505279E-13</v>
      </c>
      <c r="AK166" s="13">
        <f t="shared" si="164"/>
        <v>1.9708830566360721E-12</v>
      </c>
      <c r="AL166" s="20">
        <f t="shared" si="165"/>
        <v>3.669434796176543E-12</v>
      </c>
      <c r="AM166" s="59">
        <f t="shared" si="113"/>
        <v>293.33333333333701</v>
      </c>
      <c r="AN166" s="59">
        <f ca="1">AVERAGE(OFFSET($AM$3,0,0,'Données projet'!$E$10+1,1))-AVERAGE(OFFSET($H$3,0,0,'Données projet'!$E$10+1,1))</f>
        <v>348.76139845974495</v>
      </c>
      <c r="AO166" s="59">
        <f t="shared" si="144"/>
        <v>398.5142967182872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22.992756303903072</v>
      </c>
      <c r="AV166" s="21">
        <f>EXP(-LN(2)/25)*AV165+(1-EXP(-LN(2)/25))/(LN(2)/25)*Calculateur!AQ166*Calculateur!AS166*VLOOKUP('Données projet'!$B$10,Paramètres!$A$1:$I$89,3,0)*0.475*44/12</f>
        <v>3.2692417945495538</v>
      </c>
      <c r="AW166" s="21">
        <f>EXP(-LN(2)/2)*AW165+(1-EXP(-LN(2)/2))/(LN(2)/2)*AQ166*AT166*VLOOKUP('Données projet'!$B$10,Paramètres!$A$1:$I$89,3,0)*0.475*44/12</f>
        <v>1.4953738191574553E-14</v>
      </c>
      <c r="AX166" s="21">
        <f t="shared" si="166"/>
        <v>26.26199809845264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-5.1159076974727213E-13</v>
      </c>
      <c r="BE166" s="13">
        <f>BD166*VLOOKUP('Données projet'!$B$11,Paramètres!$A$1:$I$89,3,0)*VLOOKUP('Données projet'!$B$11,Paramètres!$A$1:$I$89,5,0)</f>
        <v>-5.1875304052373401E-13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413.81510455446738</v>
      </c>
      <c r="BJ166" s="59">
        <f t="shared" si="146"/>
        <v>254.25036207346602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59.486581221197874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59.486581221197874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-5.6843418860808015E-14</v>
      </c>
      <c r="BZ166" s="13">
        <f>BY166*VLOOKUP('Données projet'!$B$12,Paramètres!$A$1:$I$89,3,0)*VLOOKUP('Données projet'!$B$12,Paramètres!$A$1:$I$89,5,0)</f>
        <v>-5.4092197387944907E-14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292.61712942007972</v>
      </c>
      <c r="CE166" s="59">
        <f t="shared" si="148"/>
        <v>152.23954167722536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24.57459036736941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24.57459036736941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-5.6843418860808015E-14</v>
      </c>
      <c r="CU166" s="17">
        <f>CT166*VLOOKUP('Données projet'!$B$13,Paramètres!$A$1:$I$89,3,0)*VLOOKUP('Données projet'!$B$13,Paramètres!$A$1:$I$89,5,0)</f>
        <v>-5.4978954722173515E-14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296.78766823247003</v>
      </c>
      <c r="CZ166" s="59">
        <f t="shared" si="150"/>
        <v>154.08406475869634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38.942234513372355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38.942234513372355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229.61973863654862</v>
      </c>
      <c r="T167" s="59">
        <f t="shared" si="142"/>
        <v>254.08208375594052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11.625023717087823</v>
      </c>
      <c r="AA167" s="21">
        <f>EXP(-LN(2)/25)*AA166+(1-EXP(-LN(2)/25))/(LN(2)/25)*Calculateur!V167*Calculateur!X167*VLOOKUP('Données projet'!$B$9,Paramètres!$A$1:$I$89,3,0)*0.475*44/12</f>
        <v>3.3344364014194925</v>
      </c>
      <c r="AB167" s="21">
        <f>EXP(-LN(2)/2)*AB166+(1-EXP(-LN(2)/2))/(LN(2)/2)*V167*Y167*VLOOKUP('Données projet'!$B$9,Paramètres!$A$1:$I$89,3,0)*0.475*44/12</f>
        <v>1.2215485916220903E-14</v>
      </c>
      <c r="AC167" s="22">
        <f t="shared" si="163"/>
        <v>14.959460118507328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1.3596945791505279E-13</v>
      </c>
      <c r="AK167" s="13">
        <f t="shared" si="164"/>
        <v>1.9708830566360721E-12</v>
      </c>
      <c r="AL167" s="20">
        <f t="shared" si="165"/>
        <v>3.669434796176543E-12</v>
      </c>
      <c r="AM167" s="59">
        <f t="shared" si="113"/>
        <v>293.33333333333701</v>
      </c>
      <c r="AN167" s="59">
        <f ca="1">AVERAGE(OFFSET($AM$3,0,0,'Données projet'!$E$10+1,1))-AVERAGE(OFFSET($H$3,0,0,'Données projet'!$E$10+1,1))</f>
        <v>348.76139845974495</v>
      </c>
      <c r="AO167" s="59">
        <f t="shared" si="144"/>
        <v>398.5142967182872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22.541882376980102</v>
      </c>
      <c r="AV167" s="21">
        <f>EXP(-LN(2)/25)*AV166+(1-EXP(-LN(2)/25))/(LN(2)/25)*Calculateur!AQ167*Calculateur!AS167*VLOOKUP('Données projet'!$B$10,Paramètres!$A$1:$I$89,3,0)*0.475*44/12</f>
        <v>3.1798442057556424</v>
      </c>
      <c r="AW167" s="21">
        <f>EXP(-LN(2)/2)*AW166+(1-EXP(-LN(2)/2))/(LN(2)/2)*AQ167*AT167*VLOOKUP('Données projet'!$B$10,Paramètres!$A$1:$I$89,3,0)*0.475*44/12</f>
        <v>1.0573889679350627E-14</v>
      </c>
      <c r="AX167" s="21">
        <f t="shared" si="166"/>
        <v>25.721726582735755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-5.1159076974727213E-13</v>
      </c>
      <c r="BE167" s="13">
        <f>BD167*VLOOKUP('Données projet'!$B$11,Paramètres!$A$1:$I$89,3,0)*VLOOKUP('Données projet'!$B$11,Paramètres!$A$1:$I$89,5,0)</f>
        <v>-5.1875304052373401E-13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413.81510455446738</v>
      </c>
      <c r="BJ167" s="59">
        <f t="shared" si="146"/>
        <v>254.25036207346602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58.32008564668206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58.32008564668206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-5.6843418860808015E-14</v>
      </c>
      <c r="BZ167" s="13">
        <f>BY167*VLOOKUP('Données projet'!$B$12,Paramètres!$A$1:$I$89,3,0)*VLOOKUP('Données projet'!$B$12,Paramètres!$A$1:$I$89,5,0)</f>
        <v>-5.4092197387944907E-14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292.61712942007972</v>
      </c>
      <c r="CE167" s="59">
        <f t="shared" si="148"/>
        <v>152.23954167722536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24.092697639285376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24.092697639285376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-5.6843418860808015E-14</v>
      </c>
      <c r="CU167" s="17">
        <f>CT167*VLOOKUP('Données projet'!$B$13,Paramètres!$A$1:$I$89,3,0)*VLOOKUP('Données projet'!$B$13,Paramètres!$A$1:$I$89,5,0)</f>
        <v>-5.4978954722173515E-14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296.78766823247003</v>
      </c>
      <c r="CZ167" s="59">
        <f t="shared" si="150"/>
        <v>154.08406475869634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38.17860104698282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38.17860104698282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229.61973863654862</v>
      </c>
      <c r="T168" s="59">
        <f t="shared" si="142"/>
        <v>254.08208375594052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11.397064092560063</v>
      </c>
      <c r="AA168" s="21">
        <f>EXP(-LN(2)/25)*AA167+(1-EXP(-LN(2)/25))/(LN(2)/25)*Calculateur!V168*Calculateur!X168*VLOOKUP('Données projet'!$B$9,Paramètres!$A$1:$I$89,3,0)*0.475*44/12</f>
        <v>3.2432560626722871</v>
      </c>
      <c r="AB168" s="21">
        <f>EXP(-LN(2)/2)*AB167+(1-EXP(-LN(2)/2))/(LN(2)/2)*V168*Y168*VLOOKUP('Données projet'!$B$9,Paramètres!$A$1:$I$89,3,0)*0.475*44/12</f>
        <v>8.6376529268485667E-15</v>
      </c>
      <c r="AC168" s="22">
        <f t="shared" si="163"/>
        <v>14.640320155232359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1.3596945791505279E-13</v>
      </c>
      <c r="AK168" s="13">
        <f t="shared" si="164"/>
        <v>1.9708830566360721E-12</v>
      </c>
      <c r="AL168" s="20">
        <f t="shared" si="165"/>
        <v>3.669434796176543E-12</v>
      </c>
      <c r="AM168" s="59">
        <f t="shared" si="113"/>
        <v>293.33333333333701</v>
      </c>
      <c r="AN168" s="59">
        <f ca="1">AVERAGE(OFFSET($AM$3,0,0,'Données projet'!$E$10+1,1))-AVERAGE(OFFSET($H$3,0,0,'Données projet'!$E$10+1,1))</f>
        <v>348.76139845974495</v>
      </c>
      <c r="AO168" s="59">
        <f t="shared" si="144"/>
        <v>398.5142967182872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22.099849812758151</v>
      </c>
      <c r="AV168" s="21">
        <f>EXP(-LN(2)/25)*AV167+(1-EXP(-LN(2)/25))/(LN(2)/25)*Calculateur!AQ168*Calculateur!AS168*VLOOKUP('Données projet'!$B$10,Paramètres!$A$1:$I$89,3,0)*0.475*44/12</f>
        <v>3.0928911987285153</v>
      </c>
      <c r="AW168" s="21">
        <f>EXP(-LN(2)/2)*AW167+(1-EXP(-LN(2)/2))/(LN(2)/2)*AQ168*AT168*VLOOKUP('Données projet'!$B$10,Paramètres!$A$1:$I$89,3,0)*0.475*44/12</f>
        <v>7.4768690957872766E-15</v>
      </c>
      <c r="AX168" s="21">
        <f t="shared" si="166"/>
        <v>25.192741011486675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-5.1159076974727213E-13</v>
      </c>
      <c r="BE168" s="13">
        <f>BD168*VLOOKUP('Données projet'!$B$11,Paramètres!$A$1:$I$89,3,0)*VLOOKUP('Données projet'!$B$11,Paramètres!$A$1:$I$89,5,0)</f>
        <v>-5.1875304052373401E-13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413.81510455446738</v>
      </c>
      <c r="BJ168" s="59">
        <f t="shared" si="146"/>
        <v>254.25036207346602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57.176464338890455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57.176464338890455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-5.6843418860808015E-14</v>
      </c>
      <c r="BZ168" s="13">
        <f>BY168*VLOOKUP('Données projet'!$B$12,Paramètres!$A$1:$I$89,3,0)*VLOOKUP('Données projet'!$B$12,Paramètres!$A$1:$I$89,5,0)</f>
        <v>-5.4092197387944907E-14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292.61712942007972</v>
      </c>
      <c r="CE168" s="59">
        <f t="shared" si="148"/>
        <v>152.23954167722536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23.620254533673531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23.620254533673531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-5.6843418860808015E-14</v>
      </c>
      <c r="CU168" s="17">
        <f>CT168*VLOOKUP('Données projet'!$B$13,Paramètres!$A$1:$I$89,3,0)*VLOOKUP('Données projet'!$B$13,Paramètres!$A$1:$I$89,5,0)</f>
        <v>-5.4978954722173515E-14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296.78766823247003</v>
      </c>
      <c r="CZ168" s="59">
        <f t="shared" si="150"/>
        <v>154.08406475869634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37.429941967098763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37.429941967098763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229.61973863654862</v>
      </c>
      <c r="T169" s="59">
        <f t="shared" si="142"/>
        <v>254.08208375594052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11.173574617227651</v>
      </c>
      <c r="AA169" s="21">
        <f>EXP(-LN(2)/25)*AA168+(1-EXP(-LN(2)/25))/(LN(2)/25)*Calculateur!V169*Calculateur!X169*VLOOKUP('Données projet'!$B$9,Paramètres!$A$1:$I$89,3,0)*0.475*44/12</f>
        <v>3.1545690550830896</v>
      </c>
      <c r="AB169" s="21">
        <f>EXP(-LN(2)/2)*AB168+(1-EXP(-LN(2)/2))/(LN(2)/2)*V169*Y169*VLOOKUP('Données projet'!$B$9,Paramètres!$A$1:$I$89,3,0)*0.475*44/12</f>
        <v>6.1077429581104513E-15</v>
      </c>
      <c r="AC169" s="22">
        <f t="shared" si="163"/>
        <v>14.328143672310746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1.3596945791505279E-13</v>
      </c>
      <c r="AK169" s="13">
        <f t="shared" si="164"/>
        <v>1.9708830566360721E-12</v>
      </c>
      <c r="AL169" s="20">
        <f t="shared" si="165"/>
        <v>3.669434796176543E-12</v>
      </c>
      <c r="AM169" s="59">
        <f t="shared" si="113"/>
        <v>293.33333333333701</v>
      </c>
      <c r="AN169" s="59">
        <f ca="1">AVERAGE(OFFSET($AM$3,0,0,'Données projet'!$E$10+1,1))-AVERAGE(OFFSET($H$3,0,0,'Données projet'!$E$10+1,1))</f>
        <v>348.76139845974495</v>
      </c>
      <c r="AO169" s="59">
        <f t="shared" si="144"/>
        <v>398.5142967182872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21.666485237507352</v>
      </c>
      <c r="AV169" s="21">
        <f>EXP(-LN(2)/25)*AV168+(1-EXP(-LN(2)/25))/(LN(2)/25)*Calculateur!AQ169*Calculateur!AS169*VLOOKUP('Données projet'!$B$10,Paramètres!$A$1:$I$89,3,0)*0.475*44/12</f>
        <v>3.0083159262512047</v>
      </c>
      <c r="AW169" s="21">
        <f>EXP(-LN(2)/2)*AW168+(1-EXP(-LN(2)/2))/(LN(2)/2)*AQ169*AT169*VLOOKUP('Données projet'!$B$10,Paramètres!$A$1:$I$89,3,0)*0.475*44/12</f>
        <v>5.2869448396753133E-15</v>
      </c>
      <c r="AX169" s="21">
        <f t="shared" si="166"/>
        <v>24.674801163758559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-5.1159076974727213E-13</v>
      </c>
      <c r="BE169" s="13">
        <f>BD169*VLOOKUP('Données projet'!$B$11,Paramètres!$A$1:$I$89,3,0)*VLOOKUP('Données projet'!$B$11,Paramètres!$A$1:$I$89,5,0)</f>
        <v>-5.1875304052373401E-13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413.81510455446738</v>
      </c>
      <c r="BJ169" s="59">
        <f t="shared" si="146"/>
        <v>254.25036207346602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56.055268747404519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56.055268747404519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-5.6843418860808015E-14</v>
      </c>
      <c r="BZ169" s="13">
        <f>BY169*VLOOKUP('Données projet'!$B$12,Paramètres!$A$1:$I$89,3,0)*VLOOKUP('Données projet'!$B$12,Paramètres!$A$1:$I$89,5,0)</f>
        <v>-5.4092197387944907E-14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292.61712942007972</v>
      </c>
      <c r="CE169" s="59">
        <f t="shared" si="148"/>
        <v>152.23954167722536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23.157075749200892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23.157075749200892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-5.6843418860808015E-14</v>
      </c>
      <c r="CU169" s="17">
        <f>CT169*VLOOKUP('Données projet'!$B$13,Paramètres!$A$1:$I$89,3,0)*VLOOKUP('Données projet'!$B$13,Paramètres!$A$1:$I$89,5,0)</f>
        <v>-5.4978954722173515E-14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296.78766823247003</v>
      </c>
      <c r="CZ169" s="59">
        <f t="shared" si="150"/>
        <v>154.08406475869634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36.695963635134277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36.695963635134277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229.61973863654862</v>
      </c>
      <c r="T170" s="59">
        <f t="shared" si="142"/>
        <v>254.08208375594052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10.954467634191387</v>
      </c>
      <c r="AA170" s="21">
        <f>EXP(-LN(2)/25)*AA169+(1-EXP(-LN(2)/25))/(LN(2)/25)*Calculateur!V170*Calculateur!X170*VLOOKUP('Données projet'!$B$9,Paramètres!$A$1:$I$89,3,0)*0.475*44/12</f>
        <v>3.0683071983802659</v>
      </c>
      <c r="AB170" s="21">
        <f>EXP(-LN(2)/2)*AB169+(1-EXP(-LN(2)/2))/(LN(2)/2)*V170*Y170*VLOOKUP('Données projet'!$B$9,Paramètres!$A$1:$I$89,3,0)*0.475*44/12</f>
        <v>4.3188264634242833E-15</v>
      </c>
      <c r="AC170" s="22">
        <f t="shared" si="163"/>
        <v>14.022774832571656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1.3596945791505279E-13</v>
      </c>
      <c r="AK170" s="13">
        <f t="shared" si="164"/>
        <v>1.9708830566360721E-12</v>
      </c>
      <c r="AL170" s="20">
        <f t="shared" si="165"/>
        <v>3.669434796176543E-12</v>
      </c>
      <c r="AM170" s="59">
        <f t="shared" si="113"/>
        <v>293.33333333333701</v>
      </c>
      <c r="AN170" s="59">
        <f ca="1">AVERAGE(OFFSET($AM$3,0,0,'Données projet'!$E$10+1,1))-AVERAGE(OFFSET($H$3,0,0,'Données projet'!$E$10+1,1))</f>
        <v>348.76139845974495</v>
      </c>
      <c r="AO170" s="59">
        <f t="shared" si="144"/>
        <v>398.5142967182872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21.24161867725093</v>
      </c>
      <c r="AV170" s="21">
        <f>EXP(-LN(2)/25)*AV169+(1-EXP(-LN(2)/25))/(LN(2)/25)*Calculateur!AQ170*Calculateur!AS170*VLOOKUP('Données projet'!$B$10,Paramètres!$A$1:$I$89,3,0)*0.475*44/12</f>
        <v>2.9260533690474064</v>
      </c>
      <c r="AW170" s="21">
        <f>EXP(-LN(2)/2)*AW169+(1-EXP(-LN(2)/2))/(LN(2)/2)*AQ170*AT170*VLOOKUP('Données projet'!$B$10,Paramètres!$A$1:$I$89,3,0)*0.475*44/12</f>
        <v>3.7384345478936383E-15</v>
      </c>
      <c r="AX170" s="21">
        <f t="shared" si="166"/>
        <v>24.167672046298339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-5.1159076974727213E-13</v>
      </c>
      <c r="BE170" s="13">
        <f>BD170*VLOOKUP('Données projet'!$B$11,Paramètres!$A$1:$I$89,3,0)*VLOOKUP('Données projet'!$B$11,Paramètres!$A$1:$I$89,5,0)</f>
        <v>-5.1875304052373401E-13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413.81510455446738</v>
      </c>
      <c r="BJ170" s="59">
        <f t="shared" si="146"/>
        <v>254.25036207346602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54.95605911760584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54.95605911760584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-5.6843418860808015E-14</v>
      </c>
      <c r="BZ170" s="13">
        <f>BY170*VLOOKUP('Données projet'!$B$12,Paramètres!$A$1:$I$89,3,0)*VLOOKUP('Données projet'!$B$12,Paramètres!$A$1:$I$89,5,0)</f>
        <v>-5.4092197387944907E-14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292.61712942007972</v>
      </c>
      <c r="CE170" s="59">
        <f t="shared" si="148"/>
        <v>152.23954167722536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22.702979618180599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22.702979618180599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-5.6843418860808015E-14</v>
      </c>
      <c r="CU170" s="17">
        <f>CT170*VLOOKUP('Données projet'!$B$13,Paramètres!$A$1:$I$89,3,0)*VLOOKUP('Données projet'!$B$13,Paramètres!$A$1:$I$89,5,0)</f>
        <v>-5.4978954722173515E-14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296.78766823247003</v>
      </c>
      <c r="CZ170" s="59">
        <f t="shared" si="150"/>
        <v>154.08406475869634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35.976378170577043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35.976378170577043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229.61973863654862</v>
      </c>
      <c r="T171" s="59">
        <f t="shared" si="142"/>
        <v>254.08208375594052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10.739657205450401</v>
      </c>
      <c r="AA171" s="21">
        <f>EXP(-LN(2)/25)*AA170+(1-EXP(-LN(2)/25))/(LN(2)/25)*Calculateur!V171*Calculateur!X171*VLOOKUP('Données projet'!$B$9,Paramètres!$A$1:$I$89,3,0)*0.475*44/12</f>
        <v>2.9844041766852945</v>
      </c>
      <c r="AB171" s="21">
        <f>EXP(-LN(2)/2)*AB170+(1-EXP(-LN(2)/2))/(LN(2)/2)*V171*Y171*VLOOKUP('Données projet'!$B$9,Paramètres!$A$1:$I$89,3,0)*0.475*44/12</f>
        <v>3.0538714790552257E-15</v>
      </c>
      <c r="AC171" s="22">
        <f t="shared" si="163"/>
        <v>13.724061382135698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1.3596945791505279E-13</v>
      </c>
      <c r="AK171" s="13">
        <f t="shared" si="164"/>
        <v>1.9708830566360721E-12</v>
      </c>
      <c r="AL171" s="20">
        <f t="shared" si="165"/>
        <v>3.669434796176543E-12</v>
      </c>
      <c r="AM171" s="59">
        <f t="shared" si="113"/>
        <v>293.33333333333701</v>
      </c>
      <c r="AN171" s="59">
        <f ca="1">AVERAGE(OFFSET($AM$3,0,0,'Données projet'!$E$10+1,1))-AVERAGE(OFFSET($H$3,0,0,'Données projet'!$E$10+1,1))</f>
        <v>348.76139845974495</v>
      </c>
      <c r="AO171" s="59">
        <f t="shared" si="144"/>
        <v>398.5142967182872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20.825083491098123</v>
      </c>
      <c r="AV171" s="21">
        <f>EXP(-LN(2)/25)*AV170+(1-EXP(-LN(2)/25))/(LN(2)/25)*Calculateur!AQ171*Calculateur!AS171*VLOOKUP('Données projet'!$B$10,Paramètres!$A$1:$I$89,3,0)*0.475*44/12</f>
        <v>2.846040285796346</v>
      </c>
      <c r="AW171" s="21">
        <f>EXP(-LN(2)/2)*AW170+(1-EXP(-LN(2)/2))/(LN(2)/2)*AQ171*AT171*VLOOKUP('Données projet'!$B$10,Paramètres!$A$1:$I$89,3,0)*0.475*44/12</f>
        <v>2.6434724198376567E-15</v>
      </c>
      <c r="AX171" s="21">
        <f t="shared" si="166"/>
        <v>23.671123776894472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-5.1159076974727213E-13</v>
      </c>
      <c r="BE171" s="13">
        <f>BD171*VLOOKUP('Données projet'!$B$11,Paramètres!$A$1:$I$89,3,0)*VLOOKUP('Données projet'!$B$11,Paramètres!$A$1:$I$89,5,0)</f>
        <v>-5.1875304052373401E-13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413.81510455446738</v>
      </c>
      <c r="BJ171" s="59">
        <f t="shared" si="146"/>
        <v>254.25036207346602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53.878404318195834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53.878404318195834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-5.6843418860808015E-14</v>
      </c>
      <c r="BZ171" s="13">
        <f>BY171*VLOOKUP('Données projet'!$B$12,Paramètres!$A$1:$I$89,3,0)*VLOOKUP('Données projet'!$B$12,Paramètres!$A$1:$I$89,5,0)</f>
        <v>-5.4092197387944907E-14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292.61712942007972</v>
      </c>
      <c r="CE171" s="59">
        <f t="shared" si="148"/>
        <v>152.23954167722536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22.257788035318324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22.257788035318324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-5.6843418860808015E-14</v>
      </c>
      <c r="CU171" s="17">
        <f>CT171*VLOOKUP('Données projet'!$B$13,Paramètres!$A$1:$I$89,3,0)*VLOOKUP('Données projet'!$B$13,Paramètres!$A$1:$I$89,5,0)</f>
        <v>-5.4978954722173515E-14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296.78766823247003</v>
      </c>
      <c r="CZ171" s="59">
        <f t="shared" si="150"/>
        <v>154.08406475869634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35.270903338075975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35.270903338075975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229.61973863654862</v>
      </c>
      <c r="T172" s="59">
        <f t="shared" si="142"/>
        <v>254.08208375594052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10.529059078195601</v>
      </c>
      <c r="AA172" s="21">
        <f>EXP(-LN(2)/25)*AA171+(1-EXP(-LN(2)/25))/(LN(2)/25)*Calculateur!V172*Calculateur!X172*VLOOKUP('Données projet'!$B$9,Paramètres!$A$1:$I$89,3,0)*0.475*44/12</f>
        <v>2.9027954875308404</v>
      </c>
      <c r="AB172" s="21">
        <f>EXP(-LN(2)/2)*AB171+(1-EXP(-LN(2)/2))/(LN(2)/2)*V172*Y172*VLOOKUP('Données projet'!$B$9,Paramètres!$A$1:$I$89,3,0)*0.475*44/12</f>
        <v>2.1594132317121417E-15</v>
      </c>
      <c r="AC172" s="22">
        <f t="shared" si="163"/>
        <v>13.431854565726443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1.3596945791505279E-13</v>
      </c>
      <c r="AK172" s="13">
        <f t="shared" si="164"/>
        <v>1.9708830566360721E-12</v>
      </c>
      <c r="AL172" s="20">
        <f t="shared" si="165"/>
        <v>3.669434796176543E-12</v>
      </c>
      <c r="AM172" s="59">
        <f t="shared" si="113"/>
        <v>293.33333333333701</v>
      </c>
      <c r="AN172" s="59">
        <f ca="1">AVERAGE(OFFSET($AM$3,0,0,'Données projet'!$E$10+1,1))-AVERAGE(OFFSET($H$3,0,0,'Données projet'!$E$10+1,1))</f>
        <v>348.76139845974495</v>
      </c>
      <c r="AO172" s="59">
        <f t="shared" si="144"/>
        <v>398.5142967182872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20.416716305884396</v>
      </c>
      <c r="AV172" s="21">
        <f>EXP(-LN(2)/25)*AV171+(1-EXP(-LN(2)/25))/(LN(2)/25)*Calculateur!AQ172*Calculateur!AS172*VLOOKUP('Données projet'!$B$10,Paramètres!$A$1:$I$89,3,0)*0.475*44/12</f>
        <v>2.768215164514491</v>
      </c>
      <c r="AW172" s="21">
        <f>EXP(-LN(2)/2)*AW171+(1-EXP(-LN(2)/2))/(LN(2)/2)*AQ172*AT172*VLOOKUP('Données projet'!$B$10,Paramètres!$A$1:$I$89,3,0)*0.475*44/12</f>
        <v>1.8692172739468191E-15</v>
      </c>
      <c r="AX172" s="21">
        <f t="shared" si="166"/>
        <v>23.18493147039889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-5.1159076974727213E-13</v>
      </c>
      <c r="BE172" s="13">
        <f>BD172*VLOOKUP('Données projet'!$B$11,Paramètres!$A$1:$I$89,3,0)*VLOOKUP('Données projet'!$B$11,Paramètres!$A$1:$I$89,5,0)</f>
        <v>-5.1875304052373401E-13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413.81510455446738</v>
      </c>
      <c r="BJ172" s="59">
        <f t="shared" si="146"/>
        <v>254.25036207346602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52.821881672097739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52.821881672097739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-5.6843418860808015E-14</v>
      </c>
      <c r="BZ172" s="13">
        <f>BY172*VLOOKUP('Données projet'!$B$12,Paramètres!$A$1:$I$89,3,0)*VLOOKUP('Données projet'!$B$12,Paramètres!$A$1:$I$89,5,0)</f>
        <v>-5.4092197387944907E-14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292.61712942007972</v>
      </c>
      <c r="CE172" s="59">
        <f t="shared" si="148"/>
        <v>152.23954167722536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21.821326387855922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21.821326387855922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-5.6843418860808015E-14</v>
      </c>
      <c r="CU172" s="17">
        <f>CT172*VLOOKUP('Données projet'!$B$13,Paramètres!$A$1:$I$89,3,0)*VLOOKUP('Données projet'!$B$13,Paramètres!$A$1:$I$89,5,0)</f>
        <v>-5.4978954722173515E-14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296.78766823247003</v>
      </c>
      <c r="CZ172" s="59">
        <f t="shared" si="150"/>
        <v>154.08406475869634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34.579262436743093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34.579262436743093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229.61973863654862</v>
      </c>
      <c r="T173" s="59">
        <f t="shared" si="142"/>
        <v>254.08208375594052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10.322590651764095</v>
      </c>
      <c r="AA173" s="21">
        <f>EXP(-LN(2)/25)*AA172+(1-EXP(-LN(2)/25))/(LN(2)/25)*Calculateur!V173*Calculateur!X173*VLOOKUP('Données projet'!$B$9,Paramètres!$A$1:$I$89,3,0)*0.475*44/12</f>
        <v>2.8234183922729295</v>
      </c>
      <c r="AB173" s="21">
        <f>EXP(-LN(2)/2)*AB172+(1-EXP(-LN(2)/2))/(LN(2)/2)*V173*Y173*VLOOKUP('Données projet'!$B$9,Paramètres!$A$1:$I$89,3,0)*0.475*44/12</f>
        <v>1.5269357395276128E-15</v>
      </c>
      <c r="AC173" s="22">
        <f t="shared" si="163"/>
        <v>13.146009044037026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1.3596945791505279E-13</v>
      </c>
      <c r="AK173" s="13">
        <f t="shared" si="164"/>
        <v>1.9708830566360721E-12</v>
      </c>
      <c r="AL173" s="20">
        <f t="shared" si="165"/>
        <v>3.669434796176543E-12</v>
      </c>
      <c r="AM173" s="59">
        <f t="shared" si="113"/>
        <v>293.33333333333701</v>
      </c>
      <c r="AN173" s="59">
        <f ca="1">AVERAGE(OFFSET($AM$3,0,0,'Données projet'!$E$10+1,1))-AVERAGE(OFFSET($H$3,0,0,'Données projet'!$E$10+1,1))</f>
        <v>348.76139845974495</v>
      </c>
      <c r="AO173" s="59">
        <f t="shared" si="144"/>
        <v>398.5142967182872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20.016356952093322</v>
      </c>
      <c r="AV173" s="21">
        <f>EXP(-LN(2)/25)*AV172+(1-EXP(-LN(2)/25))/(LN(2)/25)*Calculateur!AQ173*Calculateur!AS173*VLOOKUP('Données projet'!$B$10,Paramètres!$A$1:$I$89,3,0)*0.475*44/12</f>
        <v>2.6925181752667338</v>
      </c>
      <c r="AW173" s="21">
        <f>EXP(-LN(2)/2)*AW172+(1-EXP(-LN(2)/2))/(LN(2)/2)*AQ173*AT173*VLOOKUP('Données projet'!$B$10,Paramètres!$A$1:$I$89,3,0)*0.475*44/12</f>
        <v>1.3217362099188283E-15</v>
      </c>
      <c r="AX173" s="21">
        <f t="shared" si="166"/>
        <v>22.708875127360056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-5.1159076974727213E-13</v>
      </c>
      <c r="BE173" s="13">
        <f>BD173*VLOOKUP('Données projet'!$B$11,Paramètres!$A$1:$I$89,3,0)*VLOOKUP('Données projet'!$B$11,Paramètres!$A$1:$I$89,5,0)</f>
        <v>-5.1875304052373401E-13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413.81510455446738</v>
      </c>
      <c r="BJ173" s="59">
        <f t="shared" si="146"/>
        <v>254.25036207346602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51.786076790674443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51.786076790674443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-5.6843418860808015E-14</v>
      </c>
      <c r="BZ173" s="13">
        <f>BY173*VLOOKUP('Données projet'!$B$12,Paramètres!$A$1:$I$89,3,0)*VLOOKUP('Données projet'!$B$12,Paramètres!$A$1:$I$89,5,0)</f>
        <v>-5.4092197387944907E-14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292.61712942007972</v>
      </c>
      <c r="CE173" s="59">
        <f t="shared" si="148"/>
        <v>152.23954167722536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21.393423487084942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21.393423487084942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-5.6843418860808015E-14</v>
      </c>
      <c r="CU173" s="17">
        <f>CT173*VLOOKUP('Données projet'!$B$13,Paramètres!$A$1:$I$89,3,0)*VLOOKUP('Données projet'!$B$13,Paramètres!$A$1:$I$89,5,0)</f>
        <v>-5.4978954722173515E-14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296.78766823247003</v>
      </c>
      <c r="CZ173" s="59">
        <f t="shared" si="150"/>
        <v>154.08406475869634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33.901184191626058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33.901184191626058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229.61973863654862</v>
      </c>
      <c r="T174" s="59">
        <f t="shared" si="142"/>
        <v>254.08208375594052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10.120170945241604</v>
      </c>
      <c r="AA174" s="21">
        <f>EXP(-LN(2)/25)*AA173+(1-EXP(-LN(2)/25))/(LN(2)/25)*Calculateur!V174*Calculateur!X174*VLOOKUP('Données projet'!$B$9,Paramètres!$A$1:$I$89,3,0)*0.475*44/12</f>
        <v>2.7462118678591061</v>
      </c>
      <c r="AB174" s="21">
        <f>EXP(-LN(2)/2)*AB173+(1-EXP(-LN(2)/2))/(LN(2)/2)*V174*Y174*VLOOKUP('Données projet'!$B$9,Paramètres!$A$1:$I$89,3,0)*0.475*44/12</f>
        <v>1.0797066158560708E-15</v>
      </c>
      <c r="AC174" s="22">
        <f t="shared" si="163"/>
        <v>12.866382813100712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1.3596945791505279E-13</v>
      </c>
      <c r="AK174" s="13">
        <f t="shared" si="164"/>
        <v>1.9708830566360721E-12</v>
      </c>
      <c r="AL174" s="20">
        <f t="shared" si="165"/>
        <v>3.669434796176543E-12</v>
      </c>
      <c r="AM174" s="59">
        <f t="shared" si="113"/>
        <v>293.33333333333701</v>
      </c>
      <c r="AN174" s="59">
        <f ca="1">AVERAGE(OFFSET($AM$3,0,0,'Données projet'!$E$10+1,1))-AVERAGE(OFFSET($H$3,0,0,'Données projet'!$E$10+1,1))</f>
        <v>348.76139845974495</v>
      </c>
      <c r="AO174" s="59">
        <f t="shared" si="144"/>
        <v>398.5142967182872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19.623848401034998</v>
      </c>
      <c r="AV174" s="21">
        <f>EXP(-LN(2)/25)*AV173+(1-EXP(-LN(2)/25))/(LN(2)/25)*Calculateur!AQ174*Calculateur!AS174*VLOOKUP('Données projet'!$B$10,Paramètres!$A$1:$I$89,3,0)*0.475*44/12</f>
        <v>2.618891124170688</v>
      </c>
      <c r="AW174" s="21">
        <f>EXP(-LN(2)/2)*AW173+(1-EXP(-LN(2)/2))/(LN(2)/2)*AQ174*AT174*VLOOKUP('Données projet'!$B$10,Paramètres!$A$1:$I$89,3,0)*0.475*44/12</f>
        <v>9.3460863697340957E-16</v>
      </c>
      <c r="AX174" s="21">
        <f t="shared" si="166"/>
        <v>22.242739525205685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-5.1159076974727213E-13</v>
      </c>
      <c r="BE174" s="13">
        <f>BD174*VLOOKUP('Données projet'!$B$11,Paramètres!$A$1:$I$89,3,0)*VLOOKUP('Données projet'!$B$11,Paramètres!$A$1:$I$89,5,0)</f>
        <v>-5.1875304052373401E-13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413.81510455446738</v>
      </c>
      <c r="BJ174" s="59">
        <f t="shared" si="146"/>
        <v>254.25036207346602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50.770583411197265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50.770583411197265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-5.6843418860808015E-14</v>
      </c>
      <c r="BZ174" s="13">
        <f>BY174*VLOOKUP('Données projet'!$B$12,Paramètres!$A$1:$I$89,3,0)*VLOOKUP('Données projet'!$B$12,Paramètres!$A$1:$I$89,5,0)</f>
        <v>-5.4092197387944907E-14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292.61712942007972</v>
      </c>
      <c r="CE174" s="59">
        <f t="shared" si="148"/>
        <v>152.23954167722536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20.97391150120308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20.97391150120308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-5.6843418860808015E-14</v>
      </c>
      <c r="CU174" s="17">
        <f>CT174*VLOOKUP('Données projet'!$B$13,Paramètres!$A$1:$I$89,3,0)*VLOOKUP('Données projet'!$B$13,Paramètres!$A$1:$I$89,5,0)</f>
        <v>-5.4978954722173515E-14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296.78766823247003</v>
      </c>
      <c r="CZ174" s="59">
        <f t="shared" si="150"/>
        <v>154.08406475869634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33.236402647308878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33.236402647308878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229.61973863654862</v>
      </c>
      <c r="T175" s="59">
        <f t="shared" si="142"/>
        <v>254.08208375594052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9.9217205657001895</v>
      </c>
      <c r="AA175" s="21">
        <f>EXP(-LN(2)/25)*AA174+(1-EXP(-LN(2)/25))/(LN(2)/25)*Calculateur!V175*Calculateur!X175*VLOOKUP('Données projet'!$B$9,Paramètres!$A$1:$I$89,3,0)*0.475*44/12</f>
        <v>2.6711165599154931</v>
      </c>
      <c r="AB175" s="21">
        <f>EXP(-LN(2)/2)*AB174+(1-EXP(-LN(2)/2))/(LN(2)/2)*V175*Y175*VLOOKUP('Données projet'!$B$9,Paramètres!$A$1:$I$89,3,0)*0.475*44/12</f>
        <v>7.6346786976380641E-16</v>
      </c>
      <c r="AC175" s="22">
        <f t="shared" si="163"/>
        <v>12.592837125615683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1.3596945791505279E-13</v>
      </c>
      <c r="AK175" s="13">
        <f t="shared" si="164"/>
        <v>1.9708830566360721E-12</v>
      </c>
      <c r="AL175" s="20">
        <f t="shared" si="165"/>
        <v>3.669434796176543E-12</v>
      </c>
      <c r="AM175" s="59">
        <f t="shared" si="113"/>
        <v>293.33333333333701</v>
      </c>
      <c r="AN175" s="59">
        <f ca="1">AVERAGE(OFFSET($AM$3,0,0,'Données projet'!$E$10+1,1))-AVERAGE(OFFSET($H$3,0,0,'Données projet'!$E$10+1,1))</f>
        <v>348.76139845974495</v>
      </c>
      <c r="AO175" s="59">
        <f t="shared" si="144"/>
        <v>398.5142967182872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19.23903670325635</v>
      </c>
      <c r="AV175" s="21">
        <f>EXP(-LN(2)/25)*AV174+(1-EXP(-LN(2)/25))/(LN(2)/25)*Calculateur!AQ175*Calculateur!AS175*VLOOKUP('Données projet'!$B$10,Paramètres!$A$1:$I$89,3,0)*0.475*44/12</f>
        <v>2.5472774086587417</v>
      </c>
      <c r="AW175" s="21">
        <f>EXP(-LN(2)/2)*AW174+(1-EXP(-LN(2)/2))/(LN(2)/2)*AQ175*AT175*VLOOKUP('Données projet'!$B$10,Paramètres!$A$1:$I$89,3,0)*0.475*44/12</f>
        <v>6.6086810495941417E-16</v>
      </c>
      <c r="AX175" s="21">
        <f t="shared" si="166"/>
        <v>21.78631411191509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-5.1159076974727213E-13</v>
      </c>
      <c r="BE175" s="13">
        <f>BD175*VLOOKUP('Données projet'!$B$11,Paramètres!$A$1:$I$89,3,0)*VLOOKUP('Données projet'!$B$11,Paramètres!$A$1:$I$89,5,0)</f>
        <v>-5.1875304052373401E-13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413.81510455446738</v>
      </c>
      <c r="BJ175" s="59">
        <f t="shared" si="146"/>
        <v>254.25036207346602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49.775003237501828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49.775003237501828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-5.6843418860808015E-14</v>
      </c>
      <c r="BZ175" s="13">
        <f>BY175*VLOOKUP('Données projet'!$B$12,Paramètres!$A$1:$I$89,3,0)*VLOOKUP('Données projet'!$B$12,Paramètres!$A$1:$I$89,5,0)</f>
        <v>-5.4092197387944907E-14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292.61712942007972</v>
      </c>
      <c r="CE175" s="59">
        <f t="shared" si="148"/>
        <v>152.23954167722536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20.562625889487318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20.562625889487318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-5.6843418860808015E-14</v>
      </c>
      <c r="CU175" s="17">
        <f>CT175*VLOOKUP('Données projet'!$B$13,Paramètres!$A$1:$I$89,3,0)*VLOOKUP('Données projet'!$B$13,Paramètres!$A$1:$I$89,5,0)</f>
        <v>-5.4978954722173515E-14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296.78766823247003</v>
      </c>
      <c r="CZ175" s="59">
        <f t="shared" si="150"/>
        <v>154.08406475869634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32.584657063599053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32.584657063599053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229.61973863654862</v>
      </c>
      <c r="T176" s="59">
        <f t="shared" si="142"/>
        <v>254.08208375594052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9.7271616770588025</v>
      </c>
      <c r="AA176" s="21">
        <f>EXP(-LN(2)/25)*AA175+(1-EXP(-LN(2)/25))/(LN(2)/25)*Calculateur!V176*Calculateur!X176*VLOOKUP('Données projet'!$B$9,Paramètres!$A$1:$I$89,3,0)*0.475*44/12</f>
        <v>2.598074737116689</v>
      </c>
      <c r="AB176" s="21">
        <f>EXP(-LN(2)/2)*AB175+(1-EXP(-LN(2)/2))/(LN(2)/2)*V176*Y176*VLOOKUP('Données projet'!$B$9,Paramètres!$A$1:$I$89,3,0)*0.475*44/12</f>
        <v>5.3985330792803542E-16</v>
      </c>
      <c r="AC176" s="22">
        <f t="shared" si="163"/>
        <v>12.325236414175492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1.3596945791505279E-13</v>
      </c>
      <c r="AK176" s="13">
        <f t="shared" si="164"/>
        <v>1.9708830566360721E-12</v>
      </c>
      <c r="AL176" s="20">
        <f t="shared" si="165"/>
        <v>3.669434796176543E-12</v>
      </c>
      <c r="AM176" s="59">
        <f t="shared" si="113"/>
        <v>293.33333333333701</v>
      </c>
      <c r="AN176" s="59">
        <f ca="1">AVERAGE(OFFSET($AM$3,0,0,'Données projet'!$E$10+1,1))-AVERAGE(OFFSET($H$3,0,0,'Données projet'!$E$10+1,1))</f>
        <v>348.76139845974495</v>
      </c>
      <c r="AO176" s="59">
        <f t="shared" si="144"/>
        <v>398.5142967182872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18.861770928159181</v>
      </c>
      <c r="AV176" s="21">
        <f>EXP(-LN(2)/25)*AV175+(1-EXP(-LN(2)/25))/(LN(2)/25)*Calculateur!AQ176*Calculateur!AS176*VLOOKUP('Données projet'!$B$10,Paramètres!$A$1:$I$89,3,0)*0.475*44/12</f>
        <v>2.4776219739634713</v>
      </c>
      <c r="AW176" s="21">
        <f>EXP(-LN(2)/2)*AW175+(1-EXP(-LN(2)/2))/(LN(2)/2)*AQ176*AT176*VLOOKUP('Données projet'!$B$10,Paramètres!$A$1:$I$89,3,0)*0.475*44/12</f>
        <v>4.6730431848670479E-16</v>
      </c>
      <c r="AX176" s="21">
        <f t="shared" si="166"/>
        <v>21.339392902122654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-5.1159076974727213E-13</v>
      </c>
      <c r="BE176" s="13">
        <f>BD176*VLOOKUP('Données projet'!$B$11,Paramètres!$A$1:$I$89,3,0)*VLOOKUP('Données projet'!$B$11,Paramètres!$A$1:$I$89,5,0)</f>
        <v>-5.1875304052373401E-13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413.81510455446738</v>
      </c>
      <c r="BJ176" s="59">
        <f t="shared" si="146"/>
        <v>254.25036207346602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48.798945783768616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48.798945783768616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-5.6843418860808015E-14</v>
      </c>
      <c r="BZ176" s="13">
        <f>BY176*VLOOKUP('Données projet'!$B$12,Paramètres!$A$1:$I$89,3,0)*VLOOKUP('Données projet'!$B$12,Paramètres!$A$1:$I$89,5,0)</f>
        <v>-5.4092197387944907E-14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292.61712942007972</v>
      </c>
      <c r="CE176" s="59">
        <f t="shared" si="148"/>
        <v>152.23954167722536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20.15940533775785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20.15940533775785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-5.6843418860808015E-14</v>
      </c>
      <c r="CU176" s="17">
        <f>CT176*VLOOKUP('Données projet'!$B$13,Paramètres!$A$1:$I$89,3,0)*VLOOKUP('Données projet'!$B$13,Paramètres!$A$1:$I$89,5,0)</f>
        <v>-5.4978954722173515E-14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296.78766823247003</v>
      </c>
      <c r="CZ176" s="59">
        <f t="shared" si="150"/>
        <v>154.08406475869634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31.945691813260222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31.945691813260222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229.61973863654862</v>
      </c>
      <c r="T177" s="59">
        <f t="shared" si="142"/>
        <v>254.08208375594052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9.5364179695544689</v>
      </c>
      <c r="AA177" s="21">
        <f>EXP(-LN(2)/25)*AA176+(1-EXP(-LN(2)/25))/(LN(2)/25)*Calculateur!V177*Calculateur!X177*VLOOKUP('Données projet'!$B$9,Paramètres!$A$1:$I$89,3,0)*0.475*44/12</f>
        <v>2.5270302468034207</v>
      </c>
      <c r="AB177" s="21">
        <f>EXP(-LN(2)/2)*AB176+(1-EXP(-LN(2)/2))/(LN(2)/2)*V177*Y177*VLOOKUP('Données projet'!$B$9,Paramètres!$A$1:$I$89,3,0)*0.475*44/12</f>
        <v>3.8173393488190321E-16</v>
      </c>
      <c r="AC177" s="22">
        <f t="shared" si="163"/>
        <v>12.063448216357889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1.3596945791505279E-13</v>
      </c>
      <c r="AK177" s="13">
        <f t="shared" si="164"/>
        <v>1.9708830566360721E-12</v>
      </c>
      <c r="AL177" s="20">
        <f t="shared" si="165"/>
        <v>3.669434796176543E-12</v>
      </c>
      <c r="AM177" s="59">
        <f t="shared" si="113"/>
        <v>293.33333333333701</v>
      </c>
      <c r="AN177" s="59">
        <f ca="1">AVERAGE(OFFSET($AM$3,0,0,'Données projet'!$E$10+1,1))-AVERAGE(OFFSET($H$3,0,0,'Données projet'!$E$10+1,1))</f>
        <v>348.76139845974495</v>
      </c>
      <c r="AO177" s="59">
        <f t="shared" si="144"/>
        <v>398.5142967182872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18.491903104802265</v>
      </c>
      <c r="AV177" s="21">
        <f>EXP(-LN(2)/25)*AV176+(1-EXP(-LN(2)/25))/(LN(2)/25)*Calculateur!AQ177*Calculateur!AS177*VLOOKUP('Données projet'!$B$10,Paramètres!$A$1:$I$89,3,0)*0.475*44/12</f>
        <v>2.409871270792963</v>
      </c>
      <c r="AW177" s="21">
        <f>EXP(-LN(2)/2)*AW176+(1-EXP(-LN(2)/2))/(LN(2)/2)*AQ177*AT177*VLOOKUP('Données projet'!$B$10,Paramètres!$A$1:$I$89,3,0)*0.475*44/12</f>
        <v>3.3043405247970708E-16</v>
      </c>
      <c r="AX177" s="21">
        <f t="shared" si="166"/>
        <v>20.901774375595227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-5.1159076974727213E-13</v>
      </c>
      <c r="BE177" s="13">
        <f>BD177*VLOOKUP('Données projet'!$B$11,Paramètres!$A$1:$I$89,3,0)*VLOOKUP('Données projet'!$B$11,Paramètres!$A$1:$I$89,5,0)</f>
        <v>-5.1875304052373401E-13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413.81510455446738</v>
      </c>
      <c r="BJ177" s="59">
        <f t="shared" si="146"/>
        <v>254.25036207346602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47.842028221366853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47.842028221366853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-5.6843418860808015E-14</v>
      </c>
      <c r="BZ177" s="13">
        <f>BY177*VLOOKUP('Données projet'!$B$12,Paramètres!$A$1:$I$89,3,0)*VLOOKUP('Données projet'!$B$12,Paramètres!$A$1:$I$89,5,0)</f>
        <v>-5.4092197387944907E-14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292.61712942007972</v>
      </c>
      <c r="CE177" s="59">
        <f t="shared" si="148"/>
        <v>152.23954167722536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19.764091695107542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19.764091695107542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-5.6843418860808015E-14</v>
      </c>
      <c r="CU177" s="17">
        <f>CT177*VLOOKUP('Données projet'!$B$13,Paramètres!$A$1:$I$89,3,0)*VLOOKUP('Données projet'!$B$13,Paramètres!$A$1:$I$89,5,0)</f>
        <v>-5.4978954722173515E-14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296.78766823247003</v>
      </c>
      <c r="CZ177" s="59">
        <f t="shared" si="150"/>
        <v>154.08406475869634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31.319256281750217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31.319256281750217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229.61973863654862</v>
      </c>
      <c r="T178" s="59">
        <f t="shared" si="142"/>
        <v>254.08208375594052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9.3494146298121219</v>
      </c>
      <c r="AA178" s="21">
        <f>EXP(-LN(2)/25)*AA177+(1-EXP(-LN(2)/25))/(LN(2)/25)*Calculateur!V178*Calculateur!X178*VLOOKUP('Données projet'!$B$9,Paramètres!$A$1:$I$89,3,0)*0.475*44/12</f>
        <v>2.4579284718138359</v>
      </c>
      <c r="AB178" s="21">
        <f>EXP(-LN(2)/2)*AB177+(1-EXP(-LN(2)/2))/(LN(2)/2)*V178*Y178*VLOOKUP('Données projet'!$B$9,Paramètres!$A$1:$I$89,3,0)*0.475*44/12</f>
        <v>2.6992665396401771E-16</v>
      </c>
      <c r="AC178" s="22">
        <f t="shared" si="163"/>
        <v>11.807343101625957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1.3596945791505279E-13</v>
      </c>
      <c r="AK178" s="13">
        <f t="shared" si="164"/>
        <v>1.9708830566360721E-12</v>
      </c>
      <c r="AL178" s="20">
        <f t="shared" si="165"/>
        <v>3.669434796176543E-12</v>
      </c>
      <c r="AM178" s="59">
        <f t="shared" si="113"/>
        <v>293.33333333333701</v>
      </c>
      <c r="AN178" s="59">
        <f ca="1">AVERAGE(OFFSET($AM$3,0,0,'Données projet'!$E$10+1,1))-AVERAGE(OFFSET($H$3,0,0,'Données projet'!$E$10+1,1))</f>
        <v>348.76139845974495</v>
      </c>
      <c r="AO178" s="59">
        <f t="shared" si="144"/>
        <v>398.5142967182872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18.129288163864285</v>
      </c>
      <c r="AV178" s="21">
        <f>EXP(-LN(2)/25)*AV177+(1-EXP(-LN(2)/25))/(LN(2)/25)*Calculateur!AQ178*Calculateur!AS178*VLOOKUP('Données projet'!$B$10,Paramètres!$A$1:$I$89,3,0)*0.475*44/12</f>
        <v>2.343973214163507</v>
      </c>
      <c r="AW178" s="21">
        <f>EXP(-LN(2)/2)*AW177+(1-EXP(-LN(2)/2))/(LN(2)/2)*AQ178*AT178*VLOOKUP('Données projet'!$B$10,Paramètres!$A$1:$I$89,3,0)*0.475*44/12</f>
        <v>2.3365215924335239E-16</v>
      </c>
      <c r="AX178" s="21">
        <f t="shared" si="166"/>
        <v>20.473261378027793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-5.1159076974727213E-13</v>
      </c>
      <c r="BE178" s="13">
        <f>BD178*VLOOKUP('Données projet'!$B$11,Paramètres!$A$1:$I$89,3,0)*VLOOKUP('Données projet'!$B$11,Paramètres!$A$1:$I$89,5,0)</f>
        <v>-5.1875304052373401E-13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413.81510455446738</v>
      </c>
      <c r="BJ178" s="59">
        <f t="shared" si="146"/>
        <v>254.25036207346602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46.9038752287017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46.9038752287017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-5.6843418860808015E-14</v>
      </c>
      <c r="BZ178" s="13">
        <f>BY178*VLOOKUP('Données projet'!$B$12,Paramètres!$A$1:$I$89,3,0)*VLOOKUP('Données projet'!$B$12,Paramètres!$A$1:$I$89,5,0)</f>
        <v>-5.4092197387944907E-14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292.61712942007972</v>
      </c>
      <c r="CE178" s="59">
        <f t="shared" si="148"/>
        <v>152.23954167722536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19.376529911872094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19.376529911872094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-5.6843418860808015E-14</v>
      </c>
      <c r="CU178" s="17">
        <f>CT178*VLOOKUP('Données projet'!$B$13,Paramètres!$A$1:$I$89,3,0)*VLOOKUP('Données projet'!$B$13,Paramètres!$A$1:$I$89,5,0)</f>
        <v>-5.4978954722173515E-14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296.78766823247003</v>
      </c>
      <c r="CZ178" s="59">
        <f t="shared" si="150"/>
        <v>154.08406475869634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30.705104768925178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30.705104768925178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229.61973863654862</v>
      </c>
      <c r="T179" s="59">
        <f t="shared" si="142"/>
        <v>254.08208375594052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9.166078311501348</v>
      </c>
      <c r="AA179" s="21">
        <f>EXP(-LN(2)/25)*AA178+(1-EXP(-LN(2)/25))/(LN(2)/25)*Calculateur!V179*Calculateur!X179*VLOOKUP('Données projet'!$B$9,Paramètres!$A$1:$I$89,3,0)*0.475*44/12</f>
        <v>2.3907162884952458</v>
      </c>
      <c r="AB179" s="21">
        <f>EXP(-LN(2)/2)*AB178+(1-EXP(-LN(2)/2))/(LN(2)/2)*V179*Y179*VLOOKUP('Données projet'!$B$9,Paramètres!$A$1:$I$89,3,0)*0.475*44/12</f>
        <v>1.908669674409516E-16</v>
      </c>
      <c r="AC179" s="22">
        <f t="shared" si="163"/>
        <v>11.556794599996593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1.3596945791505279E-13</v>
      </c>
      <c r="AK179" s="13">
        <f t="shared" si="164"/>
        <v>1.9708830566360721E-12</v>
      </c>
      <c r="AL179" s="20">
        <f t="shared" si="165"/>
        <v>3.669434796176543E-12</v>
      </c>
      <c r="AM179" s="59">
        <f t="shared" si="113"/>
        <v>293.33333333333701</v>
      </c>
      <c r="AN179" s="59">
        <f ca="1">AVERAGE(OFFSET($AM$3,0,0,'Données projet'!$E$10+1,1))-AVERAGE(OFFSET($H$3,0,0,'Données projet'!$E$10+1,1))</f>
        <v>348.76139845974495</v>
      </c>
      <c r="AO179" s="59">
        <f t="shared" si="144"/>
        <v>398.5142967182872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17.773783880744823</v>
      </c>
      <c r="AV179" s="21">
        <f>EXP(-LN(2)/25)*AV178+(1-EXP(-LN(2)/25))/(LN(2)/25)*Calculateur!AQ179*Calculateur!AS179*VLOOKUP('Données projet'!$B$10,Paramètres!$A$1:$I$89,3,0)*0.475*44/12</f>
        <v>2.2798771433580116</v>
      </c>
      <c r="AW179" s="21">
        <f>EXP(-LN(2)/2)*AW178+(1-EXP(-LN(2)/2))/(LN(2)/2)*AQ179*AT179*VLOOKUP('Données projet'!$B$10,Paramètres!$A$1:$I$89,3,0)*0.475*44/12</f>
        <v>1.6521702623985354E-16</v>
      </c>
      <c r="AX179" s="21">
        <f t="shared" si="166"/>
        <v>20.053661024102833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-5.1159076974727213E-13</v>
      </c>
      <c r="BE179" s="13">
        <f>BD179*VLOOKUP('Données projet'!$B$11,Paramètres!$A$1:$I$89,3,0)*VLOOKUP('Données projet'!$B$11,Paramètres!$A$1:$I$89,5,0)</f>
        <v>-5.1875304052373401E-13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413.81510455446738</v>
      </c>
      <c r="BJ179" s="59">
        <f t="shared" si="146"/>
        <v>254.25036207346602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45.984118844005891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45.984118844005891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-5.6843418860808015E-14</v>
      </c>
      <c r="BZ179" s="13">
        <f>BY179*VLOOKUP('Données projet'!$B$12,Paramètres!$A$1:$I$89,3,0)*VLOOKUP('Données projet'!$B$12,Paramètres!$A$1:$I$89,5,0)</f>
        <v>-5.4092197387944907E-14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292.61712942007972</v>
      </c>
      <c r="CE179" s="59">
        <f t="shared" si="148"/>
        <v>152.23954167722536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18.996567978816547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18.996567978816547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-5.6843418860808015E-14</v>
      </c>
      <c r="CU179" s="17">
        <f>CT179*VLOOKUP('Données projet'!$B$13,Paramètres!$A$1:$I$89,3,0)*VLOOKUP('Données projet'!$B$13,Paramètres!$A$1:$I$89,5,0)</f>
        <v>-5.4978954722173515E-14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296.78766823247003</v>
      </c>
      <c r="CZ179" s="59">
        <f t="shared" si="150"/>
        <v>154.08406475869634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30.102996392671201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30.102996392671201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229.61973863654862</v>
      </c>
      <c r="T180" s="59">
        <f t="shared" si="142"/>
        <v>254.08208375594052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8.986337106568536</v>
      </c>
      <c r="AA180" s="21">
        <f>EXP(-LN(2)/25)*AA179+(1-EXP(-LN(2)/25))/(LN(2)/25)*Calculateur!V180*Calculateur!X180*VLOOKUP('Données projet'!$B$9,Paramètres!$A$1:$I$89,3,0)*0.475*44/12</f>
        <v>2.3253420258640376</v>
      </c>
      <c r="AB180" s="21">
        <f>EXP(-LN(2)/2)*AB179+(1-EXP(-LN(2)/2))/(LN(2)/2)*V180*Y180*VLOOKUP('Données projet'!$B$9,Paramètres!$A$1:$I$89,3,0)*0.475*44/12</f>
        <v>1.3496332698200885E-16</v>
      </c>
      <c r="AC180" s="22">
        <f t="shared" si="163"/>
        <v>11.311679132432573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1.3596945791505279E-13</v>
      </c>
      <c r="AK180" s="13">
        <f t="shared" si="164"/>
        <v>1.9708830566360721E-12</v>
      </c>
      <c r="AL180" s="20">
        <f t="shared" si="165"/>
        <v>3.669434796176543E-12</v>
      </c>
      <c r="AM180" s="59">
        <f t="shared" si="113"/>
        <v>293.33333333333701</v>
      </c>
      <c r="AN180" s="59">
        <f ca="1">AVERAGE(OFFSET($AM$3,0,0,'Données projet'!$E$10+1,1))-AVERAGE(OFFSET($H$3,0,0,'Données projet'!$E$10+1,1))</f>
        <v>348.76139845974495</v>
      </c>
      <c r="AO180" s="59">
        <f t="shared" si="144"/>
        <v>398.5142967182872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17.42525081978113</v>
      </c>
      <c r="AV180" s="21">
        <f>EXP(-LN(2)/25)*AV179+(1-EXP(-LN(2)/25))/(LN(2)/25)*Calculateur!AQ180*Calculateur!AS180*VLOOKUP('Données projet'!$B$10,Paramètres!$A$1:$I$89,3,0)*0.475*44/12</f>
        <v>2.2175337829793587</v>
      </c>
      <c r="AW180" s="21">
        <f>EXP(-LN(2)/2)*AW179+(1-EXP(-LN(2)/2))/(LN(2)/2)*AQ180*AT180*VLOOKUP('Données projet'!$B$10,Paramètres!$A$1:$I$89,3,0)*0.475*44/12</f>
        <v>1.168260796216762E-16</v>
      </c>
      <c r="AX180" s="21">
        <f t="shared" si="166"/>
        <v>19.642784602760489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-5.1159076974727213E-13</v>
      </c>
      <c r="BE180" s="13">
        <f>BD180*VLOOKUP('Données projet'!$B$11,Paramètres!$A$1:$I$89,3,0)*VLOOKUP('Données projet'!$B$11,Paramètres!$A$1:$I$89,5,0)</f>
        <v>-5.1875304052373401E-13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413.81510455446738</v>
      </c>
      <c r="BJ180" s="59">
        <f t="shared" si="146"/>
        <v>254.25036207346602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45.082398321017969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45.082398321017969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-5.6843418860808015E-14</v>
      </c>
      <c r="BZ180" s="13">
        <f>BY180*VLOOKUP('Données projet'!$B$12,Paramètres!$A$1:$I$89,3,0)*VLOOKUP('Données projet'!$B$12,Paramètres!$A$1:$I$89,5,0)</f>
        <v>-5.4092197387944907E-14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292.61712942007972</v>
      </c>
      <c r="CE180" s="59">
        <f t="shared" si="148"/>
        <v>152.23954167722536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18.624056867514323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18.624056867514323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-5.6843418860808015E-14</v>
      </c>
      <c r="CU180" s="17">
        <f>CT180*VLOOKUP('Données projet'!$B$13,Paramètres!$A$1:$I$89,3,0)*VLOOKUP('Données projet'!$B$13,Paramètres!$A$1:$I$89,5,0)</f>
        <v>-5.4978954722173515E-14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296.78766823247003</v>
      </c>
      <c r="CZ180" s="59">
        <f t="shared" si="150"/>
        <v>154.08406475869634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29.512694994425718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29.512694994425718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229.61973863654862</v>
      </c>
      <c r="T181" s="59">
        <f t="shared" si="142"/>
        <v>254.08208375594052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8.8101205170331465</v>
      </c>
      <c r="AA181" s="21">
        <f>EXP(-LN(2)/25)*AA180+(1-EXP(-LN(2)/25))/(LN(2)/25)*Calculateur!V181*Calculateur!X181*VLOOKUP('Données projet'!$B$9,Paramètres!$A$1:$I$89,3,0)*0.475*44/12</f>
        <v>2.2617554258823631</v>
      </c>
      <c r="AB181" s="21">
        <f>EXP(-LN(2)/2)*AB180+(1-EXP(-LN(2)/2))/(LN(2)/2)*V181*Y181*VLOOKUP('Données projet'!$B$9,Paramètres!$A$1:$I$89,3,0)*0.475*44/12</f>
        <v>9.5433483720475802E-17</v>
      </c>
      <c r="AC181" s="22">
        <f t="shared" si="163"/>
        <v>11.07187594291551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1.3596945791505279E-13</v>
      </c>
      <c r="AK181" s="13">
        <f t="shared" si="164"/>
        <v>1.9708830566360721E-12</v>
      </c>
      <c r="AL181" s="20">
        <f t="shared" si="165"/>
        <v>3.669434796176543E-12</v>
      </c>
      <c r="AM181" s="59">
        <f t="shared" si="113"/>
        <v>293.33333333333701</v>
      </c>
      <c r="AN181" s="59">
        <f ca="1">AVERAGE(OFFSET($AM$3,0,0,'Données projet'!$E$10+1,1))-AVERAGE(OFFSET($H$3,0,0,'Données projet'!$E$10+1,1))</f>
        <v>348.76139845974495</v>
      </c>
      <c r="AO181" s="59">
        <f t="shared" si="144"/>
        <v>398.5142967182872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17.083552279558759</v>
      </c>
      <c r="AV181" s="21">
        <f>EXP(-LN(2)/25)*AV180+(1-EXP(-LN(2)/25))/(LN(2)/25)*Calculateur!AQ181*Calculateur!AS181*VLOOKUP('Données projet'!$B$10,Paramètres!$A$1:$I$89,3,0)*0.475*44/12</f>
        <v>2.1568952050687549</v>
      </c>
      <c r="AW181" s="21">
        <f>EXP(-LN(2)/2)*AW180+(1-EXP(-LN(2)/2))/(LN(2)/2)*AQ181*AT181*VLOOKUP('Données projet'!$B$10,Paramètres!$A$1:$I$89,3,0)*0.475*44/12</f>
        <v>8.2608513119926771E-17</v>
      </c>
      <c r="AX181" s="21">
        <f t="shared" si="166"/>
        <v>19.240447484627513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-5.1159076974727213E-13</v>
      </c>
      <c r="BE181" s="13">
        <f>BD181*VLOOKUP('Données projet'!$B$11,Paramètres!$A$1:$I$89,3,0)*VLOOKUP('Données projet'!$B$11,Paramètres!$A$1:$I$89,5,0)</f>
        <v>-5.1875304052373401E-13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413.81510455446738</v>
      </c>
      <c r="BJ181" s="59">
        <f t="shared" si="146"/>
        <v>254.25036207346602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44.198359987490626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44.198359987490626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-5.6843418860808015E-14</v>
      </c>
      <c r="BZ181" s="13">
        <f>BY181*VLOOKUP('Données projet'!$B$12,Paramètres!$A$1:$I$89,3,0)*VLOOKUP('Données projet'!$B$12,Paramètres!$A$1:$I$89,5,0)</f>
        <v>-5.4092197387944907E-14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292.61712942007972</v>
      </c>
      <c r="CE181" s="59">
        <f t="shared" si="148"/>
        <v>152.23954167722536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18.258850471895393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18.258850471895393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-5.6843418860808015E-14</v>
      </c>
      <c r="CU181" s="17">
        <f>CT181*VLOOKUP('Données projet'!$B$13,Paramètres!$A$1:$I$89,3,0)*VLOOKUP('Données projet'!$B$13,Paramètres!$A$1:$I$89,5,0)</f>
        <v>-5.4978954722173515E-14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296.78766823247003</v>
      </c>
      <c r="CZ181" s="59">
        <f t="shared" si="150"/>
        <v>154.08406475869634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28.933969046551528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28.933969046551528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229.61973863654862</v>
      </c>
      <c r="T182" s="59">
        <f t="shared" si="142"/>
        <v>254.08208375594052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8.6373594273370387</v>
      </c>
      <c r="AA182" s="21">
        <f>EXP(-LN(2)/25)*AA181+(1-EXP(-LN(2)/25))/(LN(2)/25)*Calculateur!V182*Calculateur!X182*VLOOKUP('Données projet'!$B$9,Paramètres!$A$1:$I$89,3,0)*0.475*44/12</f>
        <v>2.1999076048210613</v>
      </c>
      <c r="AB182" s="21">
        <f>EXP(-LN(2)/2)*AB181+(1-EXP(-LN(2)/2))/(LN(2)/2)*V182*Y182*VLOOKUP('Données projet'!$B$9,Paramètres!$A$1:$I$89,3,0)*0.475*44/12</f>
        <v>6.7481663491004427E-17</v>
      </c>
      <c r="AC182" s="22">
        <f t="shared" si="163"/>
        <v>10.837267032158099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1.3596945791505279E-13</v>
      </c>
      <c r="AK182" s="13">
        <f t="shared" si="164"/>
        <v>1.9708830566360721E-12</v>
      </c>
      <c r="AL182" s="20">
        <f t="shared" si="165"/>
        <v>3.669434796176543E-12</v>
      </c>
      <c r="AM182" s="59">
        <f t="shared" si="113"/>
        <v>293.33333333333701</v>
      </c>
      <c r="AN182" s="59">
        <f ca="1">AVERAGE(OFFSET($AM$3,0,0,'Données projet'!$E$10+1,1))-AVERAGE(OFFSET($H$3,0,0,'Données projet'!$E$10+1,1))</f>
        <v>348.76139845974495</v>
      </c>
      <c r="AO182" s="59">
        <f t="shared" si="144"/>
        <v>398.5142967182872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16.74855423929462</v>
      </c>
      <c r="AV182" s="21">
        <f>EXP(-LN(2)/25)*AV181+(1-EXP(-LN(2)/25))/(LN(2)/25)*Calculateur!AQ182*Calculateur!AS182*VLOOKUP('Données projet'!$B$10,Paramètres!$A$1:$I$89,3,0)*0.475*44/12</f>
        <v>2.0979147922599606</v>
      </c>
      <c r="AW182" s="21">
        <f>EXP(-LN(2)/2)*AW181+(1-EXP(-LN(2)/2))/(LN(2)/2)*AQ182*AT182*VLOOKUP('Données projet'!$B$10,Paramètres!$A$1:$I$89,3,0)*0.475*44/12</f>
        <v>5.8413039810838098E-17</v>
      </c>
      <c r="AX182" s="21">
        <f t="shared" si="166"/>
        <v>18.84646903155458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-5.1159076974727213E-13</v>
      </c>
      <c r="BE182" s="13">
        <f>BD182*VLOOKUP('Données projet'!$B$11,Paramètres!$A$1:$I$89,3,0)*VLOOKUP('Données projet'!$B$11,Paramètres!$A$1:$I$89,5,0)</f>
        <v>-5.1875304052373401E-13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413.81510455446738</v>
      </c>
      <c r="BJ182" s="59">
        <f t="shared" si="146"/>
        <v>254.25036207346602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43.331657106473614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43.331657106473614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-5.6843418860808015E-14</v>
      </c>
      <c r="BZ182" s="13">
        <f>BY182*VLOOKUP('Données projet'!$B$12,Paramètres!$A$1:$I$89,3,0)*VLOOKUP('Données projet'!$B$12,Paramètres!$A$1:$I$89,5,0)</f>
        <v>-5.4092197387944907E-14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292.61712942007972</v>
      </c>
      <c r="CE182" s="59">
        <f t="shared" si="148"/>
        <v>152.23954167722536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17.900805550940646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17.900805550940646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-5.6843418860808015E-14</v>
      </c>
      <c r="CU182" s="17">
        <f>CT182*VLOOKUP('Données projet'!$B$13,Paramètres!$A$1:$I$89,3,0)*VLOOKUP('Données projet'!$B$13,Paramètres!$A$1:$I$89,5,0)</f>
        <v>-5.4978954722173515E-14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296.78766823247003</v>
      </c>
      <c r="CZ182" s="59">
        <f t="shared" si="150"/>
        <v>154.08406475869634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28.366591561527176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28.366591561527176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229.61973863654862</v>
      </c>
      <c r="T183" s="59">
        <f t="shared" si="142"/>
        <v>254.08208375594052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8.4679860772360112</v>
      </c>
      <c r="AA183" s="21">
        <f>EXP(-LN(2)/25)*AA182+(1-EXP(-LN(2)/25))/(LN(2)/25)*Calculateur!V183*Calculateur!X183*VLOOKUP('Données projet'!$B$9,Paramètres!$A$1:$I$89,3,0)*0.475*44/12</f>
        <v>2.1397510156791162</v>
      </c>
      <c r="AB183" s="21">
        <f>EXP(-LN(2)/2)*AB182+(1-EXP(-LN(2)/2))/(LN(2)/2)*V183*Y183*VLOOKUP('Données projet'!$B$9,Paramètres!$A$1:$I$89,3,0)*0.475*44/12</f>
        <v>4.7716741860237901E-17</v>
      </c>
      <c r="AC183" s="22">
        <f t="shared" si="163"/>
        <v>10.607737092915126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1.3596945791505279E-13</v>
      </c>
      <c r="AK183" s="13">
        <f t="shared" si="164"/>
        <v>1.9708830566360721E-12</v>
      </c>
      <c r="AL183" s="20">
        <f t="shared" si="165"/>
        <v>3.669434796176543E-12</v>
      </c>
      <c r="AM183" s="59">
        <f t="shared" si="113"/>
        <v>293.33333333333701</v>
      </c>
      <c r="AN183" s="59">
        <f ca="1">AVERAGE(OFFSET($AM$3,0,0,'Données projet'!$E$10+1,1))-AVERAGE(OFFSET($H$3,0,0,'Données projet'!$E$10+1,1))</f>
        <v>348.76139845974495</v>
      </c>
      <c r="AO183" s="59">
        <f t="shared" si="144"/>
        <v>398.5142967182872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16.42012530627143</v>
      </c>
      <c r="AV183" s="21">
        <f>EXP(-LN(2)/25)*AV182+(1-EXP(-LN(2)/25))/(LN(2)/25)*Calculateur!AQ183*Calculateur!AS183*VLOOKUP('Données projet'!$B$10,Paramètres!$A$1:$I$89,3,0)*0.475*44/12</f>
        <v>2.040547201941068</v>
      </c>
      <c r="AW183" s="21">
        <f>EXP(-LN(2)/2)*AW182+(1-EXP(-LN(2)/2))/(LN(2)/2)*AQ183*AT183*VLOOKUP('Données projet'!$B$10,Paramètres!$A$1:$I$89,3,0)*0.475*44/12</f>
        <v>4.1304256559963385E-17</v>
      </c>
      <c r="AX183" s="21">
        <f t="shared" si="166"/>
        <v>18.460672508212497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-5.1159076974727213E-13</v>
      </c>
      <c r="BE183" s="13">
        <f>BD183*VLOOKUP('Données projet'!$B$11,Paramètres!$A$1:$I$89,3,0)*VLOOKUP('Données projet'!$B$11,Paramètres!$A$1:$I$89,5,0)</f>
        <v>-5.1875304052373401E-13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413.81510455446738</v>
      </c>
      <c r="BJ183" s="59">
        <f t="shared" si="146"/>
        <v>254.25036207346602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42.481949740316786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42.481949740316786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-5.6843418860808015E-14</v>
      </c>
      <c r="BZ183" s="13">
        <f>BY183*VLOOKUP('Données projet'!$B$12,Paramètres!$A$1:$I$89,3,0)*VLOOKUP('Données projet'!$B$12,Paramètres!$A$1:$I$89,5,0)</f>
        <v>-5.4092197387944907E-14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292.61712942007972</v>
      </c>
      <c r="CE183" s="59">
        <f t="shared" si="148"/>
        <v>152.23954167722536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17.549781672499982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17.549781672499982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-5.6843418860808015E-14</v>
      </c>
      <c r="CU183" s="17">
        <f>CT183*VLOOKUP('Données projet'!$B$13,Paramètres!$A$1:$I$89,3,0)*VLOOKUP('Données projet'!$B$13,Paramètres!$A$1:$I$89,5,0)</f>
        <v>-5.4978954722173515E-14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296.78766823247003</v>
      </c>
      <c r="CZ183" s="59">
        <f t="shared" si="150"/>
        <v>154.08406475869634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27.810340002918061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27.810340002918061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229.61973863654862</v>
      </c>
      <c r="T184" s="59">
        <f t="shared" si="142"/>
        <v>254.08208375594052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8.3019340352229225</v>
      </c>
      <c r="AA184" s="21">
        <f>EXP(-LN(2)/25)*AA183+(1-EXP(-LN(2)/25))/(LN(2)/25)*Calculateur!V184*Calculateur!X184*VLOOKUP('Données projet'!$B$9,Paramètres!$A$1:$I$89,3,0)*0.475*44/12</f>
        <v>2.0812394116307553</v>
      </c>
      <c r="AB184" s="21">
        <f>EXP(-LN(2)/2)*AB183+(1-EXP(-LN(2)/2))/(LN(2)/2)*V184*Y184*VLOOKUP('Données projet'!$B$9,Paramètres!$A$1:$I$89,3,0)*0.475*44/12</f>
        <v>3.3740831745502214E-17</v>
      </c>
      <c r="AC184" s="22">
        <f t="shared" si="163"/>
        <v>10.383173446853679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1.3596945791505279E-13</v>
      </c>
      <c r="AK184" s="13">
        <f t="shared" si="164"/>
        <v>1.9708830566360721E-12</v>
      </c>
      <c r="AL184" s="20">
        <f t="shared" si="165"/>
        <v>3.669434796176543E-12</v>
      </c>
      <c r="AM184" s="59">
        <f t="shared" si="113"/>
        <v>293.33333333333701</v>
      </c>
      <c r="AN184" s="59">
        <f ca="1">AVERAGE(OFFSET($AM$3,0,0,'Données projet'!$E$10+1,1))-AVERAGE(OFFSET($H$3,0,0,'Données projet'!$E$10+1,1))</f>
        <v>348.76139845974495</v>
      </c>
      <c r="AO184" s="59">
        <f t="shared" si="144"/>
        <v>398.5142967182872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16.098136664302956</v>
      </c>
      <c r="AV184" s="21">
        <f>EXP(-LN(2)/25)*AV183+(1-EXP(-LN(2)/25))/(LN(2)/25)*Calculateur!AQ184*Calculateur!AS184*VLOOKUP('Données projet'!$B$10,Paramètres!$A$1:$I$89,3,0)*0.475*44/12</f>
        <v>1.9847483313962759</v>
      </c>
      <c r="AW184" s="21">
        <f>EXP(-LN(2)/2)*AW183+(1-EXP(-LN(2)/2))/(LN(2)/2)*AQ184*AT184*VLOOKUP('Données projet'!$B$10,Paramètres!$A$1:$I$89,3,0)*0.475*44/12</f>
        <v>2.9206519905419049E-17</v>
      </c>
      <c r="AX184" s="21">
        <f t="shared" si="166"/>
        <v>18.082884995699231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-5.1159076974727213E-13</v>
      </c>
      <c r="BE184" s="13">
        <f>BD184*VLOOKUP('Données projet'!$B$11,Paramètres!$A$1:$I$89,3,0)*VLOOKUP('Données projet'!$B$11,Paramètres!$A$1:$I$89,5,0)</f>
        <v>-5.1875304052373401E-13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413.81510455446738</v>
      </c>
      <c r="BJ184" s="59">
        <f t="shared" si="146"/>
        <v>254.25036207346602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41.648904617339973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41.648904617339973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-5.6843418860808015E-14</v>
      </c>
      <c r="BZ184" s="13">
        <f>BY184*VLOOKUP('Données projet'!$B$12,Paramètres!$A$1:$I$89,3,0)*VLOOKUP('Données projet'!$B$12,Paramètres!$A$1:$I$89,5,0)</f>
        <v>-5.4092197387944907E-14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292.61712942007972</v>
      </c>
      <c r="CE184" s="59">
        <f t="shared" si="148"/>
        <v>152.23954167722536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17.205641158212114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17.205641158212114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-5.6843418860808015E-14</v>
      </c>
      <c r="CU184" s="17">
        <f>CT184*VLOOKUP('Données projet'!$B$13,Paramètres!$A$1:$I$89,3,0)*VLOOKUP('Données projet'!$B$13,Paramètres!$A$1:$I$89,5,0)</f>
        <v>-5.4978954722173515E-14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296.78766823247003</v>
      </c>
      <c r="CZ184" s="59">
        <f t="shared" si="150"/>
        <v>154.08406475869634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27.264996198093318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27.264996198093318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229.61973863654862</v>
      </c>
      <c r="T185" s="59">
        <f t="shared" si="142"/>
        <v>254.08208375594052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8.1391381724719665</v>
      </c>
      <c r="AA185" s="21">
        <f>EXP(-LN(2)/25)*AA184+(1-EXP(-LN(2)/25))/(LN(2)/25)*Calculateur!V185*Calculateur!X185*VLOOKUP('Données projet'!$B$9,Paramètres!$A$1:$I$89,3,0)*0.475*44/12</f>
        <v>2.0243278104720885</v>
      </c>
      <c r="AB185" s="21">
        <f>EXP(-LN(2)/2)*AB184+(1-EXP(-LN(2)/2))/(LN(2)/2)*V185*Y185*VLOOKUP('Données projet'!$B$9,Paramètres!$A$1:$I$89,3,0)*0.475*44/12</f>
        <v>2.385837093011895E-17</v>
      </c>
      <c r="AC185" s="22">
        <f t="shared" si="163"/>
        <v>10.163465982944055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1.3596945791505279E-13</v>
      </c>
      <c r="AK185" s="13">
        <f t="shared" si="164"/>
        <v>1.9708830566360721E-12</v>
      </c>
      <c r="AL185" s="20">
        <f t="shared" si="165"/>
        <v>3.669434796176543E-12</v>
      </c>
      <c r="AM185" s="59">
        <f t="shared" si="113"/>
        <v>293.33333333333701</v>
      </c>
      <c r="AN185" s="59">
        <f ca="1">AVERAGE(OFFSET($AM$3,0,0,'Données projet'!$E$10+1,1))-AVERAGE(OFFSET($H$3,0,0,'Données projet'!$E$10+1,1))</f>
        <v>348.76139845974495</v>
      </c>
      <c r="AO185" s="59">
        <f t="shared" si="144"/>
        <v>398.5142967182872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15.782462023209805</v>
      </c>
      <c r="AV185" s="21">
        <f>EXP(-LN(2)/25)*AV184+(1-EXP(-LN(2)/25))/(LN(2)/25)*Calculateur!AQ185*Calculateur!AS185*VLOOKUP('Données projet'!$B$10,Paramètres!$A$1:$I$89,3,0)*0.475*44/12</f>
        <v>1.9304752839008663</v>
      </c>
      <c r="AW185" s="21">
        <f>EXP(-LN(2)/2)*AW184+(1-EXP(-LN(2)/2))/(LN(2)/2)*AQ185*AT185*VLOOKUP('Données projet'!$B$10,Paramètres!$A$1:$I$89,3,0)*0.475*44/12</f>
        <v>2.0652128279981693E-17</v>
      </c>
      <c r="AX185" s="21">
        <f t="shared" si="166"/>
        <v>17.712937307110671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-5.1159076974727213E-13</v>
      </c>
      <c r="BE185" s="13">
        <f>BD185*VLOOKUP('Données projet'!$B$11,Paramètres!$A$1:$I$89,3,0)*VLOOKUP('Données projet'!$B$11,Paramètres!$A$1:$I$89,5,0)</f>
        <v>-5.1875304052373401E-13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413.81510455446738</v>
      </c>
      <c r="BJ185" s="59">
        <f t="shared" si="146"/>
        <v>254.25036207346602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40.832195001117384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40.832195001117384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-5.6843418860808015E-14</v>
      </c>
      <c r="BZ185" s="13">
        <f>BY185*VLOOKUP('Données projet'!$B$12,Paramètres!$A$1:$I$89,3,0)*VLOOKUP('Données projet'!$B$12,Paramètres!$A$1:$I$89,5,0)</f>
        <v>-5.4092197387944907E-14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292.61712942007972</v>
      </c>
      <c r="CE185" s="59">
        <f t="shared" si="148"/>
        <v>152.23954167722536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16.868249029504444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16.868249029504444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-5.6843418860808015E-14</v>
      </c>
      <c r="CU185" s="17">
        <f>CT185*VLOOKUP('Données projet'!$B$13,Paramètres!$A$1:$I$89,3,0)*VLOOKUP('Données projet'!$B$13,Paramètres!$A$1:$I$89,5,0)</f>
        <v>-5.4978954722173515E-14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296.78766823247003</v>
      </c>
      <c r="CZ185" s="59">
        <f t="shared" si="150"/>
        <v>154.08406475869634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26.730346252654311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26.730346252654311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229.61973863654862</v>
      </c>
      <c r="T186" s="59">
        <f t="shared" si="142"/>
        <v>254.08208375594052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7.9795346372938845</v>
      </c>
      <c r="AA186" s="21">
        <f>EXP(-LN(2)/25)*AA185+(1-EXP(-LN(2)/25))/(LN(2)/25)*Calculateur!V186*Calculateur!X186*VLOOKUP('Données projet'!$B$9,Paramètres!$A$1:$I$89,3,0)*0.475*44/12</f>
        <v>1.9689724600399563</v>
      </c>
      <c r="AB186" s="21">
        <f>EXP(-LN(2)/2)*AB185+(1-EXP(-LN(2)/2))/(LN(2)/2)*V186*Y186*VLOOKUP('Données projet'!$B$9,Paramètres!$A$1:$I$89,3,0)*0.475*44/12</f>
        <v>1.6870415872751107E-17</v>
      </c>
      <c r="AC186" s="22">
        <f t="shared" si="163"/>
        <v>9.9485070973338416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1.3596945791505279E-13</v>
      </c>
      <c r="AK186" s="13">
        <f t="shared" si="164"/>
        <v>1.9708830566360721E-12</v>
      </c>
      <c r="AL186" s="20">
        <f t="shared" si="165"/>
        <v>3.669434796176543E-12</v>
      </c>
      <c r="AM186" s="59">
        <f t="shared" si="113"/>
        <v>293.33333333333701</v>
      </c>
      <c r="AN186" s="59">
        <f ca="1">AVERAGE(OFFSET($AM$3,0,0,'Données projet'!$E$10+1,1))-AVERAGE(OFFSET($H$3,0,0,'Données projet'!$E$10+1,1))</f>
        <v>348.76139845974495</v>
      </c>
      <c r="AO186" s="59">
        <f t="shared" si="144"/>
        <v>398.5142967182872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15.472977569285971</v>
      </c>
      <c r="AV186" s="21">
        <f>EXP(-LN(2)/25)*AV185+(1-EXP(-LN(2)/25))/(LN(2)/25)*Calculateur!AQ186*Calculateur!AS186*VLOOKUP('Données projet'!$B$10,Paramètres!$A$1:$I$89,3,0)*0.475*44/12</f>
        <v>1.877686335743314</v>
      </c>
      <c r="AW186" s="21">
        <f>EXP(-LN(2)/2)*AW185+(1-EXP(-LN(2)/2))/(LN(2)/2)*AQ186*AT186*VLOOKUP('Données projet'!$B$10,Paramètres!$A$1:$I$89,3,0)*0.475*44/12</f>
        <v>1.4603259952709525E-17</v>
      </c>
      <c r="AX186" s="21">
        <f t="shared" si="166"/>
        <v>17.350663905029286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-5.1159076974727213E-13</v>
      </c>
      <c r="BE186" s="13">
        <f>BD186*VLOOKUP('Données projet'!$B$11,Paramètres!$A$1:$I$89,3,0)*VLOOKUP('Données projet'!$B$11,Paramètres!$A$1:$I$89,5,0)</f>
        <v>-5.1875304052373401E-13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413.81510455446738</v>
      </c>
      <c r="BJ186" s="59">
        <f t="shared" si="146"/>
        <v>254.25036207346602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40.031500562325242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40.031500562325242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-5.6843418860808015E-14</v>
      </c>
      <c r="BZ186" s="13">
        <f>BY186*VLOOKUP('Données projet'!$B$12,Paramètres!$A$1:$I$89,3,0)*VLOOKUP('Données projet'!$B$12,Paramètres!$A$1:$I$89,5,0)</f>
        <v>-5.4092197387944907E-14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292.61712942007972</v>
      </c>
      <c r="CE186" s="59">
        <f t="shared" si="148"/>
        <v>152.23954167722536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16.537472954651854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16.537472954651854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-5.6843418860808015E-14</v>
      </c>
      <c r="CU186" s="17">
        <f>CT186*VLOOKUP('Données projet'!$B$13,Paramètres!$A$1:$I$89,3,0)*VLOOKUP('Données projet'!$B$13,Paramètres!$A$1:$I$89,5,0)</f>
        <v>-5.4978954722173515E-14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296.78766823247003</v>
      </c>
      <c r="CZ186" s="59">
        <f t="shared" si="150"/>
        <v>154.08406475869634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26.206180466541099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26.206180466541099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229.61973863654862</v>
      </c>
      <c r="T187" s="59">
        <f t="shared" si="142"/>
        <v>254.08208375594052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7.8230608300920998</v>
      </c>
      <c r="AA187" s="21">
        <f>EXP(-LN(2)/25)*AA186+(1-EXP(-LN(2)/25))/(LN(2)/25)*Calculateur!V187*Calculateur!X187*VLOOKUP('Données projet'!$B$9,Paramètres!$A$1:$I$89,3,0)*0.475*44/12</f>
        <v>1.9151308045764022</v>
      </c>
      <c r="AB187" s="21">
        <f>EXP(-LN(2)/2)*AB186+(1-EXP(-LN(2)/2))/(LN(2)/2)*V187*Y187*VLOOKUP('Données projet'!$B$9,Paramètres!$A$1:$I$89,3,0)*0.475*44/12</f>
        <v>1.1929185465059475E-17</v>
      </c>
      <c r="AC187" s="22">
        <f t="shared" si="163"/>
        <v>9.7381916346685014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1.3596945791505279E-13</v>
      </c>
      <c r="AK187" s="13">
        <f t="shared" si="164"/>
        <v>1.9708830566360721E-12</v>
      </c>
      <c r="AL187" s="20">
        <f t="shared" si="165"/>
        <v>3.669434796176543E-12</v>
      </c>
      <c r="AM187" s="59">
        <f t="shared" si="113"/>
        <v>293.33333333333701</v>
      </c>
      <c r="AN187" s="59">
        <f ca="1">AVERAGE(OFFSET($AM$3,0,0,'Données projet'!$E$10+1,1))-AVERAGE(OFFSET($H$3,0,0,'Données projet'!$E$10+1,1))</f>
        <v>348.76139845974495</v>
      </c>
      <c r="AO187" s="59">
        <f t="shared" si="144"/>
        <v>398.5142967182872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15.169561916736706</v>
      </c>
      <c r="AV187" s="21">
        <f>EXP(-LN(2)/25)*AV186+(1-EXP(-LN(2)/25))/(LN(2)/25)*Calculateur!AQ187*Calculateur!AS187*VLOOKUP('Données projet'!$B$10,Paramètres!$A$1:$I$89,3,0)*0.475*44/12</f>
        <v>1.8263409041491803</v>
      </c>
      <c r="AW187" s="21">
        <f>EXP(-LN(2)/2)*AW186+(1-EXP(-LN(2)/2))/(LN(2)/2)*AQ187*AT187*VLOOKUP('Données projet'!$B$10,Paramètres!$A$1:$I$89,3,0)*0.475*44/12</f>
        <v>1.0326064139990846E-17</v>
      </c>
      <c r="AX187" s="21">
        <f t="shared" si="166"/>
        <v>16.995902820885885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-5.1159076974727213E-13</v>
      </c>
      <c r="BE187" s="13">
        <f>BD187*VLOOKUP('Données projet'!$B$11,Paramètres!$A$1:$I$89,3,0)*VLOOKUP('Données projet'!$B$11,Paramètres!$A$1:$I$89,5,0)</f>
        <v>-5.1875304052373401E-13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413.81510455446738</v>
      </c>
      <c r="BJ187" s="59">
        <f t="shared" si="146"/>
        <v>254.25036207346602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39.246507253102429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39.246507253102429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-5.6843418860808015E-14</v>
      </c>
      <c r="BZ187" s="13">
        <f>BY187*VLOOKUP('Données projet'!$B$12,Paramètres!$A$1:$I$89,3,0)*VLOOKUP('Données projet'!$B$12,Paramètres!$A$1:$I$89,5,0)</f>
        <v>-5.4092197387944907E-14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292.61712942007972</v>
      </c>
      <c r="CE187" s="59">
        <f t="shared" si="148"/>
        <v>152.23954167722536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16.21318319687364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16.21318319687364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-5.6843418860808015E-14</v>
      </c>
      <c r="CU187" s="17">
        <f>CT187*VLOOKUP('Données projet'!$B$13,Paramètres!$A$1:$I$89,3,0)*VLOOKUP('Données projet'!$B$13,Paramètres!$A$1:$I$89,5,0)</f>
        <v>-5.4978954722173515E-14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296.78766823247003</v>
      </c>
      <c r="CZ187" s="59">
        <f t="shared" si="150"/>
        <v>154.08406475869634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25.692293251784005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25.692293251784005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229.61973863654862</v>
      </c>
      <c r="T188" s="59">
        <f t="shared" si="142"/>
        <v>254.08208375594052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7.669655378809944</v>
      </c>
      <c r="AA188" s="21">
        <f>EXP(-LN(2)/25)*AA187+(1-EXP(-LN(2)/25))/(LN(2)/25)*Calculateur!V188*Calculateur!X188*VLOOKUP('Données projet'!$B$9,Paramètres!$A$1:$I$89,3,0)*0.475*44/12</f>
        <v>1.8627614520129085</v>
      </c>
      <c r="AB188" s="21">
        <f>EXP(-LN(2)/2)*AB187+(1-EXP(-LN(2)/2))/(LN(2)/2)*V188*Y188*VLOOKUP('Données projet'!$B$9,Paramètres!$A$1:$I$89,3,0)*0.475*44/12</f>
        <v>8.4352079363755534E-18</v>
      </c>
      <c r="AC188" s="22">
        <f t="shared" si="163"/>
        <v>9.5324168308228518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1.3596945791505279E-13</v>
      </c>
      <c r="AK188" s="13">
        <f t="shared" si="164"/>
        <v>1.9708830566360721E-12</v>
      </c>
      <c r="AL188" s="20">
        <f t="shared" si="165"/>
        <v>3.669434796176543E-12</v>
      </c>
      <c r="AM188" s="59">
        <f t="shared" si="113"/>
        <v>293.33333333333701</v>
      </c>
      <c r="AN188" s="59">
        <f ca="1">AVERAGE(OFFSET($AM$3,0,0,'Données projet'!$E$10+1,1))-AVERAGE(OFFSET($H$3,0,0,'Données projet'!$E$10+1,1))</f>
        <v>348.76139845974495</v>
      </c>
      <c r="AO188" s="59">
        <f t="shared" si="144"/>
        <v>398.5142967182872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14.872096060068658</v>
      </c>
      <c r="AV188" s="21">
        <f>EXP(-LN(2)/25)*AV187+(1-EXP(-LN(2)/25))/(LN(2)/25)*Calculateur!AQ188*Calculateur!AS188*VLOOKUP('Données projet'!$B$10,Paramètres!$A$1:$I$89,3,0)*0.475*44/12</f>
        <v>1.7763995160821269</v>
      </c>
      <c r="AW188" s="21">
        <f>EXP(-LN(2)/2)*AW187+(1-EXP(-LN(2)/2))/(LN(2)/2)*AQ188*AT188*VLOOKUP('Données projet'!$B$10,Paramètres!$A$1:$I$89,3,0)*0.475*44/12</f>
        <v>7.3016299763547623E-18</v>
      </c>
      <c r="AX188" s="21">
        <f t="shared" si="166"/>
        <v>16.648495576150786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-5.1159076974727213E-13</v>
      </c>
      <c r="BE188" s="13">
        <f>BD188*VLOOKUP('Données projet'!$B$11,Paramètres!$A$1:$I$89,3,0)*VLOOKUP('Données projet'!$B$11,Paramètres!$A$1:$I$89,5,0)</f>
        <v>-5.1875304052373401E-13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413.81510455446738</v>
      </c>
      <c r="BJ188" s="59">
        <f t="shared" si="146"/>
        <v>254.25036207346602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38.476907183874836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38.476907183874836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-5.6843418860808015E-14</v>
      </c>
      <c r="BZ188" s="13">
        <f>BY188*VLOOKUP('Données projet'!$B$12,Paramètres!$A$1:$I$89,3,0)*VLOOKUP('Données projet'!$B$12,Paramètres!$A$1:$I$89,5,0)</f>
        <v>-5.4092197387944907E-14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292.61712942007972</v>
      </c>
      <c r="CE188" s="59">
        <f t="shared" si="148"/>
        <v>152.23954167722536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15.895252563448233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15.895252563448233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-5.6843418860808015E-14</v>
      </c>
      <c r="CU188" s="17">
        <f>CT188*VLOOKUP('Données projet'!$B$13,Paramètres!$A$1:$I$89,3,0)*VLOOKUP('Données projet'!$B$13,Paramètres!$A$1:$I$89,5,0)</f>
        <v>-5.4978954722173515E-14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296.78766823247003</v>
      </c>
      <c r="CZ188" s="59">
        <f t="shared" si="150"/>
        <v>154.08406475869634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25.188483051868047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25.188483051868047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229.61973863654862</v>
      </c>
      <c r="T189" s="59">
        <f t="shared" si="142"/>
        <v>254.08208375594052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7.5192581148593449</v>
      </c>
      <c r="AA189" s="21">
        <f>EXP(-LN(2)/25)*AA188+(1-EXP(-LN(2)/25))/(LN(2)/25)*Calculateur!V189*Calculateur!X189*VLOOKUP('Données projet'!$B$9,Paramètres!$A$1:$I$89,3,0)*0.475*44/12</f>
        <v>1.8118241421492483</v>
      </c>
      <c r="AB189" s="21">
        <f>EXP(-LN(2)/2)*AB188+(1-EXP(-LN(2)/2))/(LN(2)/2)*V189*Y189*VLOOKUP('Données projet'!$B$9,Paramètres!$A$1:$I$89,3,0)*0.475*44/12</f>
        <v>5.9645927325297376E-18</v>
      </c>
      <c r="AC189" s="22">
        <f t="shared" si="163"/>
        <v>9.3310822570085925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1.3596945791505279E-13</v>
      </c>
      <c r="AK189" s="13">
        <f t="shared" si="164"/>
        <v>1.9708830566360721E-12</v>
      </c>
      <c r="AL189" s="20">
        <f t="shared" si="165"/>
        <v>3.669434796176543E-12</v>
      </c>
      <c r="AM189" s="59">
        <f t="shared" si="113"/>
        <v>293.33333333333701</v>
      </c>
      <c r="AN189" s="59">
        <f ca="1">AVERAGE(OFFSET($AM$3,0,0,'Données projet'!$E$10+1,1))-AVERAGE(OFFSET($H$3,0,0,'Données projet'!$E$10+1,1))</f>
        <v>348.76139845974495</v>
      </c>
      <c r="AO189" s="59">
        <f t="shared" si="144"/>
        <v>398.5142967182872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14.580463327413614</v>
      </c>
      <c r="AV189" s="21">
        <f>EXP(-LN(2)/25)*AV188+(1-EXP(-LN(2)/25))/(LN(2)/25)*Calculateur!AQ189*Calculateur!AS189*VLOOKUP('Données projet'!$B$10,Paramètres!$A$1:$I$89,3,0)*0.475*44/12</f>
        <v>1.7278237778980705</v>
      </c>
      <c r="AW189" s="21">
        <f>EXP(-LN(2)/2)*AW188+(1-EXP(-LN(2)/2))/(LN(2)/2)*AQ189*AT189*VLOOKUP('Données projet'!$B$10,Paramètres!$A$1:$I$89,3,0)*0.475*44/12</f>
        <v>5.1630320699954232E-18</v>
      </c>
      <c r="AX189" s="21">
        <f t="shared" si="166"/>
        <v>16.308287105311685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-5.1159076974727213E-13</v>
      </c>
      <c r="BE189" s="13">
        <f>BD189*VLOOKUP('Données projet'!$B$11,Paramètres!$A$1:$I$89,3,0)*VLOOKUP('Données projet'!$B$11,Paramètres!$A$1:$I$89,5,0)</f>
        <v>-5.1875304052373401E-13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413.81510455446738</v>
      </c>
      <c r="BJ189" s="59">
        <f t="shared" si="146"/>
        <v>254.25036207346602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37.722398502595098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37.722398502595098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-5.6843418860808015E-14</v>
      </c>
      <c r="BZ189" s="13">
        <f>BY189*VLOOKUP('Données projet'!$B$12,Paramètres!$A$1:$I$89,3,0)*VLOOKUP('Données projet'!$B$12,Paramètres!$A$1:$I$89,5,0)</f>
        <v>-5.4092197387944907E-14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292.61712942007972</v>
      </c>
      <c r="CE189" s="59">
        <f t="shared" si="148"/>
        <v>152.23954167722536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15.583556355825761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15.583556355825761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-5.6843418860808015E-14</v>
      </c>
      <c r="CU189" s="17">
        <f>CT189*VLOOKUP('Données projet'!$B$13,Paramètres!$A$1:$I$89,3,0)*VLOOKUP('Données projet'!$B$13,Paramètres!$A$1:$I$89,5,0)</f>
        <v>-5.4978954722173515E-14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296.78766823247003</v>
      </c>
      <c r="CZ189" s="59">
        <f t="shared" si="150"/>
        <v>154.08406475869634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24.69455226267856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24.69455226267856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229.61973863654862</v>
      </c>
      <c r="T190" s="59">
        <f t="shared" si="142"/>
        <v>254.08208375594052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7.3718100495215442</v>
      </c>
      <c r="AA190" s="21">
        <f>EXP(-LN(2)/25)*AA189+(1-EXP(-LN(2)/25))/(LN(2)/25)*Calculateur!V190*Calculateur!X190*VLOOKUP('Données projet'!$B$9,Paramètres!$A$1:$I$89,3,0)*0.475*44/12</f>
        <v>1.7622797157024863</v>
      </c>
      <c r="AB190" s="21">
        <f>EXP(-LN(2)/2)*AB189+(1-EXP(-LN(2)/2))/(LN(2)/2)*V190*Y190*VLOOKUP('Données projet'!$B$9,Paramètres!$A$1:$I$89,3,0)*0.475*44/12</f>
        <v>4.2176039681877767E-18</v>
      </c>
      <c r="AC190" s="22">
        <f t="shared" si="163"/>
        <v>9.1340897652240312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1.3596945791505279E-13</v>
      </c>
      <c r="AK190" s="13">
        <f t="shared" si="164"/>
        <v>1.9708830566360721E-12</v>
      </c>
      <c r="AL190" s="20">
        <f t="shared" si="165"/>
        <v>3.669434796176543E-12</v>
      </c>
      <c r="AM190" s="59">
        <f t="shared" si="113"/>
        <v>293.33333333333701</v>
      </c>
      <c r="AN190" s="59">
        <f ca="1">AVERAGE(OFFSET($AM$3,0,0,'Données projet'!$E$10+1,1))-AVERAGE(OFFSET($H$3,0,0,'Données projet'!$E$10+1,1))</f>
        <v>348.76139845974495</v>
      </c>
      <c r="AO190" s="59">
        <f t="shared" si="144"/>
        <v>398.5142967182872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14.294549334767533</v>
      </c>
      <c r="AV190" s="21">
        <f>EXP(-LN(2)/25)*AV189+(1-EXP(-LN(2)/25))/(LN(2)/25)*Calculateur!AQ190*Calculateur!AS190*VLOOKUP('Données projet'!$B$10,Paramètres!$A$1:$I$89,3,0)*0.475*44/12</f>
        <v>1.6805763458291443</v>
      </c>
      <c r="AW190" s="21">
        <f>EXP(-LN(2)/2)*AW189+(1-EXP(-LN(2)/2))/(LN(2)/2)*AQ190*AT190*VLOOKUP('Données projet'!$B$10,Paramètres!$A$1:$I$89,3,0)*0.475*44/12</f>
        <v>3.6508149881773811E-18</v>
      </c>
      <c r="AX190" s="21">
        <f t="shared" si="166"/>
        <v>15.975125680596676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-5.1159076974727213E-13</v>
      </c>
      <c r="BE190" s="13">
        <f>BD190*VLOOKUP('Données projet'!$B$11,Paramètres!$A$1:$I$89,3,0)*VLOOKUP('Données projet'!$B$11,Paramètres!$A$1:$I$89,5,0)</f>
        <v>-5.1875304052373401E-13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413.81510455446738</v>
      </c>
      <c r="BJ190" s="59">
        <f t="shared" si="146"/>
        <v>254.25036207346602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36.982685276350402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36.982685276350402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-5.6843418860808015E-14</v>
      </c>
      <c r="BZ190" s="13">
        <f>BY190*VLOOKUP('Données projet'!$B$12,Paramètres!$A$1:$I$89,3,0)*VLOOKUP('Données projet'!$B$12,Paramètres!$A$1:$I$89,5,0)</f>
        <v>-5.4092197387944907E-14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292.61712942007972</v>
      </c>
      <c r="CE190" s="59">
        <f t="shared" si="148"/>
        <v>152.23954167722536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15.277972320718851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15.277972320718851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-5.6843418860808015E-14</v>
      </c>
      <c r="CU190" s="17">
        <f>CT190*VLOOKUP('Données projet'!$B$13,Paramètres!$A$1:$I$89,3,0)*VLOOKUP('Données projet'!$B$13,Paramètres!$A$1:$I$89,5,0)</f>
        <v>-5.4978954722173515E-14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296.78766823247003</v>
      </c>
      <c r="CZ190" s="59">
        <f t="shared" si="150"/>
        <v>154.08406475869634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24.210307154997047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24.210307154997047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229.61973863654862</v>
      </c>
      <c r="T191" s="59">
        <f t="shared" si="142"/>
        <v>254.08208375594052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7.2272533508105781</v>
      </c>
      <c r="AA191" s="21">
        <f>EXP(-LN(2)/25)*AA190+(1-EXP(-LN(2)/25))/(LN(2)/25)*Calculateur!V191*Calculateur!X191*VLOOKUP('Données projet'!$B$9,Paramètres!$A$1:$I$89,3,0)*0.475*44/12</f>
        <v>1.7140900842023392</v>
      </c>
      <c r="AB191" s="21">
        <f>EXP(-LN(2)/2)*AB190+(1-EXP(-LN(2)/2))/(LN(2)/2)*V191*Y191*VLOOKUP('Données projet'!$B$9,Paramètres!$A$1:$I$89,3,0)*0.475*44/12</f>
        <v>2.9822963662648688E-18</v>
      </c>
      <c r="AC191" s="22">
        <f t="shared" si="163"/>
        <v>8.941343435012918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1.3596945791505279E-13</v>
      </c>
      <c r="AK191" s="13">
        <f t="shared" si="164"/>
        <v>1.9708830566360721E-12</v>
      </c>
      <c r="AL191" s="20">
        <f t="shared" si="165"/>
        <v>3.669434796176543E-12</v>
      </c>
      <c r="AM191" s="59">
        <f t="shared" si="113"/>
        <v>293.33333333333701</v>
      </c>
      <c r="AN191" s="59">
        <f ca="1">AVERAGE(OFFSET($AM$3,0,0,'Données projet'!$E$10+1,1))-AVERAGE(OFFSET($H$3,0,0,'Données projet'!$E$10+1,1))</f>
        <v>348.76139845974495</v>
      </c>
      <c r="AO191" s="59">
        <f t="shared" si="144"/>
        <v>398.5142967182872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14.014241941126924</v>
      </c>
      <c r="AV191" s="21">
        <f>EXP(-LN(2)/25)*AV190+(1-EXP(-LN(2)/25))/(LN(2)/25)*Calculateur!AQ191*Calculateur!AS191*VLOOKUP('Données projet'!$B$10,Paramètres!$A$1:$I$89,3,0)*0.475*44/12</f>
        <v>1.6346208972747773</v>
      </c>
      <c r="AW191" s="21">
        <f>EXP(-LN(2)/2)*AW190+(1-EXP(-LN(2)/2))/(LN(2)/2)*AQ191*AT191*VLOOKUP('Données projet'!$B$10,Paramètres!$A$1:$I$89,3,0)*0.475*44/12</f>
        <v>2.5815160349977116E-18</v>
      </c>
      <c r="AX191" s="21">
        <f t="shared" si="166"/>
        <v>15.648862838401701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-5.1159076974727213E-13</v>
      </c>
      <c r="BE191" s="13">
        <f>BD191*VLOOKUP('Données projet'!$B$11,Paramètres!$A$1:$I$89,3,0)*VLOOKUP('Données projet'!$B$11,Paramètres!$A$1:$I$89,5,0)</f>
        <v>-5.1875304052373401E-13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413.81510455446738</v>
      </c>
      <c r="BJ191" s="59">
        <f t="shared" si="146"/>
        <v>254.25036207346602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36.257477375291849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36.257477375291849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-5.6843418860808015E-14</v>
      </c>
      <c r="BZ191" s="13">
        <f>BY191*VLOOKUP('Données projet'!$B$12,Paramètres!$A$1:$I$89,3,0)*VLOOKUP('Données projet'!$B$12,Paramètres!$A$1:$I$89,5,0)</f>
        <v>-5.4092197387944907E-14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292.61712942007972</v>
      </c>
      <c r="CE191" s="59">
        <f t="shared" si="148"/>
        <v>152.23954167722536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14.97838060215253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14.97838060215253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-5.6843418860808015E-14</v>
      </c>
      <c r="CU191" s="17">
        <f>CT191*VLOOKUP('Données projet'!$B$13,Paramètres!$A$1:$I$89,3,0)*VLOOKUP('Données projet'!$B$13,Paramètres!$A$1:$I$89,5,0)</f>
        <v>-5.4978954722173515E-14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296.78766823247003</v>
      </c>
      <c r="CZ191" s="59">
        <f t="shared" si="150"/>
        <v>154.08406475869634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23.735557798516815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23.735557798516815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229.61973863654862</v>
      </c>
      <c r="T192" s="59">
        <f t="shared" si="142"/>
        <v>254.08208375594052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7.0855313207904542</v>
      </c>
      <c r="AA192" s="21">
        <f>EXP(-LN(2)/25)*AA191+(1-EXP(-LN(2)/25))/(LN(2)/25)*Calculateur!V192*Calculateur!X192*VLOOKUP('Données projet'!$B$9,Paramètres!$A$1:$I$89,3,0)*0.475*44/12</f>
        <v>1.6672182007097462</v>
      </c>
      <c r="AB192" s="21">
        <f>EXP(-LN(2)/2)*AB191+(1-EXP(-LN(2)/2))/(LN(2)/2)*V192*Y192*VLOOKUP('Données projet'!$B$9,Paramètres!$A$1:$I$89,3,0)*0.475*44/12</f>
        <v>2.1088019840938883E-18</v>
      </c>
      <c r="AC192" s="22">
        <f t="shared" si="163"/>
        <v>8.7527495215002009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1.3596945791505279E-13</v>
      </c>
      <c r="AK192" s="13">
        <f t="shared" si="164"/>
        <v>1.9708830566360721E-12</v>
      </c>
      <c r="AL192" s="20">
        <f t="shared" si="165"/>
        <v>3.669434796176543E-12</v>
      </c>
      <c r="AM192" s="59">
        <f t="shared" si="113"/>
        <v>293.33333333333701</v>
      </c>
      <c r="AN192" s="59">
        <f ca="1">AVERAGE(OFFSET($AM$3,0,0,'Données projet'!$E$10+1,1))-AVERAGE(OFFSET($H$3,0,0,'Données projet'!$E$10+1,1))</f>
        <v>348.76139845974495</v>
      </c>
      <c r="AO192" s="59">
        <f t="shared" si="144"/>
        <v>398.5142967182872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13.73943120450498</v>
      </c>
      <c r="AV192" s="21">
        <f>EXP(-LN(2)/25)*AV191+(1-EXP(-LN(2)/25))/(LN(2)/25)*Calculateur!AQ192*Calculateur!AS192*VLOOKUP('Données projet'!$B$10,Paramètres!$A$1:$I$89,3,0)*0.475*44/12</f>
        <v>1.5899221028778214</v>
      </c>
      <c r="AW192" s="21">
        <f>EXP(-LN(2)/2)*AW191+(1-EXP(-LN(2)/2))/(LN(2)/2)*AQ192*AT192*VLOOKUP('Données projet'!$B$10,Paramètres!$A$1:$I$89,3,0)*0.475*44/12</f>
        <v>1.8254074940886906E-18</v>
      </c>
      <c r="AX192" s="21">
        <f t="shared" si="166"/>
        <v>15.329353307382801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-5.1159076974727213E-13</v>
      </c>
      <c r="BE192" s="13">
        <f>BD192*VLOOKUP('Données projet'!$B$11,Paramètres!$A$1:$I$89,3,0)*VLOOKUP('Données projet'!$B$11,Paramètres!$A$1:$I$89,5,0)</f>
        <v>-5.1875304052373401E-13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413.81510455446738</v>
      </c>
      <c r="BJ192" s="59">
        <f t="shared" si="146"/>
        <v>254.25036207346602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35.546490358839911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35.546490358839911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-5.6843418860808015E-14</v>
      </c>
      <c r="BZ192" s="13">
        <f>BY192*VLOOKUP('Données projet'!$B$12,Paramètres!$A$1:$I$89,3,0)*VLOOKUP('Données projet'!$B$12,Paramètres!$A$1:$I$89,5,0)</f>
        <v>-5.4092197387944907E-14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292.61712942007972</v>
      </c>
      <c r="CE192" s="59">
        <f t="shared" si="148"/>
        <v>152.23954167722536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14.68466369445439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14.68466369445439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-5.6843418860808015E-14</v>
      </c>
      <c r="CU192" s="17">
        <f>CT192*VLOOKUP('Données projet'!$B$13,Paramètres!$A$1:$I$89,3,0)*VLOOKUP('Données projet'!$B$13,Paramètres!$A$1:$I$89,5,0)</f>
        <v>-5.4978954722173515E-14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296.78766823247003</v>
      </c>
      <c r="CZ192" s="59">
        <f t="shared" si="150"/>
        <v>154.08406475869634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23.270117987348648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23.270117987348648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229.61973863654862</v>
      </c>
      <c r="T193" s="59">
        <f t="shared" si="142"/>
        <v>254.08208375594052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6.9465883733371223</v>
      </c>
      <c r="AA193" s="21">
        <f>EXP(-LN(2)/25)*AA192+(1-EXP(-LN(2)/25))/(LN(2)/25)*Calculateur!V193*Calculateur!X193*VLOOKUP('Données projet'!$B$9,Paramètres!$A$1:$I$89,3,0)*0.475*44/12</f>
        <v>1.6216280313361435</v>
      </c>
      <c r="AB193" s="21">
        <f>EXP(-LN(2)/2)*AB192+(1-EXP(-LN(2)/2))/(LN(2)/2)*V193*Y193*VLOOKUP('Données projet'!$B$9,Paramètres!$A$1:$I$89,3,0)*0.475*44/12</f>
        <v>1.4911481831324344E-18</v>
      </c>
      <c r="AC193" s="22">
        <f t="shared" si="163"/>
        <v>8.5682164046732652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1.3596945791505279E-13</v>
      </c>
      <c r="AK193" s="13">
        <f t="shared" si="164"/>
        <v>1.9708830566360721E-12</v>
      </c>
      <c r="AL193" s="20">
        <f t="shared" si="165"/>
        <v>3.669434796176543E-12</v>
      </c>
      <c r="AM193" s="59">
        <f t="shared" si="113"/>
        <v>293.33333333333701</v>
      </c>
      <c r="AN193" s="59">
        <f ca="1">AVERAGE(OFFSET($AM$3,0,0,'Données projet'!$E$10+1,1))-AVERAGE(OFFSET($H$3,0,0,'Données projet'!$E$10+1,1))</f>
        <v>348.76139845974495</v>
      </c>
      <c r="AO193" s="59">
        <f t="shared" si="144"/>
        <v>398.5142967182872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13.470009338810193</v>
      </c>
      <c r="AV193" s="21">
        <f>EXP(-LN(2)/25)*AV192+(1-EXP(-LN(2)/25))/(LN(2)/25)*Calculateur!AQ193*Calculateur!AS193*VLOOKUP('Données projet'!$B$10,Paramètres!$A$1:$I$89,3,0)*0.475*44/12</f>
        <v>1.5464455993642579</v>
      </c>
      <c r="AW193" s="21">
        <f>EXP(-LN(2)/2)*AW192+(1-EXP(-LN(2)/2))/(LN(2)/2)*AQ193*AT193*VLOOKUP('Données projet'!$B$10,Paramètres!$A$1:$I$89,3,0)*0.475*44/12</f>
        <v>1.2907580174988558E-18</v>
      </c>
      <c r="AX193" s="21">
        <f t="shared" si="166"/>
        <v>15.016454938174451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-5.1159076974727213E-13</v>
      </c>
      <c r="BE193" s="13">
        <f>BD193*VLOOKUP('Données projet'!$B$11,Paramètres!$A$1:$I$89,3,0)*VLOOKUP('Données projet'!$B$11,Paramètres!$A$1:$I$89,5,0)</f>
        <v>-5.1875304052373401E-13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413.81510455446738</v>
      </c>
      <c r="BJ193" s="59">
        <f t="shared" si="146"/>
        <v>254.25036207346602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34.849445364121337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34.849445364121337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-5.6843418860808015E-14</v>
      </c>
      <c r="BZ193" s="13">
        <f>BY193*VLOOKUP('Données projet'!$B$12,Paramètres!$A$1:$I$89,3,0)*VLOOKUP('Données projet'!$B$12,Paramètres!$A$1:$I$89,5,0)</f>
        <v>-5.4092197387944907E-14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292.61712942007972</v>
      </c>
      <c r="CE193" s="59">
        <f t="shared" si="148"/>
        <v>152.23954167722536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14.396706396166586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14.396706396166586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-5.6843418860808015E-14</v>
      </c>
      <c r="CU193" s="17">
        <f>CT193*VLOOKUP('Données projet'!$B$13,Paramètres!$A$1:$I$89,3,0)*VLOOKUP('Données projet'!$B$13,Paramètres!$A$1:$I$89,5,0)</f>
        <v>-5.4978954722173515E-14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296.78766823247003</v>
      </c>
      <c r="CZ193" s="59">
        <f t="shared" si="150"/>
        <v>154.08406475869634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22.813805166987233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22.813805166987233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229.61973863654862</v>
      </c>
      <c r="T194" s="59">
        <f t="shared" si="142"/>
        <v>254.08208375594052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6.8103700123365201</v>
      </c>
      <c r="AA194" s="21">
        <f>EXP(-LN(2)/25)*AA193+(1-EXP(-LN(2)/25))/(LN(2)/25)*Calculateur!V194*Calculateur!X194*VLOOKUP('Données projet'!$B$9,Paramètres!$A$1:$I$89,3,0)*0.475*44/12</f>
        <v>1.5772845275415448</v>
      </c>
      <c r="AB194" s="21">
        <f>EXP(-LN(2)/2)*AB193+(1-EXP(-LN(2)/2))/(LN(2)/2)*V194*Y194*VLOOKUP('Données projet'!$B$9,Paramètres!$A$1:$I$89,3,0)*0.475*44/12</f>
        <v>1.0544009920469442E-18</v>
      </c>
      <c r="AC194" s="22">
        <f t="shared" si="163"/>
        <v>8.3876545398780653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1.3596945791505279E-13</v>
      </c>
      <c r="AK194" s="13">
        <f t="shared" si="164"/>
        <v>1.9708830566360721E-12</v>
      </c>
      <c r="AL194" s="20">
        <f t="shared" si="165"/>
        <v>3.669434796176543E-12</v>
      </c>
      <c r="AM194" s="59">
        <f t="shared" si="113"/>
        <v>293.33333333333701</v>
      </c>
      <c r="AN194" s="59">
        <f ca="1">AVERAGE(OFFSET($AM$3,0,0,'Données projet'!$E$10+1,1))-AVERAGE(OFFSET($H$3,0,0,'Données projet'!$E$10+1,1))</f>
        <v>348.76139845974495</v>
      </c>
      <c r="AO194" s="59">
        <f t="shared" si="144"/>
        <v>398.5142967182872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13.205870671570571</v>
      </c>
      <c r="AV194" s="21">
        <f>EXP(-LN(2)/25)*AV193+(1-EXP(-LN(2)/25))/(LN(2)/25)*Calculateur!AQ194*Calculateur!AS194*VLOOKUP('Données projet'!$B$10,Paramètres!$A$1:$I$89,3,0)*0.475*44/12</f>
        <v>1.5041579631256026</v>
      </c>
      <c r="AW194" s="21">
        <f>EXP(-LN(2)/2)*AW193+(1-EXP(-LN(2)/2))/(LN(2)/2)*AQ194*AT194*VLOOKUP('Données projet'!$B$10,Paramètres!$A$1:$I$89,3,0)*0.475*44/12</f>
        <v>9.1270374704434529E-19</v>
      </c>
      <c r="AX194" s="21">
        <f t="shared" si="166"/>
        <v>14.710028634696172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-5.1159076974727213E-13</v>
      </c>
      <c r="BE194" s="13">
        <f>BD194*VLOOKUP('Données projet'!$B$11,Paramètres!$A$1:$I$89,3,0)*VLOOKUP('Données projet'!$B$11,Paramètres!$A$1:$I$89,5,0)</f>
        <v>-5.1875304052373401E-13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413.81510455446738</v>
      </c>
      <c r="BJ194" s="59">
        <f t="shared" si="146"/>
        <v>254.25036207346602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34.166068996593729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34.166068996593729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-5.6843418860808015E-14</v>
      </c>
      <c r="BZ194" s="13">
        <f>BY194*VLOOKUP('Données projet'!$B$12,Paramètres!$A$1:$I$89,3,0)*VLOOKUP('Données projet'!$B$12,Paramètres!$A$1:$I$89,5,0)</f>
        <v>-5.4092197387944907E-14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292.61712942007972</v>
      </c>
      <c r="CE194" s="59">
        <f t="shared" si="148"/>
        <v>152.23954167722536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14.114395764861596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14.114395764861596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-5.6843418860808015E-14</v>
      </c>
      <c r="CU194" s="17">
        <f>CT194*VLOOKUP('Données projet'!$B$13,Paramètres!$A$1:$I$89,3,0)*VLOOKUP('Données projet'!$B$13,Paramètres!$A$1:$I$89,5,0)</f>
        <v>-5.4978954722173515E-14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296.78766823247003</v>
      </c>
      <c r="CZ194" s="59">
        <f t="shared" si="150"/>
        <v>154.08406475869634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22.366440362709767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22.366440362709767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229.61973863654862</v>
      </c>
      <c r="T195" s="59">
        <f t="shared" si="142"/>
        <v>254.08208375594052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6.676822810310143</v>
      </c>
      <c r="AA195" s="21">
        <f>EXP(-LN(2)/25)*AA194+(1-EXP(-LN(2)/25))/(LN(2)/25)*Calculateur!V195*Calculateur!X195*VLOOKUP('Données projet'!$B$9,Paramètres!$A$1:$I$89,3,0)*0.475*44/12</f>
        <v>1.5341535991901329</v>
      </c>
      <c r="AB195" s="21">
        <f>EXP(-LN(2)/2)*AB194+(1-EXP(-LN(2)/2))/(LN(2)/2)*V195*Y195*VLOOKUP('Données projet'!$B$9,Paramètres!$A$1:$I$89,3,0)*0.475*44/12</f>
        <v>7.455740915662172E-19</v>
      </c>
      <c r="AC195" s="22">
        <f t="shared" si="163"/>
        <v>8.210976409500276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1.3596945791505279E-13</v>
      </c>
      <c r="AK195" s="13">
        <f t="shared" si="164"/>
        <v>1.9708830566360721E-12</v>
      </c>
      <c r="AL195" s="20">
        <f t="shared" si="165"/>
        <v>3.669434796176543E-12</v>
      </c>
      <c r="AM195" s="59">
        <f t="shared" si="113"/>
        <v>293.33333333333701</v>
      </c>
      <c r="AN195" s="59">
        <f ca="1">AVERAGE(OFFSET($AM$3,0,0,'Données projet'!$E$10+1,1))-AVERAGE(OFFSET($H$3,0,0,'Données projet'!$E$10+1,1))</f>
        <v>348.76139845974495</v>
      </c>
      <c r="AO195" s="59">
        <f t="shared" si="144"/>
        <v>398.5142967182872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12.946911602486837</v>
      </c>
      <c r="AV195" s="21">
        <f>EXP(-LN(2)/25)*AV194+(1-EXP(-LN(2)/25))/(LN(2)/25)*Calculateur!AQ195*Calculateur!AS195*VLOOKUP('Données projet'!$B$10,Paramètres!$A$1:$I$89,3,0)*0.475*44/12</f>
        <v>1.4630266845237034</v>
      </c>
      <c r="AW195" s="21">
        <f>EXP(-LN(2)/2)*AW194+(1-EXP(-LN(2)/2))/(LN(2)/2)*AQ195*AT195*VLOOKUP('Données projet'!$B$10,Paramètres!$A$1:$I$89,3,0)*0.475*44/12</f>
        <v>6.453790087494279E-19</v>
      </c>
      <c r="AX195" s="21">
        <f t="shared" si="166"/>
        <v>14.40993828701054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-5.1159076974727213E-13</v>
      </c>
      <c r="BE195" s="13">
        <f>BD195*VLOOKUP('Données projet'!$B$11,Paramètres!$A$1:$I$89,3,0)*VLOOKUP('Données projet'!$B$11,Paramètres!$A$1:$I$89,5,0)</f>
        <v>-5.1875304052373401E-13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413.81510455446738</v>
      </c>
      <c r="BJ195" s="59">
        <f t="shared" si="146"/>
        <v>254.25036207346602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33.496093222814913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33.496093222814913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-5.6843418860808015E-14</v>
      </c>
      <c r="BZ195" s="13">
        <f>BY195*VLOOKUP('Données projet'!$B$12,Paramètres!$A$1:$I$89,3,0)*VLOOKUP('Données projet'!$B$12,Paramètres!$A$1:$I$89,5,0)</f>
        <v>-5.4092197387944907E-14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292.61712942007972</v>
      </c>
      <c r="CE195" s="59">
        <f t="shared" si="148"/>
        <v>152.23954167722536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13.837621072844016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13.837621072844016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-5.6843418860808015E-14</v>
      </c>
      <c r="CU195" s="17">
        <f>CT195*VLOOKUP('Données projet'!$B$13,Paramètres!$A$1:$I$89,3,0)*VLOOKUP('Données projet'!$B$13,Paramètres!$A$1:$I$89,5,0)</f>
        <v>-5.4978954722173515E-14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296.78766823247003</v>
      </c>
      <c r="CZ195" s="59">
        <f t="shared" si="150"/>
        <v>154.08406475869634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21.927848109378598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21.927848109378598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229.61973863654862</v>
      </c>
      <c r="T196" s="59">
        <f t="shared" si="142"/>
        <v>254.08208375594052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6.5458943874597537</v>
      </c>
      <c r="AA196" s="21">
        <f>EXP(-LN(2)/25)*AA195+(1-EXP(-LN(2)/25))/(LN(2)/25)*Calculateur!V196*Calculateur!X196*VLOOKUP('Données projet'!$B$9,Paramètres!$A$1:$I$89,3,0)*0.475*44/12</f>
        <v>1.4922020883426472</v>
      </c>
      <c r="AB196" s="21">
        <f>EXP(-LN(2)/2)*AB195+(1-EXP(-LN(2)/2))/(LN(2)/2)*V196*Y196*VLOOKUP('Données projet'!$B$9,Paramètres!$A$1:$I$89,3,0)*0.475*44/12</f>
        <v>5.2720049602347209E-19</v>
      </c>
      <c r="AC196" s="22">
        <f t="shared" si="163"/>
        <v>8.0380964758024014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1.3596945791505279E-13</v>
      </c>
      <c r="AK196" s="13">
        <f t="shared" si="164"/>
        <v>1.9708830566360721E-12</v>
      </c>
      <c r="AL196" s="20">
        <f t="shared" si="165"/>
        <v>3.669434796176543E-12</v>
      </c>
      <c r="AM196" s="59">
        <f t="shared" ref="AM196:AM203" si="193">AL196+(AD196+AE196)*44/12</f>
        <v>293.33333333333701</v>
      </c>
      <c r="AN196" s="59">
        <f ca="1">AVERAGE(OFFSET($AM$3,0,0,'Données projet'!$E$10+1,1))-AVERAGE(OFFSET($H$3,0,0,'Données projet'!$E$10+1,1))</f>
        <v>348.76139845974495</v>
      </c>
      <c r="AO196" s="59">
        <f t="shared" si="144"/>
        <v>398.5142967182872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12.6930305627984</v>
      </c>
      <c r="AV196" s="21">
        <f>EXP(-LN(2)/25)*AV195+(1-EXP(-LN(2)/25))/(LN(2)/25)*Calculateur!AQ196*Calculateur!AS196*VLOOKUP('Données projet'!$B$10,Paramètres!$A$1:$I$89,3,0)*0.475*44/12</f>
        <v>1.4230201428981732</v>
      </c>
      <c r="AW196" s="21">
        <f>EXP(-LN(2)/2)*AW195+(1-EXP(-LN(2)/2))/(LN(2)/2)*AQ196*AT196*VLOOKUP('Données projet'!$B$10,Paramètres!$A$1:$I$89,3,0)*0.475*44/12</f>
        <v>4.5635187352217264E-19</v>
      </c>
      <c r="AX196" s="21">
        <f t="shared" si="166"/>
        <v>14.116050705696573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-5.1159076974727213E-13</v>
      </c>
      <c r="BE196" s="13">
        <f>BD196*VLOOKUP('Données projet'!$B$11,Paramètres!$A$1:$I$89,3,0)*VLOOKUP('Données projet'!$B$11,Paramètres!$A$1:$I$89,5,0)</f>
        <v>-5.1875304052373401E-13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413.81510455446738</v>
      </c>
      <c r="BJ196" s="59">
        <f t="shared" si="146"/>
        <v>254.25036207346602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32.839255265315025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32.839255265315025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-5.6843418860808015E-14</v>
      </c>
      <c r="BZ196" s="13">
        <f>BY196*VLOOKUP('Données projet'!$B$12,Paramètres!$A$1:$I$89,3,0)*VLOOKUP('Données projet'!$B$12,Paramètres!$A$1:$I$89,5,0)</f>
        <v>-5.4092197387944907E-14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292.61712942007972</v>
      </c>
      <c r="CE196" s="59">
        <f t="shared" si="148"/>
        <v>152.23954167722536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13.566273763721007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13.566273763721007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-5.6843418860808015E-14</v>
      </c>
      <c r="CU196" s="17">
        <f>CT196*VLOOKUP('Données projet'!$B$13,Paramètres!$A$1:$I$89,3,0)*VLOOKUP('Données projet'!$B$13,Paramètres!$A$1:$I$89,5,0)</f>
        <v>-5.4978954722173515E-14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296.78766823247003</v>
      </c>
      <c r="CZ196" s="59">
        <f t="shared" si="150"/>
        <v>154.08406475869634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21.497856382620391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21.497856382620391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229.61973863654862</v>
      </c>
      <c r="T197" s="59">
        <f t="shared" ref="T197:T203" si="204">$T$3</f>
        <v>254.08208375594052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6.4175333911230075</v>
      </c>
      <c r="AA197" s="21">
        <f>EXP(-LN(2)/25)*AA196+(1-EXP(-LN(2)/25))/(LN(2)/25)*Calculateur!V197*Calculateur!X197*VLOOKUP('Données projet'!$B$9,Paramètres!$A$1:$I$89,3,0)*0.475*44/12</f>
        <v>1.4513977437654202</v>
      </c>
      <c r="AB197" s="21">
        <f>EXP(-LN(2)/2)*AB196+(1-EXP(-LN(2)/2))/(LN(2)/2)*V197*Y197*VLOOKUP('Données projet'!$B$9,Paramètres!$A$1:$I$89,3,0)*0.475*44/12</f>
        <v>3.727870457831086E-19</v>
      </c>
      <c r="AC197" s="22">
        <f t="shared" si="163"/>
        <v>7.8689311348884274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1.3596945791505279E-13</v>
      </c>
      <c r="AK197" s="13">
        <f t="shared" si="164"/>
        <v>1.9708830566360721E-12</v>
      </c>
      <c r="AL197" s="20">
        <f t="shared" si="165"/>
        <v>3.669434796176543E-12</v>
      </c>
      <c r="AM197" s="59">
        <f t="shared" si="193"/>
        <v>293.33333333333701</v>
      </c>
      <c r="AN197" s="59">
        <f ca="1">AVERAGE(OFFSET($AM$3,0,0,'Données projet'!$E$10+1,1))-AVERAGE(OFFSET($H$3,0,0,'Données projet'!$E$10+1,1))</f>
        <v>348.76139845974495</v>
      </c>
      <c r="AO197" s="59">
        <f t="shared" ref="AO197:AO203" si="205">$AO$3</f>
        <v>398.5142967182872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12.44412797544611</v>
      </c>
      <c r="AV197" s="21">
        <f>EXP(-LN(2)/25)*AV196+(1-EXP(-LN(2)/25))/(LN(2)/25)*Calculateur!AQ197*Calculateur!AS197*VLOOKUP('Données projet'!$B$10,Paramètres!$A$1:$I$89,3,0)*0.475*44/12</f>
        <v>1.3841075822572457</v>
      </c>
      <c r="AW197" s="21">
        <f>EXP(-LN(2)/2)*AW196+(1-EXP(-LN(2)/2))/(LN(2)/2)*AQ197*AT197*VLOOKUP('Données projet'!$B$10,Paramètres!$A$1:$I$89,3,0)*0.475*44/12</f>
        <v>3.2268950437471395E-19</v>
      </c>
      <c r="AX197" s="21">
        <f t="shared" si="166"/>
        <v>13.828235557703355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-5.1159076974727213E-13</v>
      </c>
      <c r="BE197" s="13">
        <f>BD197*VLOOKUP('Données projet'!$B$11,Paramètres!$A$1:$I$89,3,0)*VLOOKUP('Données projet'!$B$11,Paramètres!$A$1:$I$89,5,0)</f>
        <v>-5.1875304052373401E-13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413.81510455446738</v>
      </c>
      <c r="BJ197" s="59">
        <f t="shared" ref="BJ197:BJ203" si="206">$BJ$3</f>
        <v>254.25036207346602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32.195297499530113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32.195297499530113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-5.6843418860808015E-14</v>
      </c>
      <c r="BZ197" s="13">
        <f>BY197*VLOOKUP('Données projet'!$B$12,Paramètres!$A$1:$I$89,3,0)*VLOOKUP('Données projet'!$B$12,Paramètres!$A$1:$I$89,5,0)</f>
        <v>-5.4092197387944907E-14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292.61712942007972</v>
      </c>
      <c r="CE197" s="59">
        <f t="shared" ref="CE197:CE203" si="207">$CE$3</f>
        <v>152.23954167722536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13.300247409824385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13.300247409824385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-5.6843418860808015E-14</v>
      </c>
      <c r="CU197" s="17">
        <f>CT197*VLOOKUP('Données projet'!$B$13,Paramètres!$A$1:$I$89,3,0)*VLOOKUP('Données projet'!$B$13,Paramètres!$A$1:$I$89,5,0)</f>
        <v>-5.4978954722173515E-14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296.78766823247003</v>
      </c>
      <c r="CZ197" s="59">
        <f t="shared" ref="CZ197:CZ203" si="208">$CZ$3</f>
        <v>154.08406475869634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21.076296531354856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21.076296531354856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229.61973863654862</v>
      </c>
      <c r="T198" s="59">
        <f t="shared" si="204"/>
        <v>254.08208375594052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6.2916894756319479</v>
      </c>
      <c r="AA198" s="21">
        <f>EXP(-LN(2)/25)*AA197+(1-EXP(-LN(2)/25))/(LN(2)/25)*Calculateur!V198*Calculateur!X198*VLOOKUP('Données projet'!$B$9,Paramètres!$A$1:$I$89,3,0)*0.475*44/12</f>
        <v>1.4117091961364647</v>
      </c>
      <c r="AB198" s="21">
        <f>EXP(-LN(2)/2)*AB197+(1-EXP(-LN(2)/2))/(LN(2)/2)*V198*Y198*VLOOKUP('Données projet'!$B$9,Paramètres!$A$1:$I$89,3,0)*0.475*44/12</f>
        <v>2.6360024801173604E-19</v>
      </c>
      <c r="AC198" s="22">
        <f t="shared" si="163"/>
        <v>7.7033986717684124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1.3596945791505279E-13</v>
      </c>
      <c r="AK198" s="13">
        <f t="shared" si="164"/>
        <v>1.9708830566360721E-12</v>
      </c>
      <c r="AL198" s="20">
        <f t="shared" si="165"/>
        <v>3.669434796176543E-12</v>
      </c>
      <c r="AM198" s="59">
        <f t="shared" si="193"/>
        <v>293.33333333333701</v>
      </c>
      <c r="AN198" s="59">
        <f ca="1">AVERAGE(OFFSET($AM$3,0,0,'Données projet'!$E$10+1,1))-AVERAGE(OFFSET($H$3,0,0,'Données projet'!$E$10+1,1))</f>
        <v>348.76139845974495</v>
      </c>
      <c r="AO198" s="59">
        <f t="shared" si="205"/>
        <v>398.5142967182872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12.200106216016209</v>
      </c>
      <c r="AV198" s="21">
        <f>EXP(-LN(2)/25)*AV197+(1-EXP(-LN(2)/25))/(LN(2)/25)*Calculateur!AQ198*Calculateur!AS198*VLOOKUP('Données projet'!$B$10,Paramètres!$A$1:$I$89,3,0)*0.475*44/12</f>
        <v>1.3462590876333671</v>
      </c>
      <c r="AW198" s="21">
        <f>EXP(-LN(2)/2)*AW197+(1-EXP(-LN(2)/2))/(LN(2)/2)*AQ198*AT198*VLOOKUP('Données projet'!$B$10,Paramètres!$A$1:$I$89,3,0)*0.475*44/12</f>
        <v>2.2817593676108632E-19</v>
      </c>
      <c r="AX198" s="21">
        <f t="shared" si="166"/>
        <v>13.546365303649576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-5.1159076974727213E-13</v>
      </c>
      <c r="BE198" s="13">
        <f>BD198*VLOOKUP('Données projet'!$B$11,Paramètres!$A$1:$I$89,3,0)*VLOOKUP('Données projet'!$B$11,Paramètres!$A$1:$I$89,5,0)</f>
        <v>-5.1875304052373401E-13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413.81510455446738</v>
      </c>
      <c r="BJ198" s="59">
        <f t="shared" si="206"/>
        <v>254.25036207346602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31.563967352756791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31.563967352756791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-5.6843418860808015E-14</v>
      </c>
      <c r="BZ198" s="13">
        <f>BY198*VLOOKUP('Données projet'!$B$12,Paramètres!$A$1:$I$89,3,0)*VLOOKUP('Données projet'!$B$12,Paramètres!$A$1:$I$89,5,0)</f>
        <v>-5.4092197387944907E-14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292.61712942007972</v>
      </c>
      <c r="CE198" s="59">
        <f t="shared" si="207"/>
        <v>152.23954167722536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13.03943767046762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13.03943767046762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-5.6843418860808015E-14</v>
      </c>
      <c r="CU198" s="17">
        <f>CT198*VLOOKUP('Données projet'!$B$13,Paramètres!$A$1:$I$89,3,0)*VLOOKUP('Données projet'!$B$13,Paramètres!$A$1:$I$89,5,0)</f>
        <v>-5.4978954722173515E-14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296.78766823247003</v>
      </c>
      <c r="CZ198" s="59">
        <f t="shared" si="208"/>
        <v>154.08406475869634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20.663003211646519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20.663003211646519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229.61973863654862</v>
      </c>
      <c r="T199" s="59">
        <f t="shared" si="204"/>
        <v>254.08208375594052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6.1683132825664586</v>
      </c>
      <c r="AA199" s="21">
        <f>EXP(-LN(2)/25)*AA198+(1-EXP(-LN(2)/25))/(LN(2)/25)*Calculateur!V199*Calculateur!X199*VLOOKUP('Données projet'!$B$9,Paramètres!$A$1:$I$89,3,0)*0.475*44/12</f>
        <v>1.373105933929553</v>
      </c>
      <c r="AB199" s="21">
        <f>EXP(-LN(2)/2)*AB198+(1-EXP(-LN(2)/2))/(LN(2)/2)*V199*Y199*VLOOKUP('Données projet'!$B$9,Paramètres!$A$1:$I$89,3,0)*0.475*44/12</f>
        <v>1.863935228915543E-19</v>
      </c>
      <c r="AC199" s="22">
        <f t="shared" si="163"/>
        <v>7.5414192164960117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1.3596945791505279E-13</v>
      </c>
      <c r="AK199" s="13">
        <f t="shared" si="164"/>
        <v>1.9708830566360721E-12</v>
      </c>
      <c r="AL199" s="20">
        <f t="shared" si="165"/>
        <v>3.669434796176543E-12</v>
      </c>
      <c r="AM199" s="59">
        <f t="shared" si="193"/>
        <v>293.33333333333701</v>
      </c>
      <c r="AN199" s="59">
        <f ca="1">AVERAGE(OFFSET($AM$3,0,0,'Données projet'!$E$10+1,1))-AVERAGE(OFFSET($H$3,0,0,'Données projet'!$E$10+1,1))</f>
        <v>348.76139845974495</v>
      </c>
      <c r="AO199" s="59">
        <f t="shared" si="205"/>
        <v>398.5142967182872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11.960869574450152</v>
      </c>
      <c r="AV199" s="21">
        <f>EXP(-LN(2)/25)*AV198+(1-EXP(-LN(2)/25))/(LN(2)/25)*Calculateur!AQ199*Calculateur!AS199*VLOOKUP('Données projet'!$B$10,Paramètres!$A$1:$I$89,3,0)*0.475*44/12</f>
        <v>1.3094455620853442</v>
      </c>
      <c r="AW199" s="21">
        <f>EXP(-LN(2)/2)*AW198+(1-EXP(-LN(2)/2))/(LN(2)/2)*AQ199*AT199*VLOOKUP('Données projet'!$B$10,Paramètres!$A$1:$I$89,3,0)*0.475*44/12</f>
        <v>1.6134475218735697E-19</v>
      </c>
      <c r="AX199" s="21">
        <f t="shared" si="166"/>
        <v>13.270315136535496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-5.1159076974727213E-13</v>
      </c>
      <c r="BE199" s="13">
        <f>BD199*VLOOKUP('Données projet'!$B$11,Paramètres!$A$1:$I$89,3,0)*VLOOKUP('Données projet'!$B$11,Paramètres!$A$1:$I$89,5,0)</f>
        <v>-5.1875304052373401E-13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413.81510455446738</v>
      </c>
      <c r="BJ199" s="59">
        <f t="shared" si="206"/>
        <v>254.25036207346602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30.945017205088327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30.945017205088327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-5.6843418860808015E-14</v>
      </c>
      <c r="BZ199" s="13">
        <f>BY199*VLOOKUP('Données projet'!$B$12,Paramètres!$A$1:$I$89,3,0)*VLOOKUP('Données projet'!$B$12,Paramètres!$A$1:$I$89,5,0)</f>
        <v>-5.4092197387944907E-14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292.61712942007972</v>
      </c>
      <c r="CE199" s="59">
        <f t="shared" si="207"/>
        <v>152.23954167722536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12.783742251021408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12.783742251021408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-5.6843418860808015E-14</v>
      </c>
      <c r="CU199" s="17">
        <f>CT199*VLOOKUP('Données projet'!$B$13,Paramètres!$A$1:$I$89,3,0)*VLOOKUP('Données projet'!$B$13,Paramètres!$A$1:$I$89,5,0)</f>
        <v>-5.4978954722173515E-14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296.78766823247003</v>
      </c>
      <c r="CZ199" s="59">
        <f t="shared" si="208"/>
        <v>154.08406475869634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20.25781432185363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20.25781432185363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229.61973863654862</v>
      </c>
      <c r="T200" s="59">
        <f t="shared" si="204"/>
        <v>254.08208375594052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6.0473564213949365</v>
      </c>
      <c r="AA200" s="21">
        <f>EXP(-LN(2)/25)*AA199+(1-EXP(-LN(2)/25))/(LN(2)/25)*Calculateur!V200*Calculateur!X200*VLOOKUP('Données projet'!$B$9,Paramètres!$A$1:$I$89,3,0)*0.475*44/12</f>
        <v>1.3355582799577466</v>
      </c>
      <c r="AB200" s="21">
        <f>EXP(-LN(2)/2)*AB199+(1-EXP(-LN(2)/2))/(LN(2)/2)*V200*Y200*VLOOKUP('Données projet'!$B$9,Paramètres!$A$1:$I$89,3,0)*0.475*44/12</f>
        <v>1.3180012400586802E-19</v>
      </c>
      <c r="AC200" s="22">
        <f t="shared" si="163"/>
        <v>7.382914701352683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1.3596945791505279E-13</v>
      </c>
      <c r="AK200" s="13">
        <f t="shared" si="164"/>
        <v>1.9708830566360721E-12</v>
      </c>
      <c r="AL200" s="20">
        <f t="shared" si="165"/>
        <v>3.669434796176543E-12</v>
      </c>
      <c r="AM200" s="59">
        <f t="shared" si="193"/>
        <v>293.33333333333701</v>
      </c>
      <c r="AN200" s="59">
        <f ca="1">AVERAGE(OFFSET($AM$3,0,0,'Données projet'!$E$10+1,1))-AVERAGE(OFFSET($H$3,0,0,'Données projet'!$E$10+1,1))</f>
        <v>348.76139845974495</v>
      </c>
      <c r="AO200" s="59">
        <f t="shared" si="205"/>
        <v>398.5142967182872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11.726324217505264</v>
      </c>
      <c r="AV200" s="21">
        <f>EXP(-LN(2)/25)*AV199+(1-EXP(-LN(2)/25))/(LN(2)/25)*Calculateur!AQ200*Calculateur!AS200*VLOOKUP('Données projet'!$B$10,Paramètres!$A$1:$I$89,3,0)*0.475*44/12</f>
        <v>1.2736387043293711</v>
      </c>
      <c r="AW200" s="21">
        <f>EXP(-LN(2)/2)*AW199+(1-EXP(-LN(2)/2))/(LN(2)/2)*AQ200*AT200*VLOOKUP('Données projet'!$B$10,Paramètres!$A$1:$I$89,3,0)*0.475*44/12</f>
        <v>1.1408796838054316E-19</v>
      </c>
      <c r="AX200" s="21">
        <f t="shared" si="166"/>
        <v>12.999962921834635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-5.1159076974727213E-13</v>
      </c>
      <c r="BE200" s="13">
        <f>BD200*VLOOKUP('Données projet'!$B$11,Paramètres!$A$1:$I$89,3,0)*VLOOKUP('Données projet'!$B$11,Paramètres!$A$1:$I$89,5,0)</f>
        <v>-5.1875304052373401E-13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413.81510455446738</v>
      </c>
      <c r="BJ200" s="59">
        <f t="shared" si="206"/>
        <v>254.25036207346602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30.338204292293327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30.338204292293327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-5.6843418860808015E-14</v>
      </c>
      <c r="BZ200" s="13">
        <f>BY200*VLOOKUP('Données projet'!$B$12,Paramètres!$A$1:$I$89,3,0)*VLOOKUP('Données projet'!$B$12,Paramètres!$A$1:$I$89,5,0)</f>
        <v>-5.4092197387944907E-14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292.61712942007972</v>
      </c>
      <c r="CE200" s="59">
        <f t="shared" si="207"/>
        <v>152.23954167722536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12.53306086279173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12.53306086279173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-5.6843418860808015E-14</v>
      </c>
      <c r="CU200" s="17">
        <f>CT200*VLOOKUP('Données projet'!$B$13,Paramètres!$A$1:$I$89,3,0)*VLOOKUP('Données projet'!$B$13,Paramètres!$A$1:$I$89,5,0)</f>
        <v>-5.4978954722173515E-14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296.78766823247003</v>
      </c>
      <c r="CZ200" s="59">
        <f t="shared" si="208"/>
        <v>154.08406475869634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19.86057093904876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19.86057093904876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229.61973863654862</v>
      </c>
      <c r="T201" s="59">
        <f t="shared" si="204"/>
        <v>254.08208375594052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5.9287714504945876</v>
      </c>
      <c r="AA201" s="21">
        <f>EXP(-LN(2)/25)*AA200+(1-EXP(-LN(2)/25))/(LN(2)/25)*Calculateur!V201*Calculateur!X201*VLOOKUP('Données projet'!$B$9,Paramètres!$A$1:$I$89,3,0)*0.475*44/12</f>
        <v>1.2990373685583445</v>
      </c>
      <c r="AB201" s="21">
        <f>EXP(-LN(2)/2)*AB200+(1-EXP(-LN(2)/2))/(LN(2)/2)*V201*Y201*VLOOKUP('Données projet'!$B$9,Paramètres!$A$1:$I$89,3,0)*0.475*44/12</f>
        <v>9.319676144577715E-20</v>
      </c>
      <c r="AC201" s="22">
        <f t="shared" si="163"/>
        <v>7.2278088190529317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1.3596945791505279E-13</v>
      </c>
      <c r="AK201" s="13">
        <f t="shared" si="164"/>
        <v>1.9708830566360721E-12</v>
      </c>
      <c r="AL201" s="20">
        <f t="shared" si="165"/>
        <v>3.669434796176543E-12</v>
      </c>
      <c r="AM201" s="59">
        <f t="shared" si="193"/>
        <v>293.33333333333701</v>
      </c>
      <c r="AN201" s="59">
        <f ca="1">AVERAGE(OFFSET($AM$3,0,0,'Données projet'!$E$10+1,1))-AVERAGE(OFFSET($H$3,0,0,'Données projet'!$E$10+1,1))</f>
        <v>348.76139845974495</v>
      </c>
      <c r="AO201" s="59">
        <f t="shared" si="205"/>
        <v>398.5142967182872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11.496378151951522</v>
      </c>
      <c r="AV201" s="21">
        <f>EXP(-LN(2)/25)*AV200+(1-EXP(-LN(2)/25))/(LN(2)/25)*Calculateur!AQ201*Calculateur!AS201*VLOOKUP('Données projet'!$B$10,Paramètres!$A$1:$I$89,3,0)*0.475*44/12</f>
        <v>1.2388109869817359</v>
      </c>
      <c r="AW201" s="21">
        <f>EXP(-LN(2)/2)*AW200+(1-EXP(-LN(2)/2))/(LN(2)/2)*AQ201*AT201*VLOOKUP('Données projet'!$B$10,Paramètres!$A$1:$I$89,3,0)*0.475*44/12</f>
        <v>8.0672376093678487E-20</v>
      </c>
      <c r="AX201" s="21">
        <f t="shared" si="166"/>
        <v>12.735189138933258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-5.1159076974727213E-13</v>
      </c>
      <c r="BE201" s="13">
        <f>BD201*VLOOKUP('Données projet'!$B$11,Paramètres!$A$1:$I$89,3,0)*VLOOKUP('Données projet'!$B$11,Paramètres!$A$1:$I$89,5,0)</f>
        <v>-5.1875304052373401E-13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413.81510455446738</v>
      </c>
      <c r="BJ201" s="59">
        <f t="shared" si="206"/>
        <v>254.25036207346602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29.743290610598908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29.743290610598908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-5.6843418860808015E-14</v>
      </c>
      <c r="BZ201" s="13">
        <f>BY201*VLOOKUP('Données projet'!$B$12,Paramètres!$A$1:$I$89,3,0)*VLOOKUP('Données projet'!$B$12,Paramètres!$A$1:$I$89,5,0)</f>
        <v>-5.4092197387944907E-14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292.61712942007972</v>
      </c>
      <c r="CE201" s="59">
        <f t="shared" si="207"/>
        <v>152.23954167722536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12.287295183684687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12.287295183684687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-5.6843418860808015E-14</v>
      </c>
      <c r="CU201" s="17">
        <f>CT201*VLOOKUP('Données projet'!$B$13,Paramètres!$A$1:$I$89,3,0)*VLOOKUP('Données projet'!$B$13,Paramètres!$A$1:$I$89,5,0)</f>
        <v>-5.4978954722173515E-14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296.78766823247003</v>
      </c>
      <c r="CZ201" s="59">
        <f t="shared" si="208"/>
        <v>154.08406475869634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19.471117256686153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19.471117256686153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229.61973863654862</v>
      </c>
      <c r="T202" s="59">
        <f t="shared" si="204"/>
        <v>254.08208375594052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5.8125118585439042</v>
      </c>
      <c r="AA202" s="21">
        <f>EXP(-LN(2)/25)*AA201+(1-EXP(-LN(2)/25))/(LN(2)/25)*Calculateur!V202*Calculateur!X202*VLOOKUP('Données projet'!$B$9,Paramètres!$A$1:$I$89,3,0)*0.475*44/12</f>
        <v>1.2635151234017103</v>
      </c>
      <c r="AB202" s="21">
        <f>EXP(-LN(2)/2)*AB201+(1-EXP(-LN(2)/2))/(LN(2)/2)*V202*Y202*VLOOKUP('Données projet'!$B$9,Paramètres!$A$1:$I$89,3,0)*0.475*44/12</f>
        <v>6.5900062002934011E-20</v>
      </c>
      <c r="AC202" s="22">
        <f t="shared" si="163"/>
        <v>7.0760269819456143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1.3596945791505279E-13</v>
      </c>
      <c r="AK202" s="13">
        <f t="shared" si="164"/>
        <v>1.9708830566360721E-12</v>
      </c>
      <c r="AL202" s="20">
        <f t="shared" si="165"/>
        <v>3.669434796176543E-12</v>
      </c>
      <c r="AM202" s="59">
        <f t="shared" si="193"/>
        <v>293.33333333333701</v>
      </c>
      <c r="AN202" s="59">
        <f ca="1">AVERAGE(OFFSET($AM$3,0,0,'Données projet'!$E$10+1,1))-AVERAGE(OFFSET($H$3,0,0,'Données projet'!$E$10+1,1))</f>
        <v>348.76139845974495</v>
      </c>
      <c r="AO202" s="59">
        <f t="shared" si="205"/>
        <v>398.5142967182872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11.270941188490038</v>
      </c>
      <c r="AV202" s="21">
        <f>EXP(-LN(2)/25)*AV201+(1-EXP(-LN(2)/25))/(LN(2)/25)*Calculateur!AQ202*Calculateur!AS202*VLOOKUP('Données projet'!$B$10,Paramètres!$A$1:$I$89,3,0)*0.475*44/12</f>
        <v>1.2049356353964817</v>
      </c>
      <c r="AW202" s="21">
        <f>EXP(-LN(2)/2)*AW201+(1-EXP(-LN(2)/2))/(LN(2)/2)*AQ202*AT202*VLOOKUP('Données projet'!$B$10,Paramètres!$A$1:$I$89,3,0)*0.475*44/12</f>
        <v>5.704398419027158E-20</v>
      </c>
      <c r="AX202" s="21">
        <f t="shared" si="166"/>
        <v>12.475876823886519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-5.1159076974727213E-13</v>
      </c>
      <c r="BE202" s="13">
        <f>BD202*VLOOKUP('Données projet'!$B$11,Paramètres!$A$1:$I$89,3,0)*VLOOKUP('Données projet'!$B$11,Paramètres!$A$1:$I$89,5,0)</f>
        <v>-5.1875304052373401E-13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413.81510455446738</v>
      </c>
      <c r="BJ202" s="59">
        <f t="shared" si="206"/>
        <v>254.25036207346602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29.160042823341001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29.160042823341001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-5.6843418860808015E-14</v>
      </c>
      <c r="BZ202" s="13">
        <f>BY202*VLOOKUP('Données projet'!$B$12,Paramètres!$A$1:$I$89,3,0)*VLOOKUP('Données projet'!$B$12,Paramètres!$A$1:$I$89,5,0)</f>
        <v>-5.4092197387944907E-14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292.61712942007972</v>
      </c>
      <c r="CE202" s="59">
        <f t="shared" si="207"/>
        <v>152.23954167722536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12.046348819642672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12.046348819642672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-5.6843418860808015E-14</v>
      </c>
      <c r="CU202" s="17">
        <f>CT202*VLOOKUP('Données projet'!$B$13,Paramètres!$A$1:$I$89,3,0)*VLOOKUP('Données projet'!$B$13,Paramètres!$A$1:$I$89,5,0)</f>
        <v>-5.4978954722173515E-14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296.78766823247003</v>
      </c>
      <c r="CZ202" s="59">
        <f t="shared" si="208"/>
        <v>154.08406475869634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19.089300523491385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19.089300523491385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229.61973863654862</v>
      </c>
      <c r="T203" s="59">
        <f t="shared" si="204"/>
        <v>254.08208375594052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5.6985320462800244</v>
      </c>
      <c r="AA203" s="21">
        <f>EXP(-LN(2)/25)*AA202+(1-EXP(-LN(2)/25))/(LN(2)/25)*Calculateur!V203*Calculateur!X203*VLOOKUP('Données projet'!$B$9,Paramètres!$A$1:$I$89,3,0)*0.475*44/12</f>
        <v>1.2289642359069179</v>
      </c>
      <c r="AB203" s="21">
        <f>EXP(-LN(2)/2)*AB202+(1-EXP(-LN(2)/2))/(LN(2)/2)*V203*Y203*VLOOKUP('Données projet'!$B$9,Paramètres!$A$1:$I$89,3,0)*0.475*44/12</f>
        <v>4.6598380722888575E-20</v>
      </c>
      <c r="AC203" s="22">
        <f t="shared" si="163"/>
        <v>6.9274962821869419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1.3596945791505279E-13</v>
      </c>
      <c r="AK203" s="13">
        <f t="shared" si="164"/>
        <v>1.9708830566360721E-12</v>
      </c>
      <c r="AL203" s="20">
        <f t="shared" si="165"/>
        <v>3.669434796176543E-12</v>
      </c>
      <c r="AM203" s="59">
        <f t="shared" si="193"/>
        <v>293.33333333333701</v>
      </c>
      <c r="AN203" s="59">
        <f ca="1">AVERAGE(OFFSET($AM$3,0,0,'Données projet'!$E$10+1,1))-AVERAGE(OFFSET($H$3,0,0,'Données projet'!$E$10+1,1))</f>
        <v>348.76139845974495</v>
      </c>
      <c r="AO203" s="59">
        <f t="shared" si="205"/>
        <v>398.5142967182872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11.049924906379063</v>
      </c>
      <c r="AV203" s="21">
        <f>EXP(-LN(2)/25)*AV202+(1-EXP(-LN(2)/25))/(LN(2)/25)*Calculateur!AQ203*Calculateur!AS203*VLOOKUP('Données projet'!$B$10,Paramètres!$A$1:$I$89,3,0)*0.475*44/12</f>
        <v>1.1719866070817537</v>
      </c>
      <c r="AW203" s="21">
        <f>EXP(-LN(2)/2)*AW202+(1-EXP(-LN(2)/2))/(LN(2)/2)*AQ203*AT203*VLOOKUP('Données projet'!$B$10,Paramètres!$A$1:$I$89,3,0)*0.475*44/12</f>
        <v>4.0336188046839244E-20</v>
      </c>
      <c r="AX203" s="21">
        <f t="shared" si="166"/>
        <v>12.221911513460817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-5.1159076974727213E-13</v>
      </c>
      <c r="BE203" s="13">
        <f>BD203*VLOOKUP('Données projet'!$B$11,Paramètres!$A$1:$I$89,3,0)*VLOOKUP('Données projet'!$B$11,Paramètres!$A$1:$I$89,5,0)</f>
        <v>-5.1875304052373401E-13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413.81510455446738</v>
      </c>
      <c r="BJ203" s="59">
        <f t="shared" si="206"/>
        <v>254.25036207346602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28.588232169445199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28.588232169445199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-5.6843418860808015E-14</v>
      </c>
      <c r="BZ203" s="13">
        <f>BY203*VLOOKUP('Données projet'!$B$12,Paramètres!$A$1:$I$89,3,0)*VLOOKUP('Données projet'!$B$12,Paramètres!$A$1:$I$89,5,0)</f>
        <v>-5.4092197387944907E-14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292.61712942007972</v>
      </c>
      <c r="CE203" s="59">
        <f t="shared" si="207"/>
        <v>152.23954167722536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11.81012726683675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11.81012726683675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-5.6843418860808015E-14</v>
      </c>
      <c r="CU203" s="17">
        <f>CT203*VLOOKUP('Données projet'!$B$13,Paramètres!$A$1:$I$89,3,0)*VLOOKUP('Données projet'!$B$13,Paramètres!$A$1:$I$89,5,0)</f>
        <v>-5.4978954722173515E-14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296.78766823247003</v>
      </c>
      <c r="CZ203" s="59">
        <f t="shared" si="208"/>
        <v>154.08406475869634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18.714970983549357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18.714970983549357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1.2802842468510145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1.351820999185372</v>
      </c>
      <c r="BA205" s="82">
        <f>EXP(LN('Données projet'!B88)/'Données projet'!A88)</f>
        <v>1.2054868146447177</v>
      </c>
      <c r="BV205" s="82">
        <f>EXP(LN('Données projet'!B114)/'Données projet'!A114)</f>
        <v>1.1457367676485573</v>
      </c>
      <c r="CQ205" s="82">
        <f>EXP(LN('Données projet'!B140)/'Données projet'!A140)</f>
        <v>1.1457367676485573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zoomScale="90" zoomScaleNormal="90" workbookViewId="0">
      <selection activeCell="L22" sqref="L2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Cèdre de l'Atlas</v>
      </c>
      <c r="B6" s="146">
        <f>'Données projet'!D9</f>
        <v>1.6066103</v>
      </c>
      <c r="C6" s="147">
        <f ca="1">IF(OR('Données projet'!B9="",'Données projet'!C9="",'Données projet'!C9=0%),0,Calculateur!S3)</f>
        <v>229.61973863654862</v>
      </c>
      <c r="D6" s="147">
        <f>IF(OR('Données projet'!B9="",'Données projet'!C9="",'Données projet'!C9=0%),0,Calculateur!T3)</f>
        <v>254.08208375594052</v>
      </c>
      <c r="E6" s="147">
        <f ca="1">MIN(C6,D6)</f>
        <v>229.61973863654862</v>
      </c>
      <c r="F6" s="147">
        <f ca="1">E6*B6</f>
        <v>368.90943717678698</v>
      </c>
      <c r="G6" s="147">
        <f ca="1">F6*(100%-'Données projet'!$C$24)*(100%-'Données projet'!$C$25)*(100%-'Données projet'!$C$26)*(100%-'Données projet'!$C$27)</f>
        <v>282.21571944024203</v>
      </c>
      <c r="H6" s="148">
        <f>IF(OR('Données projet'!B9="",'Données projet'!C9="",'Données projet'!C9=0%),0,AVERAGE(Calculateur!$AC$3:$AC$33)*B6)</f>
        <v>6.5603736759701379</v>
      </c>
      <c r="I6" s="149">
        <f>H6*(100%-'Données projet'!$C$24)*(100%-'Données projet'!$C$25)*(100%-'Données projet'!$C$26)*(100%-'Données projet'!$C$27)</f>
        <v>5.0186858621171551</v>
      </c>
      <c r="J6" s="150">
        <f>IF(OR('Données projet'!B9="",'Données projet'!C9="",'Données projet'!C9=0%),0,SUM(Calculateur!$V$3:$V$33)*VLOOKUP('Données projet'!$B$9,Paramètres!$A$1:$I$89,9,0)*B6)</f>
        <v>62.175818610000007</v>
      </c>
      <c r="K6" s="151">
        <f>J6*(100%-'Données projet'!$C$24)*(100%-'Données projet'!$C$25)*(100%-'Données projet'!$C$26)*(100%-'Données projet'!$C$27)</f>
        <v>47.564501236650003</v>
      </c>
      <c r="L6" s="152">
        <f ca="1">G6+I6+K6</f>
        <v>334.79890653900918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Pin laricio</v>
      </c>
      <c r="B7" s="154">
        <f>'Données projet'!D10</f>
        <v>1.6066103</v>
      </c>
      <c r="C7" s="147">
        <f ca="1">IF(OR('Données projet'!B10="",'Données projet'!C10="",'Données projet'!C10=0%),0,Calculateur!AN3)</f>
        <v>348.76139845974495</v>
      </c>
      <c r="D7" s="147">
        <f>IF(OR('Données projet'!B10="",'Données projet'!C10="",'Données projet'!C10=0%),0,Calculateur!AO3)</f>
        <v>398.5142967182872</v>
      </c>
      <c r="E7" s="147">
        <f t="shared" ref="E7:E15" ca="1" si="0">MIN(C7,D7)</f>
        <v>348.76139845974495</v>
      </c>
      <c r="F7" s="147">
        <f t="shared" ref="F7:F15" ca="1" si="1">E7*B7</f>
        <v>560.32365500783044</v>
      </c>
      <c r="G7" s="147">
        <f ca="1">F7*(100%-'Données projet'!$C$24)*(100%-'Données projet'!$C$25)*(100%-'Données projet'!$C$26)*(100%-'Données projet'!$C$27)</f>
        <v>428.6475960809903</v>
      </c>
      <c r="H7" s="155">
        <f>IF(OR('Données projet'!B10="",'Données projet'!C10="",'Données projet'!C10=0%),0,AVERAGE(Calculateur!$AX$3:$AX$33)*B7)</f>
        <v>16.762987385143546</v>
      </c>
      <c r="I7" s="149">
        <f>H7*(100%-'Données projet'!$C$24)*(100%-'Données projet'!$C$25)*(100%-'Données projet'!$C$26)*(100%-'Données projet'!$C$27)</f>
        <v>12.823685349634813</v>
      </c>
      <c r="J7" s="150">
        <f>IF(OR('Données projet'!B10="",'Données projet'!C10="",'Données projet'!C10=0%),0,SUM(Calculateur!$AQ$3:$AQ$33)*VLOOKUP('Données projet'!$B$10,Paramètres!$A$1:$I$89,9,0)*B7)</f>
        <v>118.82489778799999</v>
      </c>
      <c r="K7" s="151">
        <f>J7*(100%-'Données projet'!$C$24)*(100%-'Données projet'!$C$25)*(100%-'Données projet'!$C$26)*(100%-'Données projet'!$C$27)</f>
        <v>90.901046807819995</v>
      </c>
      <c r="L7" s="152">
        <f t="shared" ref="L7:L15" ca="1" si="2">G7+I7+K7</f>
        <v>532.37232823844511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Chêne pubescent</v>
      </c>
      <c r="B8" s="154">
        <f>'Données projet'!D11</f>
        <v>0.38942130000000003</v>
      </c>
      <c r="C8" s="147">
        <f ca="1">IF(OR('Données projet'!B11="",'Données projet'!C11="",'Données projet'!C11=0%),0,Calculateur!BI3)</f>
        <v>413.81510455446738</v>
      </c>
      <c r="D8" s="147">
        <f>IF(OR('Données projet'!B11="",'Données projet'!C11="",'Données projet'!C11=0%),0,Calculateur!BJ3)</f>
        <v>254.25036207346602</v>
      </c>
      <c r="E8" s="147">
        <f t="shared" ca="1" si="0"/>
        <v>254.25036207346602</v>
      </c>
      <c r="F8" s="147">
        <f t="shared" ca="1" si="1"/>
        <v>99.010506524119833</v>
      </c>
      <c r="G8" s="147">
        <f ca="1">F8*(100%-'Données projet'!$C$24)*(100%-'Données projet'!$C$25)*(100%-'Données projet'!$C$26)*(100%-'Données projet'!$C$27)</f>
        <v>75.743037490951679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75.743037490951679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Charme</v>
      </c>
      <c r="B9" s="154">
        <f>'Données projet'!D12</f>
        <v>4.8677199999999997E-2</v>
      </c>
      <c r="C9" s="147">
        <f ca="1">IF(OR('Données projet'!B12="",'Données projet'!C12="",'Données projet'!C12=0%),0,Calculateur!CD3)</f>
        <v>292.61712942007972</v>
      </c>
      <c r="D9" s="147">
        <f>IF(OR('Données projet'!B12="",'Données projet'!C12="",'Données projet'!C12=0%),0,Calculateur!CE3)</f>
        <v>152.23954167722536</v>
      </c>
      <c r="E9" s="147">
        <f t="shared" ca="1" si="0"/>
        <v>152.23954167722536</v>
      </c>
      <c r="F9" s="147">
        <f t="shared" ca="1" si="1"/>
        <v>7.4105946181306335</v>
      </c>
      <c r="G9" s="147">
        <f ca="1">F9*(100%-'Données projet'!$C$24)*(100%-'Données projet'!$C$25)*(100%-'Données projet'!$C$26)*(100%-'Données projet'!$C$27)</f>
        <v>5.6691048828699344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5.6691048828699344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Alisier torminal</v>
      </c>
      <c r="B10" s="154">
        <f>'Données projet'!D13</f>
        <v>4.8677199999999997E-2</v>
      </c>
      <c r="C10" s="147">
        <f ca="1">IF(OR('Données projet'!B13="",'Données projet'!C13="",'Données projet'!C13=0%),0,Calculateur!CY3)</f>
        <v>296.78766823247003</v>
      </c>
      <c r="D10" s="147">
        <f>IF(OR('Données projet'!B13="",'Données projet'!C13="",'Données projet'!C13=0%),0,Calculateur!CZ3)</f>
        <v>154.08406475869634</v>
      </c>
      <c r="E10" s="147">
        <f t="shared" ca="1" si="0"/>
        <v>154.08406475869634</v>
      </c>
      <c r="F10" s="147">
        <f t="shared" ca="1" si="1"/>
        <v>7.5003808370720133</v>
      </c>
      <c r="G10" s="147">
        <f ca="1">F10*(100%-'Données projet'!$C$24)*(100%-'Données projet'!$C$25)*(100%-'Données projet'!$C$26)*(100%-'Données projet'!$C$27)</f>
        <v>5.73779134036009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5.73779134036009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1043.15457416394</v>
      </c>
      <c r="G16" s="166">
        <f t="shared" ca="1" si="3"/>
        <v>798.01324923541415</v>
      </c>
      <c r="H16" s="167">
        <f t="shared" si="3"/>
        <v>23.323361061113683</v>
      </c>
      <c r="I16" s="167">
        <f t="shared" si="3"/>
        <v>17.842371211751967</v>
      </c>
      <c r="J16" s="168">
        <f t="shared" si="3"/>
        <v>181.00071639800001</v>
      </c>
      <c r="K16" s="168">
        <f t="shared" si="3"/>
        <v>138.46554804446998</v>
      </c>
      <c r="L16" s="169">
        <f t="shared" ca="1" si="3"/>
        <v>954.32116849163606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7" zoomScale="70" zoomScaleNormal="70" workbookViewId="0">
      <selection activeCell="N58" sqref="N58:N59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-291.53963188185332</v>
      </c>
      <c r="U10" s="178">
        <f>'Données projet'!D9</f>
        <v>1.6066103</v>
      </c>
      <c r="V10" s="177">
        <f>U10*T10</f>
        <v>-468.39057543959393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Pin laricio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1830.2571645788244</v>
      </c>
      <c r="U11" s="178">
        <f>'Données projet'!D10</f>
        <v>1.6066103</v>
      </c>
      <c r="V11" s="177">
        <f t="shared" ref="V11" si="0">U11*T11</f>
        <v>2940.5100122611343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pubescent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-2083.6038309702194</v>
      </c>
      <c r="U12" s="178">
        <f>'Données projet'!D11</f>
        <v>0.38942130000000003</v>
      </c>
      <c r="V12" s="177">
        <f t="shared" ref="V12:V19" si="1">U12*T12</f>
        <v>-811.39971254140312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Charme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-1792.5684229376523</v>
      </c>
      <c r="U13" s="178">
        <f>'Données projet'!D12</f>
        <v>4.8677199999999997E-2</v>
      </c>
      <c r="V13" s="177">
        <f t="shared" si="1"/>
        <v>-87.257211637020674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Alisier torminal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-2704.7747628721099</v>
      </c>
      <c r="U14" s="178">
        <f>'Données projet'!D13</f>
        <v>4.8677199999999997E-2</v>
      </c>
      <c r="V14" s="177">
        <f t="shared" si="1"/>
        <v>-131.66086208727828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f>2266.1+50</f>
        <v>2316.1</v>
      </c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>
        <f>((250+1066.4)*0.86+(450+1332.8)*0.14)+50</f>
        <v>1431.6960000000001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400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400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40</v>
      </c>
      <c r="C23" s="193">
        <f>30*'Données projet'!E36+19.4*('Données projet'!F36+'Données projet'!G36)+10*'Données projet'!G36</f>
        <v>23.799999999999997</v>
      </c>
      <c r="D23" s="182">
        <f>B23*C23</f>
        <v>951.99999999999989</v>
      </c>
      <c r="E23" s="193"/>
      <c r="F23" s="229"/>
      <c r="H23" s="190">
        <v>3</v>
      </c>
      <c r="I23" s="191">
        <v>400</v>
      </c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-7923.9407938604845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30</v>
      </c>
      <c r="B24" s="181">
        <f>'Données projet'!D37</f>
        <v>50</v>
      </c>
      <c r="C24" s="193">
        <f>30*'Données projet'!E37+19.4*('Données projet'!F37+'Données projet'!G37)+10*'Données projet'!G37</f>
        <v>27.154</v>
      </c>
      <c r="D24" s="182">
        <f t="shared" ref="D24:D42" si="2">B24*C24</f>
        <v>1357.7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40</v>
      </c>
      <c r="B25" s="181">
        <f>'Données projet'!D38</f>
        <v>50</v>
      </c>
      <c r="C25" s="193">
        <f>30*'Données projet'!E38+19.4*('Données projet'!F38+'Données projet'!G38)+10*'Données projet'!G38</f>
        <v>25.68</v>
      </c>
      <c r="D25" s="182">
        <f t="shared" si="2"/>
        <v>1284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-7923.9407938604845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50</v>
      </c>
      <c r="B26" s="181">
        <f>'Données projet'!D39</f>
        <v>50</v>
      </c>
      <c r="C26" s="193">
        <f>30*'Données projet'!E39+19.4*('Données projet'!F39+'Données projet'!G39)+10*'Données projet'!G39</f>
        <v>26.240000000000002</v>
      </c>
      <c r="D26" s="182">
        <f t="shared" si="2"/>
        <v>1312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60</v>
      </c>
      <c r="B27" s="181">
        <f>'Données projet'!D40</f>
        <v>470</v>
      </c>
      <c r="C27" s="193">
        <f>30*'Données projet'!E40+19.4*('Données projet'!F40+'Données projet'!G40)+10*'Données projet'!G40</f>
        <v>26.9</v>
      </c>
      <c r="D27" s="182">
        <f t="shared" si="2"/>
        <v>12643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0</v>
      </c>
      <c r="B28" s="181">
        <f>'Données projet'!D41</f>
        <v>0</v>
      </c>
      <c r="C28" s="193">
        <f>30*'Données projet'!E41+19.4*('Données projet'!F41+'Données projet'!G41)+10*'Données projet'!G41</f>
        <v>0</v>
      </c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0</v>
      </c>
      <c r="B29" s="181">
        <f>'Données projet'!D42</f>
        <v>0</v>
      </c>
      <c r="C29" s="193">
        <f>30*'Données projet'!E42+19.4*('Données projet'!F42+'Données projet'!G42)+10*'Données projet'!G42</f>
        <v>0</v>
      </c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>
        <f>30*'Données projet'!E43+19.4*('Données projet'!F43+'Données projet'!G43)+10*'Données projet'!G43</f>
        <v>0</v>
      </c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>
        <f>30*'Données projet'!E44+19.4*('Données projet'!F44+'Données projet'!G44)+10*'Données projet'!G44</f>
        <v>0</v>
      </c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>
        <f>30*'Données projet'!E45+19.4*('Données projet'!F45+'Données projet'!G45)+10*'Données projet'!G45</f>
        <v>0</v>
      </c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>
        <f>30*'Données projet'!E46+19.4*('Données projet'!F46+'Données projet'!G46)+10*'Données projet'!G46</f>
        <v>0</v>
      </c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>
        <f>30*'Données projet'!E47+19.4*('Données projet'!F47+'Données projet'!G47)+10*'Données projet'!G47</f>
        <v>0</v>
      </c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>
        <f>30*'Données projet'!E48+19.4*('Données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>
        <f>30*'Données projet'!E49+19.4*('Données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>
        <f>30*'Données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>
        <f>30*'Données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>
        <f>30*'Données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30*'Données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30*'Données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f>946.43+50</f>
        <v>996.43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15</v>
      </c>
      <c r="B54" s="181">
        <f>'Données projet'!D62</f>
        <v>4</v>
      </c>
      <c r="C54" s="191">
        <f>31*'Données projet'!E62+19.4*('Données projet'!F62+'Données projet'!G62)+10*'Données projet'!H62</f>
        <v>21.72</v>
      </c>
      <c r="D54" s="179">
        <f>B54*C54</f>
        <v>86.88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20</v>
      </c>
      <c r="B55" s="181">
        <f>'Données projet'!D63</f>
        <v>56</v>
      </c>
      <c r="C55" s="191">
        <f>31*'Données projet'!E63+19.4*('Données projet'!F63+'Données projet'!G63)+10*'Données projet'!H63</f>
        <v>21.72</v>
      </c>
      <c r="D55" s="179">
        <f t="shared" ref="D55:D73" si="4">B55*C55</f>
        <v>1216.32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25</v>
      </c>
      <c r="B56" s="181">
        <f>'Données projet'!D64</f>
        <v>56</v>
      </c>
      <c r="C56" s="191">
        <f>31*'Données projet'!E64+19.4*('Données projet'!F64+'Données projet'!G64)+10*'Données projet'!H64</f>
        <v>22.879999999999995</v>
      </c>
      <c r="D56" s="179">
        <f t="shared" si="4"/>
        <v>1281.2799999999997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30</v>
      </c>
      <c r="B57" s="181">
        <f>'Données projet'!D65</f>
        <v>56</v>
      </c>
      <c r="C57" s="191">
        <f>31*'Données projet'!E65+19.4*('Données projet'!F65+'Données projet'!G65)+10*'Données projet'!H65</f>
        <v>24.04</v>
      </c>
      <c r="D57" s="179">
        <f t="shared" si="4"/>
        <v>1346.24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35</v>
      </c>
      <c r="B58" s="181">
        <f>'Données projet'!D66</f>
        <v>56</v>
      </c>
      <c r="C58" s="191">
        <f>31*'Données projet'!E66+19.4*('Données projet'!F66+'Données projet'!G66)+10*'Données projet'!H66</f>
        <v>24.04</v>
      </c>
      <c r="D58" s="179">
        <f t="shared" si="4"/>
        <v>1346.24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40</v>
      </c>
      <c r="B59" s="181">
        <f>'Données projet'!D67</f>
        <v>56</v>
      </c>
      <c r="C59" s="191">
        <f>31*'Données projet'!E67+19.4*('Données projet'!F67+'Données projet'!G67)+10*'Données projet'!H67</f>
        <v>25.2</v>
      </c>
      <c r="D59" s="179">
        <f t="shared" si="4"/>
        <v>1411.2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45</v>
      </c>
      <c r="B60" s="181">
        <f>'Données projet'!D68</f>
        <v>54</v>
      </c>
      <c r="C60" s="191">
        <f>31*'Données projet'!E68+19.4*('Données projet'!F68+'Données projet'!G68)+10*'Données projet'!H68</f>
        <v>25.2</v>
      </c>
      <c r="D60" s="179">
        <f t="shared" si="4"/>
        <v>1360.8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50</v>
      </c>
      <c r="B61" s="181">
        <f>'Données projet'!D69</f>
        <v>49</v>
      </c>
      <c r="C61" s="191">
        <f>31*'Données projet'!E69+19.4*('Données projet'!F69+'Données projet'!G69)+10*'Données projet'!H69</f>
        <v>26.36</v>
      </c>
      <c r="D61" s="179">
        <f t="shared" si="4"/>
        <v>1291.6399999999999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55</v>
      </c>
      <c r="B62" s="181">
        <f>'Données projet'!D70</f>
        <v>42</v>
      </c>
      <c r="C62" s="191">
        <f>31*'Données projet'!E70+19.4*('Données projet'!F70+'Données projet'!G70)+10*'Données projet'!H70</f>
        <v>26.36</v>
      </c>
      <c r="D62" s="179">
        <f t="shared" si="4"/>
        <v>1107.1199999999999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60</v>
      </c>
      <c r="B63" s="181">
        <f>'Données projet'!D71</f>
        <v>528</v>
      </c>
      <c r="C63" s="191">
        <f>31*'Données projet'!E71+19.4*('Données projet'!F71+'Données projet'!G71)+10*'Données projet'!H71</f>
        <v>27.52</v>
      </c>
      <c r="D63" s="179">
        <f t="shared" si="4"/>
        <v>14530.56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30*'Données projet'!E72+19.4*('Données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30*'Données projet'!E73+19.4*('Données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30*'Données projet'!E74+19.4*('Données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30*'Données projet'!E75+19.4*('Données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30*'Données projet'!E76+19.4*('Données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30*'Données projet'!E77+19.4*('Données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30*'Données projet'!E78+19.4*('Données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30*'Données projet'!E79+19.4*('Données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30*'Données projet'!E80+19.4*('Données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30*'Données projet'!E81+19.4*('Données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>
        <f>3232.04+50</f>
        <v>3282.04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20</v>
      </c>
      <c r="B85" s="181">
        <f>'Données projet'!D88</f>
        <v>0</v>
      </c>
      <c r="C85" s="191">
        <f>150*'Données projet'!E88+19.4*('Données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25</v>
      </c>
      <c r="B86" s="181">
        <f>'Données projet'!D89</f>
        <v>0</v>
      </c>
      <c r="C86" s="191">
        <f>150*'Données projet'!E89+13.8*('Données projet'!F89+'Données projet'!G89)+10*'Données projet'!H89</f>
        <v>10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30</v>
      </c>
      <c r="B87" s="181">
        <f>'Données projet'!D90</f>
        <v>0</v>
      </c>
      <c r="C87" s="191">
        <f>150*'Données projet'!E90+13.8*('Données projet'!F90+'Données projet'!G90)+10*'Données projet'!H90</f>
        <v>10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35</v>
      </c>
      <c r="B88" s="181">
        <f>'Données projet'!D91</f>
        <v>21</v>
      </c>
      <c r="C88" s="191">
        <f>150*'Données projet'!E91+13.8*('Données projet'!F91+'Données projet'!G91)+10*'Données projet'!H91</f>
        <v>10</v>
      </c>
      <c r="D88" s="179">
        <f t="shared" si="6"/>
        <v>210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40</v>
      </c>
      <c r="B89" s="181">
        <f>'Données projet'!D92</f>
        <v>21</v>
      </c>
      <c r="C89" s="191">
        <f>150*'Données projet'!E92+13.8*('Données projet'!F92+'Données projet'!G92)+10*'Données projet'!H92</f>
        <v>38</v>
      </c>
      <c r="D89" s="179">
        <f t="shared" si="6"/>
        <v>798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45</v>
      </c>
      <c r="B90" s="181">
        <f>'Données projet'!D93</f>
        <v>21</v>
      </c>
      <c r="C90" s="191">
        <f>150*'Données projet'!E93+13.8*('Données projet'!F93+'Données projet'!G93)+10*'Données projet'!H93</f>
        <v>38</v>
      </c>
      <c r="D90" s="179">
        <f t="shared" si="6"/>
        <v>798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50</v>
      </c>
      <c r="B91" s="181">
        <f>'Données projet'!D94</f>
        <v>21</v>
      </c>
      <c r="C91" s="191">
        <f>150*'Données projet'!E94+13.8*('Données projet'!F94+'Données projet'!G94)+10*'Données projet'!H94</f>
        <v>52</v>
      </c>
      <c r="D91" s="179">
        <f t="shared" si="6"/>
        <v>1092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55</v>
      </c>
      <c r="B92" s="181">
        <f>'Données projet'!D95</f>
        <v>21</v>
      </c>
      <c r="C92" s="191">
        <f>150*'Données projet'!E95+13.8*('Données projet'!F95+'Données projet'!G95)+10*'Données projet'!H95</f>
        <v>52</v>
      </c>
      <c r="D92" s="179">
        <f t="shared" si="6"/>
        <v>1092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60</v>
      </c>
      <c r="B93" s="181">
        <f>'Données projet'!D96</f>
        <v>21</v>
      </c>
      <c r="C93" s="191">
        <f>150*'Données projet'!E96+13.8*('Données projet'!F96+'Données projet'!G96)+10*'Données projet'!H96</f>
        <v>66</v>
      </c>
      <c r="D93" s="179">
        <f t="shared" si="6"/>
        <v>1386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65</v>
      </c>
      <c r="B94" s="181">
        <f>'Données projet'!D97</f>
        <v>21</v>
      </c>
      <c r="C94" s="191">
        <f>150*'Données projet'!E97+13.8*('Données projet'!F97+'Données projet'!G97)+10*'Données projet'!H97</f>
        <v>66</v>
      </c>
      <c r="D94" s="179">
        <f t="shared" si="6"/>
        <v>1386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70</v>
      </c>
      <c r="B95" s="181">
        <f>'Données projet'!D98</f>
        <v>21</v>
      </c>
      <c r="C95" s="191">
        <f>150*'Données projet'!E98+13.8*('Données projet'!F98+'Données projet'!G98)+10*'Données projet'!H98</f>
        <v>80</v>
      </c>
      <c r="D95" s="179">
        <f t="shared" si="6"/>
        <v>1680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75</v>
      </c>
      <c r="B96" s="181">
        <f>'Données projet'!D99</f>
        <v>21</v>
      </c>
      <c r="C96" s="191">
        <f>150*'Données projet'!E99+13.8*('Données projet'!F99+'Données projet'!G99)+10*'Données projet'!H99</f>
        <v>80</v>
      </c>
      <c r="D96" s="179">
        <f t="shared" si="6"/>
        <v>1680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80</v>
      </c>
      <c r="B97" s="181">
        <f>'Données projet'!D100</f>
        <v>21</v>
      </c>
      <c r="C97" s="191">
        <f>150*'Données projet'!E100+13.8*('Données projet'!F100+'Données projet'!G100)+10*'Données projet'!H100</f>
        <v>94</v>
      </c>
      <c r="D97" s="179">
        <f t="shared" si="6"/>
        <v>1974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85</v>
      </c>
      <c r="B98" s="181">
        <f>'Données projet'!D101</f>
        <v>21</v>
      </c>
      <c r="C98" s="191">
        <f>150*'Données projet'!E101+13.8*('Données projet'!F101+'Données projet'!G101)+10*'Données projet'!H101</f>
        <v>94</v>
      </c>
      <c r="D98" s="179">
        <f t="shared" si="6"/>
        <v>1974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90</v>
      </c>
      <c r="B99" s="181">
        <f>'Données projet'!D102</f>
        <v>21</v>
      </c>
      <c r="C99" s="191">
        <f>150*'Données projet'!E102+13.8*('Données projet'!F102+'Données projet'!G102)+10*'Données projet'!H102</f>
        <v>108</v>
      </c>
      <c r="D99" s="179">
        <f t="shared" si="6"/>
        <v>2268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100</v>
      </c>
      <c r="B100" s="181">
        <f>'Données projet'!D103</f>
        <v>21</v>
      </c>
      <c r="C100" s="191">
        <f>150*'Données projet'!E103+13.8*('Données projet'!F103+'Données projet'!G103)+10*'Données projet'!H103</f>
        <v>108</v>
      </c>
      <c r="D100" s="179">
        <f t="shared" si="6"/>
        <v>2268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110</v>
      </c>
      <c r="B101" s="181">
        <f>'Données projet'!D104</f>
        <v>19</v>
      </c>
      <c r="C101" s="191">
        <f>150*'Données projet'!E104+13.8*('Données projet'!F104+'Données projet'!G104)+10*'Données projet'!H104</f>
        <v>122</v>
      </c>
      <c r="D101" s="179">
        <f t="shared" si="6"/>
        <v>2318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120</v>
      </c>
      <c r="B102" s="181">
        <f>'Données projet'!D105</f>
        <v>285</v>
      </c>
      <c r="C102" s="191">
        <f>150*'Données projet'!E105+13.8*('Données projet'!F105+'Données projet'!G105)+10*'Données projet'!H105</f>
        <v>122</v>
      </c>
      <c r="D102" s="179">
        <f t="shared" si="6"/>
        <v>34770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150*'Données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150*'Données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f>1949.22+50</f>
        <v>1999.22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25</v>
      </c>
      <c r="B116" s="181">
        <f>'Données projet'!D114</f>
        <v>0</v>
      </c>
      <c r="C116" s="191">
        <f>50*'Données projet'!E114+13.8*('Données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30</v>
      </c>
      <c r="B117" s="181">
        <f>'Données projet'!D115</f>
        <v>0</v>
      </c>
      <c r="C117" s="191">
        <f>50*'Données projet'!E115+13.8*('Données projet'!F115+'Données projet'!G115)+10*'Données projet'!H115</f>
        <v>10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35</v>
      </c>
      <c r="B118" s="181">
        <f>'Données projet'!D116</f>
        <v>13</v>
      </c>
      <c r="C118" s="191">
        <f>50*'Données projet'!E116+13.8*('Données projet'!F116+'Données projet'!G116)+10*'Données projet'!H116</f>
        <v>10</v>
      </c>
      <c r="D118" s="179">
        <f t="shared" si="8"/>
        <v>130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40</v>
      </c>
      <c r="B119" s="181">
        <f>'Données projet'!D117</f>
        <v>14</v>
      </c>
      <c r="C119" s="191">
        <f>50*'Données projet'!E117+13.8*('Données projet'!F117+'Données projet'!G117)+10*'Données projet'!H117</f>
        <v>10</v>
      </c>
      <c r="D119" s="179">
        <f t="shared" si="8"/>
        <v>140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45</v>
      </c>
      <c r="B120" s="181">
        <f>'Données projet'!D118</f>
        <v>14</v>
      </c>
      <c r="C120" s="191">
        <f>50*'Données projet'!E118+13.8*('Données projet'!F118+'Données projet'!G118)+10*'Données projet'!H118</f>
        <v>10</v>
      </c>
      <c r="D120" s="179">
        <f t="shared" si="8"/>
        <v>140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50</v>
      </c>
      <c r="B121" s="181">
        <f>'Données projet'!D119</f>
        <v>14</v>
      </c>
      <c r="C121" s="191">
        <f>50*'Données projet'!E119+13.8*('Données projet'!F119+'Données projet'!G119)+10*'Données projet'!H119</f>
        <v>10</v>
      </c>
      <c r="D121" s="179">
        <f t="shared" si="8"/>
        <v>140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55</v>
      </c>
      <c r="B122" s="181">
        <f>'Données projet'!D120</f>
        <v>14</v>
      </c>
      <c r="C122" s="191">
        <f>50*'Données projet'!E120+13.8*('Données projet'!F120+'Données projet'!G120)+10*'Données projet'!H120</f>
        <v>10</v>
      </c>
      <c r="D122" s="179">
        <f t="shared" si="8"/>
        <v>140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60</v>
      </c>
      <c r="B123" s="181">
        <f>'Données projet'!D121</f>
        <v>14</v>
      </c>
      <c r="C123" s="191">
        <f>50*'Données projet'!E121+13.8*('Données projet'!F121+'Données projet'!G121)+10*'Données projet'!H121</f>
        <v>14</v>
      </c>
      <c r="D123" s="179">
        <f t="shared" si="8"/>
        <v>196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65</v>
      </c>
      <c r="B124" s="181">
        <f>'Données projet'!D122</f>
        <v>14</v>
      </c>
      <c r="C124" s="191">
        <f>50*'Données projet'!E122+13.8*('Données projet'!F122+'Données projet'!G122)+10*'Données projet'!H122</f>
        <v>14</v>
      </c>
      <c r="D124" s="179">
        <f t="shared" si="8"/>
        <v>196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70</v>
      </c>
      <c r="B125" s="181">
        <f>'Données projet'!D123</f>
        <v>14</v>
      </c>
      <c r="C125" s="191">
        <f>50*'Données projet'!E123+13.8*('Données projet'!F123+'Données projet'!G123)+10*'Données projet'!H123</f>
        <v>18</v>
      </c>
      <c r="D125" s="179">
        <f t="shared" si="8"/>
        <v>252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75</v>
      </c>
      <c r="B126" s="181">
        <f>'Données projet'!D124</f>
        <v>14</v>
      </c>
      <c r="C126" s="191">
        <f>50*'Données projet'!E124+13.8*('Données projet'!F124+'Données projet'!G124)+10*'Données projet'!H124</f>
        <v>18</v>
      </c>
      <c r="D126" s="179">
        <f t="shared" si="8"/>
        <v>252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80</v>
      </c>
      <c r="B127" s="181">
        <f>'Données projet'!D125</f>
        <v>14</v>
      </c>
      <c r="C127" s="191">
        <f>50*'Données projet'!E125+13.8*('Données projet'!F125+'Données projet'!G125)+10*'Données projet'!H125</f>
        <v>18</v>
      </c>
      <c r="D127" s="179">
        <f t="shared" si="8"/>
        <v>252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85</v>
      </c>
      <c r="B128" s="181">
        <f>'Données projet'!D126</f>
        <v>14</v>
      </c>
      <c r="C128" s="191">
        <f>50*'Données projet'!E126+13.8*('Données projet'!F126+'Données projet'!G126)+10*'Données projet'!H126</f>
        <v>22</v>
      </c>
      <c r="D128" s="179">
        <f t="shared" si="8"/>
        <v>308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90</v>
      </c>
      <c r="B129" s="181">
        <f>'Données projet'!D127</f>
        <v>14</v>
      </c>
      <c r="C129" s="191">
        <f>50*'Données projet'!E127+13.8*('Données projet'!F127+'Données projet'!G127)+10*'Données projet'!H127</f>
        <v>22</v>
      </c>
      <c r="D129" s="179">
        <f t="shared" si="8"/>
        <v>308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100</v>
      </c>
      <c r="B130" s="181">
        <f>'Données projet'!D128</f>
        <v>14</v>
      </c>
      <c r="C130" s="191">
        <f>50*'Données projet'!E128+13.8*('Données projet'!F128+'Données projet'!G128)+10*'Données projet'!H128</f>
        <v>26</v>
      </c>
      <c r="D130" s="179">
        <f t="shared" si="8"/>
        <v>364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110</v>
      </c>
      <c r="B131" s="181">
        <f>'Données projet'!D129</f>
        <v>13</v>
      </c>
      <c r="C131" s="191">
        <f>50*'Données projet'!E129+13.8*('Données projet'!F129+'Données projet'!G129)+10*'Données projet'!H129</f>
        <v>26</v>
      </c>
      <c r="D131" s="179">
        <f t="shared" si="8"/>
        <v>338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120</v>
      </c>
      <c r="B132" s="181">
        <f>'Données projet'!D130</f>
        <v>221</v>
      </c>
      <c r="C132" s="191">
        <f>50*'Données projet'!E130+13.8*('Données projet'!F130+'Données projet'!G130)+10*'Données projet'!H130</f>
        <v>30</v>
      </c>
      <c r="D132" s="179">
        <f t="shared" si="8"/>
        <v>6630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50*'Données projet'!E131+13.8*('Données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50*'Données projet'!E132+13.8*('Données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50*'Données projet'!E133+13.8*('Données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Alisier torminal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f>3232.04+50</f>
        <v>3282.04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25</v>
      </c>
      <c r="B147" s="175">
        <f>'Données projet'!D140</f>
        <v>0</v>
      </c>
      <c r="C147" s="191">
        <f>300*'Données projet'!E140+13.8*('Données projet'!F140+'Données projet'!G140)+10*'Données projet'!H140</f>
        <v>10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30</v>
      </c>
      <c r="B148" s="175">
        <f>'Données projet'!D141</f>
        <v>0</v>
      </c>
      <c r="C148" s="191">
        <f>300*'Données projet'!E141+13.8*('Données projet'!F141+'Données projet'!G141)+10*'Données projet'!H141</f>
        <v>10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35</v>
      </c>
      <c r="B149" s="175">
        <f>'Données projet'!D142</f>
        <v>13</v>
      </c>
      <c r="C149" s="191">
        <f>300*'Données projet'!E142+13.8*('Données projet'!F142+'Données projet'!G142)+10*'Données projet'!H142</f>
        <v>10</v>
      </c>
      <c r="D149" s="182">
        <f t="shared" si="10"/>
        <v>130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40</v>
      </c>
      <c r="B150" s="175">
        <f>'Données projet'!D143</f>
        <v>14</v>
      </c>
      <c r="C150" s="191">
        <f>300*'Données projet'!E143+13.8*('Données projet'!F143+'Données projet'!G143)+10*'Données projet'!H143</f>
        <v>10</v>
      </c>
      <c r="D150" s="182">
        <f t="shared" si="10"/>
        <v>140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45</v>
      </c>
      <c r="B151" s="175">
        <f>'Données projet'!D144</f>
        <v>14</v>
      </c>
      <c r="C151" s="191">
        <f>300*'Données projet'!E144+13.8*('Données projet'!F144+'Données projet'!G144)+10*'Données projet'!H144</f>
        <v>10</v>
      </c>
      <c r="D151" s="182">
        <f t="shared" si="10"/>
        <v>140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50</v>
      </c>
      <c r="B152" s="175">
        <f>'Données projet'!D145</f>
        <v>14</v>
      </c>
      <c r="C152" s="191">
        <f>300*'Données projet'!E145+13.8*('Données projet'!F145+'Données projet'!G145)+10*'Données projet'!H145</f>
        <v>10</v>
      </c>
      <c r="D152" s="182">
        <f t="shared" si="10"/>
        <v>140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55</v>
      </c>
      <c r="B153" s="175">
        <f>'Données projet'!D146</f>
        <v>14</v>
      </c>
      <c r="C153" s="191">
        <f>300*'Données projet'!E146+13.8*('Données projet'!F146+'Données projet'!G146)+10*'Données projet'!H146</f>
        <v>10</v>
      </c>
      <c r="D153" s="182">
        <f t="shared" si="10"/>
        <v>140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60</v>
      </c>
      <c r="B154" s="175">
        <f>'Données projet'!D147</f>
        <v>14</v>
      </c>
      <c r="C154" s="191">
        <f>300*'Données projet'!E147+13.8*('Données projet'!F147+'Données projet'!G147)+10*'Données projet'!H147</f>
        <v>10</v>
      </c>
      <c r="D154" s="182">
        <f t="shared" si="10"/>
        <v>140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65</v>
      </c>
      <c r="B155" s="175">
        <f>'Données projet'!D148</f>
        <v>14</v>
      </c>
      <c r="C155" s="191">
        <f>300*'Données projet'!E148+13.8*('Données projet'!F148+'Données projet'!G148)+10*'Données projet'!H148</f>
        <v>10</v>
      </c>
      <c r="D155" s="182">
        <f t="shared" si="10"/>
        <v>140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70</v>
      </c>
      <c r="B156" s="175">
        <f>'Données projet'!D149</f>
        <v>14</v>
      </c>
      <c r="C156" s="191">
        <f>300*'Données projet'!E149+13.8*('Données projet'!F149+'Données projet'!G149)+10*'Données projet'!H149</f>
        <v>10</v>
      </c>
      <c r="D156" s="182">
        <f t="shared" si="10"/>
        <v>140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75</v>
      </c>
      <c r="B157" s="175">
        <f>'Données projet'!D150</f>
        <v>14</v>
      </c>
      <c r="C157" s="191">
        <f>300*'Données projet'!E150+13.8*('Données projet'!F150+'Données projet'!G150)+10*'Données projet'!H150</f>
        <v>10</v>
      </c>
      <c r="D157" s="182">
        <f t="shared" si="10"/>
        <v>140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80</v>
      </c>
      <c r="B158" s="175">
        <f>'Données projet'!D151</f>
        <v>14</v>
      </c>
      <c r="C158" s="191">
        <f>300*'Données projet'!E151+13.8*('Données projet'!F151+'Données projet'!G151)+10*'Données projet'!H151</f>
        <v>97</v>
      </c>
      <c r="D158" s="182">
        <f t="shared" si="10"/>
        <v>1358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85</v>
      </c>
      <c r="B159" s="175">
        <f>'Données projet'!D152</f>
        <v>14</v>
      </c>
      <c r="C159" s="191">
        <f>300*'Données projet'!E152+13.8*('Données projet'!F152+'Données projet'!G152)+10*'Données projet'!H152</f>
        <v>126</v>
      </c>
      <c r="D159" s="182">
        <f t="shared" si="10"/>
        <v>1764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90</v>
      </c>
      <c r="B160" s="175">
        <f>'Données projet'!D153</f>
        <v>14</v>
      </c>
      <c r="C160" s="191">
        <f>300*'Données projet'!E153+13.8*('Données projet'!F153+'Données projet'!G153)+10*'Données projet'!H153</f>
        <v>155</v>
      </c>
      <c r="D160" s="182">
        <f t="shared" si="10"/>
        <v>2170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100</v>
      </c>
      <c r="B161" s="175">
        <f>'Données projet'!D154</f>
        <v>14</v>
      </c>
      <c r="C161" s="191">
        <f>300*'Données projet'!E154+13.8*('Données projet'!F154+'Données projet'!G154)+10*'Données projet'!H154</f>
        <v>184</v>
      </c>
      <c r="D161" s="182">
        <f t="shared" si="10"/>
        <v>2576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110</v>
      </c>
      <c r="B162" s="175">
        <f>'Données projet'!D155</f>
        <v>13</v>
      </c>
      <c r="C162" s="191">
        <f>300*'Données projet'!E155+13.8*('Données projet'!F155+'Données projet'!G155)+10*'Données projet'!H155</f>
        <v>213</v>
      </c>
      <c r="D162" s="182">
        <f t="shared" si="10"/>
        <v>2769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120</v>
      </c>
      <c r="B163" s="175">
        <f>'Données projet'!D156</f>
        <v>221</v>
      </c>
      <c r="C163" s="191">
        <f>300*'Données projet'!E156+13.8*('Données projet'!F156+'Données projet'!G156)+10*'Données projet'!H156</f>
        <v>242</v>
      </c>
      <c r="D163" s="182">
        <f t="shared" si="10"/>
        <v>53482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2023-06-27T12:40:21Z</dcterms:modified>
</cp:coreProperties>
</file>