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ownCloud2\Projets carbone Nouvelle Aquitaine\Mr MOUTE - Téréga - Sauveterre-de-Guyenne - Boisement\Montage\"/>
    </mc:Choice>
  </mc:AlternateContent>
  <bookViews>
    <workbookView xWindow="0" yWindow="0" windowWidth="19200" windowHeight="9765" tabRatio="866" firstSheet="1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9" i="1" l="1"/>
  <c r="D159" i="1" s="1"/>
  <c r="D158" i="1"/>
  <c r="B62" i="1"/>
  <c r="B63" i="1"/>
  <c r="B64" i="1"/>
  <c r="B65" i="1"/>
  <c r="B66" i="1"/>
  <c r="D66" i="1"/>
  <c r="D68" i="1"/>
  <c r="D70" i="1"/>
  <c r="D72" i="1"/>
  <c r="D74" i="1"/>
  <c r="B67" i="1"/>
  <c r="B68" i="1"/>
  <c r="B69" i="1"/>
  <c r="B70" i="1"/>
  <c r="B71" i="1"/>
  <c r="B72" i="1"/>
  <c r="B73" i="1"/>
  <c r="B74" i="1"/>
  <c r="B75" i="1"/>
  <c r="B158" i="1"/>
  <c r="D157" i="1"/>
  <c r="B157" i="1"/>
  <c r="B156" i="1"/>
  <c r="D155" i="1"/>
  <c r="B155" i="1"/>
  <c r="B154" i="1"/>
  <c r="D153" i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B143" i="1" l="1"/>
  <c r="B141" i="1"/>
  <c r="D143" i="1" l="1"/>
  <c r="D141" i="1"/>
  <c r="B142" i="1"/>
  <c r="B140" i="1"/>
  <c r="B119" i="1"/>
  <c r="B117" i="1"/>
  <c r="B115" i="1"/>
  <c r="D119" i="1"/>
  <c r="D115" i="1"/>
  <c r="D117" i="1"/>
  <c r="D122" i="1"/>
  <c r="D121" i="1"/>
  <c r="D120" i="1"/>
  <c r="B122" i="1"/>
  <c r="B121" i="1"/>
  <c r="B120" i="1"/>
  <c r="B118" i="1"/>
  <c r="B116" i="1"/>
  <c r="B11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BQ4" i="2"/>
  <c r="EA4" i="2"/>
  <c r="FR4" i="2"/>
  <c r="FQ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HI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B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FS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HG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A164" i="2"/>
  <c r="EX164" i="2"/>
  <c r="FS164" i="2"/>
  <c r="HH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A172" i="2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HI179" i="2"/>
  <c r="HH179" i="2"/>
  <c r="EV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I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B192" i="2"/>
  <c r="EC192" i="2"/>
  <c r="EW192" i="2"/>
  <c r="HG192" i="2"/>
  <c r="EA192" i="2"/>
  <c r="EV192" i="2"/>
  <c r="EY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B193" i="2"/>
  <c r="EA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EB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HH201" i="2" l="1"/>
  <c r="DI200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AH90" i="2" a="1"/>
  <c r="AH90" i="2" s="1"/>
  <c r="AH166" i="2" a="1"/>
  <c r="AH166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199" i="2" a="1"/>
  <c r="AH199" i="2" s="1"/>
  <c r="AH19" i="2" a="1"/>
  <c r="AH19" i="2" s="1"/>
  <c r="CS129" i="2" a="1"/>
  <c r="CS129" i="2" s="1"/>
  <c r="CS77" i="2" a="1"/>
  <c r="CS77" i="2" s="1"/>
  <c r="BC38" i="2" a="1"/>
  <c r="BC38" i="2" s="1"/>
  <c r="BC32" i="2" a="1"/>
  <c r="BC32" i="2" s="1"/>
  <c r="BC126" i="2" a="1"/>
  <c r="BC126" i="2" s="1"/>
  <c r="BC83" i="2" a="1"/>
  <c r="BC83" i="2" s="1"/>
  <c r="BC82" i="2" a="1"/>
  <c r="BC82" i="2" s="1"/>
  <c r="BC164" i="2" a="1"/>
  <c r="BC164" i="2" s="1"/>
  <c r="BC151" i="2" a="1"/>
  <c r="BC151" i="2" s="1"/>
  <c r="BC192" i="2" a="1"/>
  <c r="BC192" i="2" s="1"/>
  <c r="BC47" i="2" a="1"/>
  <c r="BC47" i="2" s="1"/>
  <c r="BC55" i="2" a="1"/>
  <c r="BC55" i="2" s="1"/>
  <c r="BC68" i="2" a="1"/>
  <c r="BC68" i="2" s="1"/>
  <c r="BC130" i="2" a="1"/>
  <c r="BC130" i="2" s="1"/>
  <c r="BC117" i="2" a="1"/>
  <c r="BC117" i="2" s="1"/>
  <c r="BC58" i="2" a="1"/>
  <c r="BC58" i="2" s="1"/>
  <c r="BC185" i="2" a="1"/>
  <c r="BC185" i="2" s="1"/>
  <c r="BC143" i="2" a="1"/>
  <c r="BC143" i="2" s="1"/>
  <c r="BC181" i="2" a="1"/>
  <c r="BC181" i="2" s="1"/>
  <c r="BC34" i="2" a="1"/>
  <c r="BC34" i="2" s="1"/>
  <c r="BC7" i="2" a="1"/>
  <c r="BC7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HH203" i="2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155" i="2" l="1"/>
  <c r="CY143" i="2"/>
  <c r="CY24" i="2"/>
  <c r="CY48" i="2"/>
  <c r="CY191" i="2"/>
  <c r="CY23" i="2"/>
  <c r="CY116" i="2"/>
  <c r="CY10" i="2"/>
  <c r="CY34" i="2"/>
  <c r="CY161" i="2"/>
  <c r="CY153" i="2"/>
  <c r="CY177" i="2"/>
  <c r="CY183" i="2"/>
  <c r="CY62" i="2"/>
  <c r="CY30" i="2"/>
  <c r="CY58" i="2"/>
  <c r="CY106" i="2"/>
  <c r="CY181" i="2"/>
  <c r="CY16" i="2"/>
  <c r="CY158" i="2"/>
  <c r="CY80" i="2"/>
  <c r="CY176" i="2"/>
  <c r="CY109" i="2"/>
  <c r="CY113" i="2"/>
  <c r="CY199" i="2"/>
  <c r="CY15" i="2"/>
  <c r="CY98" i="2"/>
  <c r="CY193" i="2"/>
  <c r="CY45" i="2"/>
  <c r="CY91" i="2"/>
  <c r="CY136" i="2"/>
  <c r="CY93" i="2"/>
  <c r="CY112" i="2"/>
  <c r="CY54" i="2"/>
  <c r="CY170" i="2"/>
  <c r="CY108" i="2"/>
  <c r="CY187" i="2"/>
  <c r="CY51" i="2"/>
  <c r="CY70" i="2"/>
  <c r="CY132" i="2"/>
  <c r="CY186" i="2"/>
  <c r="CY127" i="2"/>
  <c r="CY159" i="2"/>
  <c r="CY114" i="2"/>
  <c r="CY188" i="2"/>
  <c r="CY77" i="2"/>
  <c r="CY184" i="2"/>
  <c r="CY84" i="2"/>
  <c r="CY166" i="2"/>
  <c r="CY72" i="2"/>
  <c r="CY59" i="2"/>
  <c r="CY141" i="2"/>
  <c r="CY9" i="2"/>
  <c r="CY63" i="2"/>
  <c r="CY178" i="2"/>
  <c r="CY152" i="2"/>
  <c r="CY190" i="2"/>
  <c r="CY31" i="2"/>
  <c r="CY102" i="2"/>
  <c r="CY138" i="2"/>
  <c r="CY3" i="2"/>
  <c r="C10" i="4" s="1"/>
  <c r="E10" i="4" s="1"/>
  <c r="F10" i="4" s="1"/>
  <c r="G10" i="4" s="1"/>
  <c r="L10" i="4" s="1"/>
  <c r="CY142" i="2"/>
  <c r="CY195" i="2"/>
  <c r="CY90" i="2"/>
  <c r="CY56" i="2"/>
  <c r="CY101" i="2"/>
  <c r="CY125" i="2"/>
  <c r="CY124" i="2"/>
  <c r="CY79" i="2"/>
  <c r="CY21" i="2"/>
  <c r="CY33" i="2"/>
  <c r="CY160" i="2"/>
  <c r="CY89" i="2"/>
  <c r="CY146" i="2"/>
  <c r="CY55" i="2"/>
  <c r="CY175" i="2"/>
  <c r="CY65" i="2"/>
  <c r="CY22" i="2"/>
  <c r="CY82" i="2"/>
  <c r="CY42" i="2"/>
  <c r="CY198" i="2"/>
  <c r="CY71" i="2"/>
  <c r="CY35" i="2"/>
  <c r="CY104" i="2"/>
  <c r="CY13" i="2"/>
  <c r="CY156" i="2"/>
  <c r="CY12" i="2"/>
  <c r="CY7" i="2"/>
  <c r="CY86" i="2"/>
  <c r="CY107" i="2"/>
  <c r="CY53" i="2"/>
  <c r="CY163" i="2"/>
  <c r="CY4" i="2"/>
  <c r="CY180" i="2"/>
  <c r="CY149" i="2"/>
  <c r="CY49" i="2"/>
  <c r="CY78" i="2"/>
  <c r="CY192" i="2"/>
  <c r="CY126" i="2"/>
  <c r="CY119" i="2"/>
  <c r="CY32" i="2"/>
  <c r="CY179" i="2"/>
  <c r="CY148" i="2"/>
  <c r="CY201" i="2"/>
  <c r="CY169" i="2"/>
  <c r="CY92" i="2"/>
  <c r="CY36" i="2"/>
  <c r="CY133" i="2"/>
  <c r="CY203" i="2"/>
  <c r="CY64" i="2"/>
  <c r="CY197" i="2"/>
  <c r="CY111" i="2"/>
  <c r="CY37" i="2"/>
  <c r="CY95" i="2"/>
  <c r="CY103" i="2"/>
  <c r="CY52" i="2"/>
  <c r="CY145" i="2"/>
  <c r="CY19" i="2"/>
  <c r="CY150" i="2"/>
  <c r="CY60" i="2"/>
  <c r="CY118" i="2"/>
  <c r="CY167" i="2"/>
  <c r="CY200" i="2"/>
  <c r="CY139" i="2"/>
  <c r="CY8" i="2"/>
  <c r="CY202" i="2"/>
  <c r="CY140" i="2"/>
  <c r="CY26" i="2"/>
  <c r="CY14" i="2"/>
  <c r="CY85" i="2"/>
  <c r="CY11" i="2"/>
  <c r="CY110" i="2"/>
  <c r="CY164" i="2"/>
  <c r="CY27" i="2"/>
  <c r="CY41" i="2"/>
  <c r="CY135" i="2"/>
  <c r="CY29" i="2"/>
  <c r="CY137" i="2"/>
  <c r="CY173" i="2"/>
  <c r="CY68" i="2"/>
  <c r="CY18" i="2"/>
  <c r="CY40" i="2"/>
  <c r="CY87" i="2"/>
  <c r="CY162" i="2"/>
  <c r="CY81" i="2"/>
  <c r="CY157" i="2"/>
  <c r="CY83" i="2"/>
  <c r="CY168" i="2"/>
  <c r="CY57" i="2"/>
  <c r="CY44" i="2"/>
  <c r="CY172" i="2"/>
  <c r="CY61" i="2"/>
  <c r="CY115" i="2"/>
  <c r="CY194" i="2"/>
  <c r="CY120" i="2"/>
  <c r="CY100" i="2"/>
  <c r="CY129" i="2"/>
  <c r="CY134" i="2"/>
  <c r="CY94" i="2"/>
  <c r="CY151" i="2"/>
  <c r="CY96" i="2"/>
  <c r="CY99" i="2"/>
  <c r="CY117" i="2"/>
  <c r="CY50" i="2"/>
  <c r="CY28" i="2"/>
  <c r="CY123" i="2"/>
  <c r="CY17" i="2"/>
  <c r="CY75" i="2"/>
  <c r="CY97" i="2"/>
  <c r="CY46" i="2"/>
  <c r="CY182" i="2"/>
  <c r="CY122" i="2"/>
  <c r="CY131" i="2"/>
  <c r="CY196" i="2"/>
  <c r="CY6" i="2"/>
  <c r="CY174" i="2"/>
  <c r="CY171" i="2"/>
  <c r="CY105" i="2"/>
  <c r="CY38" i="2"/>
  <c r="CY121" i="2"/>
  <c r="CY130" i="2"/>
  <c r="CY189" i="2"/>
  <c r="CY73" i="2"/>
  <c r="CY39" i="2"/>
  <c r="CY74" i="2"/>
  <c r="CY67" i="2"/>
  <c r="CY20" i="2"/>
  <c r="CY66" i="2"/>
  <c r="CY69" i="2"/>
  <c r="CY25" i="2"/>
  <c r="CY147" i="2"/>
  <c r="CY5" i="2"/>
  <c r="CY128" i="2"/>
  <c r="CY144" i="2"/>
  <c r="CY154" i="2"/>
  <c r="CY88" i="2"/>
  <c r="CY47" i="2"/>
  <c r="CY76" i="2"/>
  <c r="CY43" i="2"/>
  <c r="CY165" i="2"/>
  <c r="CY18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08" i="2"/>
  <c r="BI73" i="2"/>
  <c r="BI62" i="2"/>
  <c r="BI101" i="2"/>
  <c r="BI58" i="2"/>
  <c r="BI78" i="2"/>
  <c r="BI146" i="2"/>
  <c r="BI75" i="2"/>
  <c r="BI166" i="2"/>
  <c r="BI60" i="2"/>
  <c r="BI116" i="2"/>
  <c r="BI162" i="2"/>
  <c r="BI26" i="2"/>
  <c r="BI178" i="2"/>
  <c r="BI140" i="2"/>
  <c r="BI103" i="2"/>
  <c r="BI114" i="2"/>
  <c r="BI193" i="2"/>
  <c r="BI137" i="2"/>
  <c r="BI170" i="2"/>
  <c r="BI89" i="2"/>
  <c r="BI63" i="2"/>
  <c r="BI56" i="2"/>
  <c r="BI57" i="2"/>
  <c r="BI125" i="2"/>
  <c r="BI128" i="2"/>
  <c r="BI74" i="2"/>
  <c r="BI69" i="2"/>
  <c r="BI131" i="2"/>
  <c r="BI93" i="2"/>
  <c r="BI88" i="2"/>
  <c r="BI5" i="2"/>
  <c r="BI79" i="2"/>
  <c r="BI152" i="2"/>
  <c r="BI163" i="2"/>
  <c r="BI164" i="2"/>
  <c r="BI64" i="2"/>
  <c r="BI155" i="2"/>
  <c r="BI34" i="2"/>
  <c r="BI61" i="2"/>
  <c r="BI179" i="2"/>
  <c r="BI97" i="2"/>
  <c r="BI167" i="2"/>
  <c r="BI176" i="2"/>
  <c r="BI197" i="2"/>
  <c r="BI95" i="2"/>
  <c r="BI52" i="2"/>
  <c r="BI120" i="2"/>
  <c r="BI189" i="2"/>
  <c r="BI201" i="2"/>
  <c r="BI124" i="2"/>
  <c r="BI36" i="2"/>
  <c r="BI44" i="2"/>
  <c r="BI198" i="2"/>
  <c r="BI84" i="2"/>
  <c r="BI33" i="2"/>
  <c r="BI87" i="2"/>
  <c r="BI37" i="2"/>
  <c r="BI11" i="2"/>
  <c r="BI91" i="2"/>
  <c r="BI157" i="2"/>
  <c r="BI53" i="2"/>
  <c r="BI158" i="2"/>
  <c r="BI25" i="2"/>
  <c r="BI39" i="2"/>
  <c r="BI182" i="2"/>
  <c r="BI190" i="2"/>
  <c r="BI49" i="2"/>
  <c r="BI15" i="2"/>
  <c r="BI141" i="2"/>
  <c r="BI142" i="2"/>
  <c r="BI9" i="2"/>
  <c r="BI183" i="2"/>
  <c r="BI20" i="2"/>
  <c r="BI132" i="2"/>
  <c r="BI129" i="2"/>
  <c r="BI185" i="2"/>
  <c r="BI72" i="2"/>
  <c r="BI38" i="2"/>
  <c r="BI54" i="2"/>
  <c r="BI68" i="2"/>
  <c r="BI30" i="2"/>
  <c r="BI181" i="2"/>
  <c r="BI23" i="2"/>
  <c r="BI8" i="2"/>
  <c r="BI21" i="2"/>
  <c r="BI191" i="2"/>
  <c r="BI148" i="2"/>
  <c r="BI7" i="2"/>
  <c r="BI121" i="2"/>
  <c r="BI12" i="2"/>
  <c r="BI186" i="2"/>
  <c r="BI196" i="2"/>
  <c r="BI175" i="2"/>
  <c r="BI111" i="2"/>
  <c r="BI149" i="2"/>
  <c r="BI136" i="2"/>
  <c r="BI96" i="2"/>
  <c r="BI76" i="2"/>
  <c r="BI203" i="2"/>
  <c r="BI171" i="2"/>
  <c r="BI6" i="2"/>
  <c r="BI67" i="2"/>
  <c r="BI41" i="2"/>
  <c r="BI70" i="2"/>
  <c r="BI199" i="2"/>
  <c r="BI169" i="2"/>
  <c r="BI184" i="2"/>
  <c r="BI117" i="2"/>
  <c r="BI105" i="2"/>
  <c r="BI118" i="2"/>
  <c r="BI86" i="2"/>
  <c r="BI14" i="2"/>
  <c r="BI161" i="2"/>
  <c r="BI115" i="2"/>
  <c r="BI100" i="2"/>
  <c r="BI4" i="2"/>
  <c r="BI194" i="2"/>
  <c r="BI174" i="2"/>
  <c r="BI50" i="2"/>
  <c r="BI42" i="2"/>
  <c r="BI110" i="2"/>
  <c r="BI130" i="2"/>
  <c r="BI113" i="2"/>
  <c r="BI32" i="2"/>
  <c r="BI55" i="2"/>
  <c r="BI134" i="2"/>
  <c r="BI71" i="2"/>
  <c r="BI80" i="2"/>
  <c r="BI35" i="2"/>
  <c r="BI66" i="2"/>
  <c r="BI104" i="2"/>
  <c r="BI123" i="2"/>
  <c r="BI173" i="2"/>
  <c r="BI59" i="2"/>
  <c r="BI202" i="2"/>
  <c r="BI133" i="2"/>
  <c r="BI188" i="2"/>
  <c r="BI17" i="2"/>
  <c r="BI99" i="2"/>
  <c r="BI81" i="2"/>
  <c r="BI160" i="2"/>
  <c r="BI46" i="2"/>
  <c r="BI18" i="2"/>
  <c r="BI150" i="2"/>
  <c r="BI138" i="2"/>
  <c r="BI106" i="2"/>
  <c r="BI187" i="2"/>
  <c r="BI51" i="2"/>
  <c r="BI85" i="2"/>
  <c r="BI119" i="2"/>
  <c r="BI195" i="2"/>
  <c r="BI13" i="2"/>
  <c r="BI22" i="2"/>
  <c r="BI65" i="2"/>
  <c r="BI127" i="2"/>
  <c r="BI102" i="2"/>
  <c r="BI122" i="2"/>
  <c r="BI82" i="2"/>
  <c r="BI83" i="2"/>
  <c r="BI200" i="2"/>
  <c r="BI3" i="2"/>
  <c r="C8" i="4" s="1"/>
  <c r="E8" i="4" s="1"/>
  <c r="F8" i="4" s="1"/>
  <c r="G8" i="4" s="1"/>
  <c r="L8" i="4" s="1"/>
  <c r="BI31" i="2"/>
  <c r="BI154" i="2"/>
  <c r="BI43" i="2"/>
  <c r="BI19" i="2"/>
  <c r="BI135" i="2"/>
  <c r="BI40" i="2"/>
  <c r="BI29" i="2"/>
  <c r="BI147" i="2"/>
  <c r="BI28" i="2"/>
  <c r="BI168" i="2"/>
  <c r="BI153" i="2"/>
  <c r="BI172" i="2"/>
  <c r="BI112" i="2"/>
  <c r="BI48" i="2"/>
  <c r="BI192" i="2"/>
  <c r="BI109" i="2"/>
  <c r="BI107" i="2"/>
  <c r="BI90" i="2"/>
  <c r="BI156" i="2"/>
  <c r="BI177" i="2"/>
  <c r="BI16" i="2"/>
  <c r="BI24" i="2"/>
  <c r="BI45" i="2"/>
  <c r="BI27" i="2"/>
  <c r="BI151" i="2"/>
  <c r="BI92" i="2"/>
  <c r="BI139" i="2"/>
  <c r="BI126" i="2"/>
  <c r="BI94" i="2"/>
  <c r="BI77" i="2"/>
  <c r="BI180" i="2"/>
  <c r="BI165" i="2"/>
  <c r="BI144" i="2"/>
  <c r="BI98" i="2"/>
  <c r="BI143" i="2"/>
  <c r="BI145" i="2"/>
  <c r="BI159" i="2"/>
  <c r="BI1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<sst xmlns="http://schemas.openxmlformats.org/spreadsheetml/2006/main" count="1174" uniqueCount="324">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</sst>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486.52503910078349</c:v>
                </c:pt>
                <c:pt idx="62">
                  <c:v>501.99288641186791</c:v>
                </c:pt>
                <c:pt idx="63">
                  <c:v>517.45065135367156</c:v>
                </c:pt>
                <c:pt idx="64">
                  <c:v>532.8986774086593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649.33245855121572</c:v>
                </c:pt>
                <c:pt idx="147">
                  <c:v>654.03150003454175</c:v>
                </c:pt>
                <c:pt idx="148">
                  <c:v>658.72984581562559</c:v>
                </c:pt>
                <c:pt idx="149">
                  <c:v>663.42750155761553</c:v>
                </c:pt>
                <c:pt idx="150">
                  <c:v>668.12447283689983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342160"/>
        <c:axId val="-1456339984"/>
      </c:scatterChart>
      <c:valAx>
        <c:axId val="-1456342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39984"/>
        <c:crosses val="autoZero"/>
        <c:crossBetween val="midCat"/>
      </c:valAx>
      <c:valAx>
        <c:axId val="-145633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42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7781936"/>
        <c:axId val="-1457790640"/>
      </c:scatterChart>
      <c:valAx>
        <c:axId val="-1457781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7790640"/>
        <c:crosses val="autoZero"/>
        <c:crossBetween val="midCat"/>
      </c:valAx>
      <c:valAx>
        <c:axId val="-145779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7781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118.03208120289025</c:v>
                </c:pt>
                <c:pt idx="32">
                  <c:v>127.16454093707324</c:v>
                </c:pt>
                <c:pt idx="33">
                  <c:v>136.28111027557466</c:v>
                </c:pt>
                <c:pt idx="34">
                  <c:v>145.38300356865543</c:v>
                </c:pt>
                <c:pt idx="35">
                  <c:v>154.47127040505103</c:v>
                </c:pt>
                <c:pt idx="36">
                  <c:v>164.62257075242445</c:v>
                </c:pt>
                <c:pt idx="37">
                  <c:v>174.75908346315285</c:v>
                </c:pt>
                <c:pt idx="38">
                  <c:v>184.88178804027584</c:v>
                </c:pt>
                <c:pt idx="39">
                  <c:v>194.99154782254652</c:v>
                </c:pt>
                <c:pt idx="40">
                  <c:v>205.08912920241869</c:v>
                </c:pt>
                <c:pt idx="41">
                  <c:v>216.07167176294379</c:v>
                </c:pt>
                <c:pt idx="42">
                  <c:v>227.04137501930674</c:v>
                </c:pt>
                <c:pt idx="43">
                  <c:v>237.99894718169116</c:v>
                </c:pt>
                <c:pt idx="44">
                  <c:v>248.9450258663492</c:v>
                </c:pt>
                <c:pt idx="45">
                  <c:v>259.88018799430489</c:v>
                </c:pt>
                <c:pt idx="46">
                  <c:v>271.55455561199773</c:v>
                </c:pt>
                <c:pt idx="47">
                  <c:v>283.21763703149043</c:v>
                </c:pt>
                <c:pt idx="48">
                  <c:v>294.86996273477894</c:v>
                </c:pt>
                <c:pt idx="49">
                  <c:v>306.51201783346147</c:v>
                </c:pt>
                <c:pt idx="50">
                  <c:v>318.14424756196712</c:v>
                </c:pt>
                <c:pt idx="51">
                  <c:v>329.76706192494237</c:v>
                </c:pt>
                <c:pt idx="52">
                  <c:v>239.67683700392948</c:v>
                </c:pt>
                <c:pt idx="53">
                  <c:v>250.29218464838678</c:v>
                </c:pt>
                <c:pt idx="54">
                  <c:v>260.8973260680587</c:v>
                </c:pt>
                <c:pt idx="55">
                  <c:v>271.49273488667239</c:v>
                </c:pt>
                <c:pt idx="56">
                  <c:v>282.07884471495868</c:v>
                </c:pt>
                <c:pt idx="57">
                  <c:v>292.65605393833511</c:v>
                </c:pt>
                <c:pt idx="58">
                  <c:v>303.66796237794057</c:v>
                </c:pt>
                <c:pt idx="59">
                  <c:v>314.67098963455902</c:v>
                </c:pt>
                <c:pt idx="60">
                  <c:v>325.66549017002541</c:v>
                </c:pt>
                <c:pt idx="61">
                  <c:v>336.65179254781509</c:v>
                </c:pt>
                <c:pt idx="62">
                  <c:v>347.63020212685018</c:v>
                </c:pt>
                <c:pt idx="63">
                  <c:v>358.60100339709601</c:v>
                </c:pt>
                <c:pt idx="64">
                  <c:v>260.03231321547509</c:v>
                </c:pt>
                <c:pt idx="65">
                  <c:v>269.77193063297682</c:v>
                </c:pt>
                <c:pt idx="66">
                  <c:v>279.50363527600848</c:v>
                </c:pt>
                <c:pt idx="67">
                  <c:v>289.22774169786436</c:v>
                </c:pt>
                <c:pt idx="68">
                  <c:v>298.94454155777515</c:v>
                </c:pt>
                <c:pt idx="69">
                  <c:v>308.65430599336338</c:v>
                </c:pt>
                <c:pt idx="70">
                  <c:v>318.62294171430648</c:v>
                </c:pt>
                <c:pt idx="71">
                  <c:v>328.58467368958503</c:v>
                </c:pt>
                <c:pt idx="72">
                  <c:v>338.53974084807078</c:v>
                </c:pt>
                <c:pt idx="73">
                  <c:v>348.48836691199364</c:v>
                </c:pt>
                <c:pt idx="74">
                  <c:v>358.43076178064831</c:v>
                </c:pt>
                <c:pt idx="75">
                  <c:v>368.36712275248732</c:v>
                </c:pt>
                <c:pt idx="76">
                  <c:v>291.91671551884872</c:v>
                </c:pt>
                <c:pt idx="77">
                  <c:v>300.87214322749122</c:v>
                </c:pt>
                <c:pt idx="78">
                  <c:v>309.82163676754641</c:v>
                </c:pt>
                <c:pt idx="79">
                  <c:v>318.76539185761334</c:v>
                </c:pt>
                <c:pt idx="80">
                  <c:v>327.70359232869743</c:v>
                </c:pt>
                <c:pt idx="81">
                  <c:v>336.63641115786692</c:v>
                </c:pt>
                <c:pt idx="82">
                  <c:v>345.70364470995446</c:v>
                </c:pt>
                <c:pt idx="83">
                  <c:v>354.76565626068276</c:v>
                </c:pt>
                <c:pt idx="84">
                  <c:v>363.82259809116505</c:v>
                </c:pt>
                <c:pt idx="85">
                  <c:v>372.87461427751396</c:v>
                </c:pt>
                <c:pt idx="86">
                  <c:v>381.92184132571924</c:v>
                </c:pt>
                <c:pt idx="87">
                  <c:v>390.96440874320393</c:v>
                </c:pt>
                <c:pt idx="88">
                  <c:v>316.23957957327008</c:v>
                </c:pt>
                <c:pt idx="89">
                  <c:v>324.36731982730089</c:v>
                </c:pt>
                <c:pt idx="90">
                  <c:v>332.49055967837018</c:v>
                </c:pt>
                <c:pt idx="91">
                  <c:v>340.60942467657702</c:v>
                </c:pt>
                <c:pt idx="92">
                  <c:v>348.72403389340735</c:v>
                </c:pt>
                <c:pt idx="93">
                  <c:v>356.8345004023297</c:v>
                </c:pt>
                <c:pt idx="94">
                  <c:v>364.97803760821688</c:v>
                </c:pt>
                <c:pt idx="95">
                  <c:v>373.11760631918406</c:v>
                </c:pt>
                <c:pt idx="96">
                  <c:v>381.25330537802529</c:v>
                </c:pt>
                <c:pt idx="97">
                  <c:v>389.38522906199631</c:v>
                </c:pt>
                <c:pt idx="98">
                  <c:v>397.51346738672737</c:v>
                </c:pt>
                <c:pt idx="99">
                  <c:v>405.63810638397126</c:v>
                </c:pt>
                <c:pt idx="100">
                  <c:v>212.76508133047199</c:v>
                </c:pt>
                <c:pt idx="101">
                  <c:v>218.67199561794735</c:v>
                </c:pt>
                <c:pt idx="102">
                  <c:v>224.57524361030281</c:v>
                </c:pt>
                <c:pt idx="103">
                  <c:v>230.47493544221061</c:v>
                </c:pt>
                <c:pt idx="104">
                  <c:v>236.37117514013221</c:v>
                </c:pt>
                <c:pt idx="105">
                  <c:v>241.87202761852049</c:v>
                </c:pt>
                <c:pt idx="106">
                  <c:v>247.37003385573931</c:v>
                </c:pt>
                <c:pt idx="107">
                  <c:v>252.86526614443781</c:v>
                </c:pt>
                <c:pt idx="108">
                  <c:v>258.35779337351011</c:v>
                </c:pt>
                <c:pt idx="109">
                  <c:v>263.84768125895852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351952"/>
        <c:axId val="-1456353584"/>
      </c:scatterChart>
      <c:valAx>
        <c:axId val="-1456351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53584"/>
        <c:crosses val="autoZero"/>
        <c:crossBetween val="midCat"/>
      </c:valAx>
      <c:valAx>
        <c:axId val="-145635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51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341616"/>
        <c:axId val="-1456347600"/>
      </c:scatterChart>
      <c:valAx>
        <c:axId val="-1456341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47600"/>
        <c:crosses val="autoZero"/>
        <c:crossBetween val="midCat"/>
      </c:valAx>
      <c:valAx>
        <c:axId val="-145634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41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214.89088132275273</c:v>
                </c:pt>
                <c:pt idx="27">
                  <c:v>234.22884381043545</c:v>
                </c:pt>
                <c:pt idx="28">
                  <c:v>253.53037234547597</c:v>
                </c:pt>
                <c:pt idx="29">
                  <c:v>272.79863050588665</c:v>
                </c:pt>
                <c:pt idx="30">
                  <c:v>292.03629830469703</c:v>
                </c:pt>
                <c:pt idx="31">
                  <c:v>311.24567377041308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339.83247904717899</c:v>
                </c:pt>
                <c:pt idx="39">
                  <c:v>358.3852296198047</c:v>
                </c:pt>
                <c:pt idx="40">
                  <c:v>376.91697003992073</c:v>
                </c:pt>
                <c:pt idx="41">
                  <c:v>395.42887822879334</c:v>
                </c:pt>
                <c:pt idx="42">
                  <c:v>413.92201285798473</c:v>
                </c:pt>
                <c:pt idx="43">
                  <c:v>432.39733032018029</c:v>
                </c:pt>
                <c:pt idx="44">
                  <c:v>450.85569864825879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349232"/>
        <c:axId val="-1456351408"/>
      </c:scatterChart>
      <c:valAx>
        <c:axId val="-1456349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51408"/>
        <c:crosses val="autoZero"/>
        <c:crossBetween val="midCat"/>
      </c:valAx>
      <c:valAx>
        <c:axId val="-145635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49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2.9620026788976301</c:v>
                </c:pt>
                <c:pt idx="2">
                  <c:v>3.6175098803284391</c:v>
                </c:pt>
                <c:pt idx="3">
                  <c:v>4.4186314454759623</c:v>
                </c:pt>
                <c:pt idx="4">
                  <c:v>5.3978287101665492</c:v>
                </c:pt>
                <c:pt idx="5">
                  <c:v>6.5948234102560903</c:v>
                </c:pt>
                <c:pt idx="6">
                  <c:v>8.0582265330304406</c:v>
                </c:pt>
                <c:pt idx="7">
                  <c:v>9.847533626551515</c:v>
                </c:pt>
                <c:pt idx="8">
                  <c:v>12.035569225080392</c:v>
                </c:pt>
                <c:pt idx="9">
                  <c:v>14.711481736853962</c:v>
                </c:pt>
                <c:pt idx="10">
                  <c:v>17.984413062832726</c:v>
                </c:pt>
                <c:pt idx="11">
                  <c:v>21.987995332765678</c:v>
                </c:pt>
                <c:pt idx="12">
                  <c:v>26.885861637800076</c:v>
                </c:pt>
                <c:pt idx="13">
                  <c:v>32.878399955020733</c:v>
                </c:pt>
                <c:pt idx="14">
                  <c:v>40.211031376345858</c:v>
                </c:pt>
                <c:pt idx="15">
                  <c:v>49.184357454314494</c:v>
                </c:pt>
                <c:pt idx="16">
                  <c:v>58.718854475687237</c:v>
                </c:pt>
                <c:pt idx="17">
                  <c:v>68.212852792069654</c:v>
                </c:pt>
                <c:pt idx="18">
                  <c:v>77.672805478494112</c:v>
                </c:pt>
                <c:pt idx="19">
                  <c:v>87.103455627199097</c:v>
                </c:pt>
                <c:pt idx="20">
                  <c:v>96.50843047567578</c:v>
                </c:pt>
                <c:pt idx="21">
                  <c:v>83.873146453077638</c:v>
                </c:pt>
                <c:pt idx="22">
                  <c:v>94.092290977081163</c:v>
                </c:pt>
                <c:pt idx="23">
                  <c:v>104.28373422341643</c:v>
                </c:pt>
                <c:pt idx="24">
                  <c:v>114.45056981624451</c:v>
                </c:pt>
                <c:pt idx="25">
                  <c:v>124.5952952084466</c:v>
                </c:pt>
                <c:pt idx="26">
                  <c:v>135.2523227638853</c:v>
                </c:pt>
                <c:pt idx="27">
                  <c:v>145.8891268499311</c:v>
                </c:pt>
                <c:pt idx="28">
                  <c:v>156.50739143470912</c:v>
                </c:pt>
                <c:pt idx="29">
                  <c:v>167.1085529281807</c:v>
                </c:pt>
                <c:pt idx="30">
                  <c:v>177.6938503237302</c:v>
                </c:pt>
                <c:pt idx="31">
                  <c:v>151.20048166263604</c:v>
                </c:pt>
                <c:pt idx="32">
                  <c:v>161.81002849455973</c:v>
                </c:pt>
                <c:pt idx="33">
                  <c:v>172.40311381841866</c:v>
                </c:pt>
                <c:pt idx="34">
                  <c:v>182.98089262147982</c:v>
                </c:pt>
                <c:pt idx="35">
                  <c:v>193.54437527040807</c:v>
                </c:pt>
                <c:pt idx="36">
                  <c:v>203.56725462336883</c:v>
                </c:pt>
                <c:pt idx="37">
                  <c:v>213.57871664581683</c:v>
                </c:pt>
                <c:pt idx="38">
                  <c:v>223.57937244826439</c:v>
                </c:pt>
                <c:pt idx="39">
                  <c:v>233.5697739499831</c:v>
                </c:pt>
                <c:pt idx="40">
                  <c:v>243.55042195408137</c:v>
                </c:pt>
                <c:pt idx="41">
                  <c:v>209.62814717632156</c:v>
                </c:pt>
                <c:pt idx="42">
                  <c:v>219.1066940859038</c:v>
                </c:pt>
                <c:pt idx="43">
                  <c:v>228.57582257279702</c:v>
                </c:pt>
                <c:pt idx="44">
                  <c:v>238.03597818890856</c:v>
                </c:pt>
                <c:pt idx="45">
                  <c:v>247.48756814320438</c:v>
                </c:pt>
                <c:pt idx="46">
                  <c:v>256.93096597176776</c:v>
                </c:pt>
                <c:pt idx="47">
                  <c:v>266.36651548463811</c:v>
                </c:pt>
                <c:pt idx="48">
                  <c:v>275.79453412361988</c:v>
                </c:pt>
                <c:pt idx="49">
                  <c:v>285.21531583652137</c:v>
                </c:pt>
                <c:pt idx="50">
                  <c:v>294.62913355147089</c:v>
                </c:pt>
                <c:pt idx="51">
                  <c:v>256.14432047394888</c:v>
                </c:pt>
                <c:pt idx="52">
                  <c:v>264.79445514427846</c:v>
                </c:pt>
                <c:pt idx="53">
                  <c:v>273.43821903105123</c:v>
                </c:pt>
                <c:pt idx="54">
                  <c:v>282.07584211332158</c:v>
                </c:pt>
                <c:pt idx="55">
                  <c:v>290.70753912232271</c:v>
                </c:pt>
                <c:pt idx="56">
                  <c:v>299.07220016759283</c:v>
                </c:pt>
                <c:pt idx="57">
                  <c:v>307.43164978258176</c:v>
                </c:pt>
                <c:pt idx="58">
                  <c:v>315.78604978151731</c:v>
                </c:pt>
                <c:pt idx="59">
                  <c:v>324.13555271053281</c:v>
                </c:pt>
                <c:pt idx="60">
                  <c:v>332.48030260881734</c:v>
                </c:pt>
                <c:pt idx="61">
                  <c:v>293.58348965406168</c:v>
                </c:pt>
                <c:pt idx="62">
                  <c:v>301.68508019664785</c:v>
                </c:pt>
                <c:pt idx="63">
                  <c:v>309.78182841816863</c:v>
                </c:pt>
                <c:pt idx="64">
                  <c:v>317.87387884766332</c:v>
                </c:pt>
                <c:pt idx="65">
                  <c:v>325.96136804849976</c:v>
                </c:pt>
                <c:pt idx="66">
                  <c:v>333.52306901364278</c:v>
                </c:pt>
                <c:pt idx="67">
                  <c:v>341.08099188151004</c:v>
                </c:pt>
                <c:pt idx="68">
                  <c:v>348.63523225300651</c:v>
                </c:pt>
                <c:pt idx="69">
                  <c:v>356.18588124438639</c:v>
                </c:pt>
                <c:pt idx="70">
                  <c:v>363.73302579033697</c:v>
                </c:pt>
                <c:pt idx="71">
                  <c:v>324.13555271053309</c:v>
                </c:pt>
                <c:pt idx="72">
                  <c:v>331.43746407545251</c:v>
                </c:pt>
                <c:pt idx="73">
                  <c:v>338.73582807336555</c:v>
                </c:pt>
                <c:pt idx="74">
                  <c:v>346.0307319885394</c:v>
                </c:pt>
                <c:pt idx="75">
                  <c:v>353.32225912134953</c:v>
                </c:pt>
                <c:pt idx="76">
                  <c:v>360.35025103245766</c:v>
                </c:pt>
                <c:pt idx="77">
                  <c:v>367.37524535104626</c:v>
                </c:pt>
                <c:pt idx="78">
                  <c:v>374.39730753366734</c:v>
                </c:pt>
                <c:pt idx="79">
                  <c:v>381.41650037906203</c:v>
                </c:pt>
                <c:pt idx="80">
                  <c:v>388.4328841840877</c:v>
                </c:pt>
                <c:pt idx="81">
                  <c:v>350.718524849787</c:v>
                </c:pt>
                <c:pt idx="82">
                  <c:v>357.22707313668053</c:v>
                </c:pt>
                <c:pt idx="83">
                  <c:v>363.73302579033697</c:v>
                </c:pt>
                <c:pt idx="84">
                  <c:v>370.23643583282046</c:v>
                </c:pt>
                <c:pt idx="85">
                  <c:v>376.73735426970956</c:v>
                </c:pt>
                <c:pt idx="86">
                  <c:v>383.23583020103388</c:v>
                </c:pt>
                <c:pt idx="87">
                  <c:v>389.73191092428829</c:v>
                </c:pt>
                <c:pt idx="88">
                  <c:v>396.22564203021756</c:v>
                </c:pt>
                <c:pt idx="89">
                  <c:v>402.71706749198864</c:v>
                </c:pt>
                <c:pt idx="90">
                  <c:v>409.20622974831167</c:v>
                </c:pt>
                <c:pt idx="91">
                  <c:v>372.31699843147612</c:v>
                </c:pt>
                <c:pt idx="92">
                  <c:v>378.29720943764664</c:v>
                </c:pt>
                <c:pt idx="93">
                  <c:v>384.27536287018273</c:v>
                </c:pt>
                <c:pt idx="94">
                  <c:v>390.25149528606488</c:v>
                </c:pt>
                <c:pt idx="95">
                  <c:v>396.22564203021761</c:v>
                </c:pt>
                <c:pt idx="96">
                  <c:v>402.19783729377281</c:v>
                </c:pt>
                <c:pt idx="97">
                  <c:v>408.16811416868967</c:v>
                </c:pt>
                <c:pt idx="98">
                  <c:v>414.13650469901057</c:v>
                </c:pt>
                <c:pt idx="99">
                  <c:v>420.10303992900572</c:v>
                </c:pt>
                <c:pt idx="100">
                  <c:v>426.06774994843914</c:v>
                </c:pt>
                <c:pt idx="101">
                  <c:v>391.16073180592321</c:v>
                </c:pt>
                <c:pt idx="102">
                  <c:v>396.48534302968648</c:v>
                </c:pt>
                <c:pt idx="103">
                  <c:v>401.80840512729782</c:v>
                </c:pt>
                <c:pt idx="104">
                  <c:v>407.12994153760968</c:v>
                </c:pt>
                <c:pt idx="105">
                  <c:v>412.44997503614496</c:v>
                </c:pt>
                <c:pt idx="106">
                  <c:v>417.76852776237507</c:v>
                </c:pt>
                <c:pt idx="107">
                  <c:v>423.08562124553572</c:v>
                </c:pt>
                <c:pt idx="108">
                  <c:v>428.40127642907754</c:v>
                </c:pt>
                <c:pt idx="109">
                  <c:v>433.71551369383707</c:v>
                </c:pt>
                <c:pt idx="110">
                  <c:v>439.02835288001444</c:v>
                </c:pt>
                <c:pt idx="111">
                  <c:v>405.18321350307696</c:v>
                </c:pt>
                <c:pt idx="112">
                  <c:v>410.24428844188589</c:v>
                </c:pt>
                <c:pt idx="113">
                  <c:v>415.30401531716234</c:v>
                </c:pt>
                <c:pt idx="114">
                  <c:v>420.36241288638047</c:v>
                </c:pt>
                <c:pt idx="115">
                  <c:v>425.41949941830882</c:v>
                </c:pt>
                <c:pt idx="116">
                  <c:v>430.47529271153195</c:v>
                </c:pt>
                <c:pt idx="117">
                  <c:v>435.5298101120556</c:v>
                </c:pt>
                <c:pt idx="118">
                  <c:v>440.58306853005132</c:v>
                </c:pt>
                <c:pt idx="119">
                  <c:v>445.63508445579265</c:v>
                </c:pt>
                <c:pt idx="120">
                  <c:v>450.68587397483105</c:v>
                </c:pt>
                <c:pt idx="121">
                  <c:v>6.7737255858274096E-12</c:v>
                </c:pt>
                <c:pt idx="122">
                  <c:v>6.7737255858274096E-12</c:v>
                </c:pt>
                <c:pt idx="123">
                  <c:v>6.7737255858274096E-12</c:v>
                </c:pt>
                <c:pt idx="124">
                  <c:v>6.7737255858274096E-12</c:v>
                </c:pt>
                <c:pt idx="125">
                  <c:v>6.7737255858274096E-12</c:v>
                </c:pt>
                <c:pt idx="126">
                  <c:v>6.7737255858274096E-12</c:v>
                </c:pt>
                <c:pt idx="127">
                  <c:v>6.7737255858274096E-12</c:v>
                </c:pt>
                <c:pt idx="128">
                  <c:v>6.7737255858274096E-12</c:v>
                </c:pt>
                <c:pt idx="129">
                  <c:v>6.7737255858274096E-12</c:v>
                </c:pt>
                <c:pt idx="130">
                  <c:v>6.7737255858274096E-12</c:v>
                </c:pt>
                <c:pt idx="131">
                  <c:v>6.7737255858274096E-12</c:v>
                </c:pt>
                <c:pt idx="132">
                  <c:v>6.7737255858274096E-12</c:v>
                </c:pt>
                <c:pt idx="133">
                  <c:v>6.7737255858274096E-12</c:v>
                </c:pt>
                <c:pt idx="134">
                  <c:v>6.7737255858274096E-12</c:v>
                </c:pt>
                <c:pt idx="135">
                  <c:v>6.7737255858274096E-12</c:v>
                </c:pt>
                <c:pt idx="136">
                  <c:v>6.7737255858274096E-12</c:v>
                </c:pt>
                <c:pt idx="137">
                  <c:v>6.7737255858274096E-12</c:v>
                </c:pt>
                <c:pt idx="138">
                  <c:v>6.7737255858274096E-12</c:v>
                </c:pt>
                <c:pt idx="139">
                  <c:v>6.7737255858274096E-12</c:v>
                </c:pt>
                <c:pt idx="140">
                  <c:v>6.7737255858274096E-12</c:v>
                </c:pt>
                <c:pt idx="141">
                  <c:v>6.7737255858274096E-12</c:v>
                </c:pt>
                <c:pt idx="142">
                  <c:v>6.7737255858274096E-12</c:v>
                </c:pt>
                <c:pt idx="143">
                  <c:v>6.7737255858274096E-12</c:v>
                </c:pt>
                <c:pt idx="144">
                  <c:v>6.7737255858274096E-12</c:v>
                </c:pt>
                <c:pt idx="145">
                  <c:v>6.7737255858274096E-12</c:v>
                </c:pt>
                <c:pt idx="146">
                  <c:v>6.7737255858274096E-12</c:v>
                </c:pt>
                <c:pt idx="147">
                  <c:v>6.7737255858274096E-12</c:v>
                </c:pt>
                <c:pt idx="148">
                  <c:v>6.7737255858274096E-12</c:v>
                </c:pt>
                <c:pt idx="149">
                  <c:v>6.7737255858274096E-12</c:v>
                </c:pt>
                <c:pt idx="150">
                  <c:v>6.7737255858274096E-12</c:v>
                </c:pt>
                <c:pt idx="151">
                  <c:v>6.7737255858274096E-12</c:v>
                </c:pt>
                <c:pt idx="152">
                  <c:v>6.7737255858274096E-12</c:v>
                </c:pt>
                <c:pt idx="153">
                  <c:v>6.7737255858274096E-12</c:v>
                </c:pt>
                <c:pt idx="154">
                  <c:v>6.7737255858274096E-12</c:v>
                </c:pt>
                <c:pt idx="155">
                  <c:v>6.7737255858274096E-12</c:v>
                </c:pt>
                <c:pt idx="156">
                  <c:v>6.7737255858274096E-12</c:v>
                </c:pt>
                <c:pt idx="157">
                  <c:v>6.7737255858274096E-12</c:v>
                </c:pt>
                <c:pt idx="158">
                  <c:v>6.7737255858274096E-12</c:v>
                </c:pt>
                <c:pt idx="159">
                  <c:v>6.7737255858274096E-12</c:v>
                </c:pt>
                <c:pt idx="160">
                  <c:v>6.7737255858274096E-12</c:v>
                </c:pt>
                <c:pt idx="161">
                  <c:v>6.7737255858274096E-12</c:v>
                </c:pt>
                <c:pt idx="162">
                  <c:v>6.7737255858274096E-12</c:v>
                </c:pt>
                <c:pt idx="163">
                  <c:v>6.7737255858274096E-12</c:v>
                </c:pt>
                <c:pt idx="164">
                  <c:v>6.7737255858274096E-12</c:v>
                </c:pt>
                <c:pt idx="165">
                  <c:v>6.7737255858274096E-12</c:v>
                </c:pt>
                <c:pt idx="166">
                  <c:v>6.7737255858274096E-12</c:v>
                </c:pt>
                <c:pt idx="167">
                  <c:v>6.7737255858274096E-12</c:v>
                </c:pt>
                <c:pt idx="168">
                  <c:v>6.7737255858274096E-12</c:v>
                </c:pt>
                <c:pt idx="169">
                  <c:v>6.7737255858274096E-12</c:v>
                </c:pt>
                <c:pt idx="170">
                  <c:v>6.7737255858274096E-12</c:v>
                </c:pt>
                <c:pt idx="171">
                  <c:v>6.7737255858274096E-12</c:v>
                </c:pt>
                <c:pt idx="172">
                  <c:v>6.7737255858274096E-12</c:v>
                </c:pt>
                <c:pt idx="173">
                  <c:v>6.7737255858274096E-12</c:v>
                </c:pt>
                <c:pt idx="174">
                  <c:v>6.7737255858274096E-12</c:v>
                </c:pt>
                <c:pt idx="175">
                  <c:v>6.7737255858274096E-12</c:v>
                </c:pt>
                <c:pt idx="176">
                  <c:v>6.7737255858274096E-12</c:v>
                </c:pt>
                <c:pt idx="177">
                  <c:v>6.7737255858274096E-12</c:v>
                </c:pt>
                <c:pt idx="178">
                  <c:v>6.7737255858274096E-12</c:v>
                </c:pt>
                <c:pt idx="179">
                  <c:v>6.7737255858274096E-12</c:v>
                </c:pt>
                <c:pt idx="180">
                  <c:v>6.7737255858274096E-12</c:v>
                </c:pt>
                <c:pt idx="181">
                  <c:v>6.7737255858274096E-12</c:v>
                </c:pt>
                <c:pt idx="182">
                  <c:v>6.7737255858274096E-12</c:v>
                </c:pt>
                <c:pt idx="183">
                  <c:v>6.7737255858274096E-12</c:v>
                </c:pt>
                <c:pt idx="184">
                  <c:v>6.7737255858274096E-12</c:v>
                </c:pt>
                <c:pt idx="185">
                  <c:v>6.7737255858274096E-12</c:v>
                </c:pt>
                <c:pt idx="186">
                  <c:v>6.7737255858274096E-12</c:v>
                </c:pt>
                <c:pt idx="187">
                  <c:v>6.7737255858274096E-12</c:v>
                </c:pt>
                <c:pt idx="188">
                  <c:v>6.7737255858274096E-12</c:v>
                </c:pt>
                <c:pt idx="189">
                  <c:v>6.7737255858274096E-12</c:v>
                </c:pt>
                <c:pt idx="190">
                  <c:v>6.7737255858274096E-12</c:v>
                </c:pt>
                <c:pt idx="191">
                  <c:v>6.7737255858274096E-12</c:v>
                </c:pt>
                <c:pt idx="192">
                  <c:v>6.7737255858274096E-12</c:v>
                </c:pt>
                <c:pt idx="193">
                  <c:v>6.7737255858274096E-12</c:v>
                </c:pt>
                <c:pt idx="194">
                  <c:v>6.7737255858274096E-12</c:v>
                </c:pt>
                <c:pt idx="195">
                  <c:v>6.7737255858274096E-12</c:v>
                </c:pt>
                <c:pt idx="196">
                  <c:v>6.7737255858274096E-12</c:v>
                </c:pt>
                <c:pt idx="197">
                  <c:v>6.7737255858274096E-12</c:v>
                </c:pt>
                <c:pt idx="198">
                  <c:v>6.7737255858274096E-12</c:v>
                </c:pt>
                <c:pt idx="199">
                  <c:v>6.7737255858274096E-12</c:v>
                </c:pt>
                <c:pt idx="200">
                  <c:v>6.7737255858274096E-12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340528"/>
        <c:axId val="-1456352496"/>
      </c:scatterChart>
      <c:valAx>
        <c:axId val="-145634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52496"/>
        <c:crosses val="autoZero"/>
        <c:crossBetween val="midCat"/>
      </c:valAx>
      <c:valAx>
        <c:axId val="-145635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4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350864"/>
        <c:axId val="-1456348688"/>
      </c:scatterChart>
      <c:valAx>
        <c:axId val="-14563508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48688"/>
        <c:crosses val="autoZero"/>
        <c:crossBetween val="midCat"/>
      </c:valAx>
      <c:valAx>
        <c:axId val="-145634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50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350320"/>
        <c:axId val="-1456345968"/>
      </c:scatterChart>
      <c:valAx>
        <c:axId val="-1456350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45968"/>
        <c:crosses val="autoZero"/>
        <c:crossBetween val="midCat"/>
      </c:valAx>
      <c:valAx>
        <c:axId val="-145634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5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343248"/>
        <c:axId val="-1456354672"/>
      </c:scatterChart>
      <c:valAx>
        <c:axId val="-1456343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54672"/>
        <c:crosses val="autoZero"/>
        <c:crossBetween val="midCat"/>
      </c:valAx>
      <c:valAx>
        <c:axId val="-145635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43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354128"/>
        <c:axId val="-1456339440"/>
      </c:scatterChart>
      <c:valAx>
        <c:axId val="-1456354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39440"/>
        <c:crosses val="autoZero"/>
        <c:crossBetween val="midCat"/>
      </c:valAx>
      <c:valAx>
        <c:axId val="-145633944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354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80" zoomScaleNormal="80" workbookViewId="0">
      <selection activeCell="F14" sqref="F1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4.8600000000000003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0.56999999999999995</v>
      </c>
      <c r="D9" s="36">
        <f t="shared" ref="D9:D18" si="0">C9*$C$5</f>
        <v>2.7702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0.33</v>
      </c>
      <c r="D10" s="36">
        <f t="shared" si="0"/>
        <v>1.6038000000000001</v>
      </c>
      <c r="E10" s="37">
        <v>109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0.06</v>
      </c>
      <c r="D11" s="36">
        <f t="shared" si="0"/>
        <v>0.29160000000000003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29</v>
      </c>
      <c r="C12" s="35">
        <v>0.02</v>
      </c>
      <c r="D12" s="36">
        <f t="shared" si="0"/>
        <v>9.7200000000000009E-2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6</v>
      </c>
      <c r="C13" s="35">
        <v>0.02</v>
      </c>
      <c r="D13" s="36">
        <f t="shared" si="0"/>
        <v>9.7200000000000009E-2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4.8600000000000003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70</v>
      </c>
      <c r="C37" s="63">
        <v>1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97</v>
      </c>
      <c r="C38" s="63"/>
      <c r="D38" s="63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137</v>
      </c>
      <c r="C39" s="63">
        <v>2</v>
      </c>
      <c r="D39" s="63"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137</v>
      </c>
      <c r="C40" s="63"/>
      <c r="D40" s="63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179</v>
      </c>
      <c r="C41" s="63">
        <v>3</v>
      </c>
      <c r="D41" s="6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178</v>
      </c>
      <c r="C42" s="63"/>
      <c r="D42" s="6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218</v>
      </c>
      <c r="C43" s="63">
        <v>4</v>
      </c>
      <c r="D43" s="6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214</v>
      </c>
      <c r="C44" s="63"/>
      <c r="D44" s="6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250</v>
      </c>
      <c r="C45" s="63">
        <v>5</v>
      </c>
      <c r="D45" s="6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242</v>
      </c>
      <c r="C46" s="63"/>
      <c r="D46" s="6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273</v>
      </c>
      <c r="C47" s="63">
        <v>6</v>
      </c>
      <c r="D47" s="6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290</v>
      </c>
      <c r="C48" s="63">
        <v>7</v>
      </c>
      <c r="D48" s="63">
        <v>42</v>
      </c>
      <c r="E48" s="54"/>
      <c r="F48" s="54"/>
      <c r="G48" s="54"/>
      <c r="H48" s="54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95</v>
      </c>
      <c r="B49" s="63">
        <v>300</v>
      </c>
      <c r="C49" s="63">
        <v>8</v>
      </c>
      <c r="D49" s="63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145</v>
      </c>
      <c r="B54" s="53">
        <v>295</v>
      </c>
      <c r="C54" s="53"/>
      <c r="D54" s="53"/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2.2000000000000002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30</v>
      </c>
      <c r="B62" s="63">
        <f>134.26/1.3</f>
        <v>103.27692307692307</v>
      </c>
      <c r="C62" s="63"/>
      <c r="D62" s="63"/>
      <c r="E62" s="54"/>
      <c r="F62" s="54"/>
      <c r="G62" s="54"/>
      <c r="H62" s="54"/>
      <c r="I62" s="56">
        <f>IFERROR(B62/A62,"")</f>
        <v>3.4425641025641025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35</v>
      </c>
      <c r="B63" s="63">
        <f>192.26/1.3</f>
        <v>147.89230769230767</v>
      </c>
      <c r="C63" s="63"/>
      <c r="D63" s="63"/>
      <c r="E63" s="54"/>
      <c r="F63" s="54"/>
      <c r="G63" s="54"/>
      <c r="H63" s="54"/>
      <c r="I63" s="52">
        <f>IF(A63&lt;&gt;0,(B63-(B62-D62))/(A63-A62),"")</f>
        <v>8.9230769230769198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f>257.14/1.3</f>
        <v>197.79999999999998</v>
      </c>
      <c r="C64" s="63"/>
      <c r="D64" s="63"/>
      <c r="E64" s="54"/>
      <c r="F64" s="54"/>
      <c r="G64" s="54"/>
      <c r="H64" s="54"/>
      <c r="I64" s="52">
        <f>IF(A64&lt;&gt;0,(B64-(B63-D63))/(A64-A63),"")</f>
        <v>9.981538461538463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45</v>
      </c>
      <c r="B65" s="63">
        <f>327.79/1.3</f>
        <v>252.14615384615385</v>
      </c>
      <c r="C65" s="63"/>
      <c r="D65" s="63"/>
      <c r="E65" s="54"/>
      <c r="F65" s="54"/>
      <c r="G65" s="54"/>
      <c r="H65" s="54"/>
      <c r="I65" s="52">
        <f>IF(A65&lt;&gt;0,(B65-(B64-D64))/(A65-A64),"")</f>
        <v>10.869230769230773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51</v>
      </c>
      <c r="B66" s="63">
        <f>418.39/1.3</f>
        <v>321.8384615384615</v>
      </c>
      <c r="C66" s="63">
        <v>1</v>
      </c>
      <c r="D66" s="63">
        <f>130.4/1.3</f>
        <v>100.30769230769231</v>
      </c>
      <c r="E66" s="54"/>
      <c r="F66" s="54"/>
      <c r="G66" s="54"/>
      <c r="H66" s="54"/>
      <c r="I66" s="52">
        <f t="shared" ref="I66:I81" si="2">IF(A66&lt;&gt;0,(B66-(B65-D65))/(A66-A65),"")</f>
        <v>11.615384615384608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57</v>
      </c>
      <c r="B67" s="63">
        <f>370.22/1.3</f>
        <v>284.78461538461539</v>
      </c>
      <c r="C67" s="63"/>
      <c r="D67" s="63"/>
      <c r="E67" s="54"/>
      <c r="F67" s="54"/>
      <c r="G67" s="54"/>
      <c r="H67" s="54"/>
      <c r="I67" s="52">
        <f t="shared" si="2"/>
        <v>10.542307692307702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63</v>
      </c>
      <c r="B68" s="63">
        <f>455.9/1.3</f>
        <v>350.69230769230768</v>
      </c>
      <c r="C68" s="63">
        <v>2</v>
      </c>
      <c r="D68" s="63">
        <f>140.51/1.3</f>
        <v>108.08461538461538</v>
      </c>
      <c r="E68" s="54"/>
      <c r="F68" s="54"/>
      <c r="G68" s="54"/>
      <c r="H68" s="54"/>
      <c r="I68" s="52">
        <f t="shared" si="2"/>
        <v>10.984615384615381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3">
        <v>69</v>
      </c>
      <c r="B69" s="63">
        <f>390.97/1.3</f>
        <v>300.74615384615385</v>
      </c>
      <c r="C69" s="63"/>
      <c r="D69" s="63"/>
      <c r="E69" s="54"/>
      <c r="F69" s="54"/>
      <c r="G69" s="54"/>
      <c r="H69" s="54"/>
      <c r="I69" s="52">
        <f t="shared" si="2"/>
        <v>9.6897435897435908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3">
        <v>75</v>
      </c>
      <c r="B70" s="63">
        <f>468.62/1.3</f>
        <v>360.47692307692307</v>
      </c>
      <c r="C70" s="63">
        <v>3</v>
      </c>
      <c r="D70" s="63">
        <f>110.97/1.3</f>
        <v>85.361538461538458</v>
      </c>
      <c r="E70" s="54"/>
      <c r="F70" s="54"/>
      <c r="G70" s="54"/>
      <c r="H70" s="54"/>
      <c r="I70" s="52">
        <f t="shared" si="2"/>
        <v>9.9551282051282044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3">
        <v>81</v>
      </c>
      <c r="B71" s="63">
        <f>427.32/1.3</f>
        <v>328.7076923076923</v>
      </c>
      <c r="C71" s="63"/>
      <c r="D71" s="63"/>
      <c r="E71" s="54"/>
      <c r="F71" s="54"/>
      <c r="G71" s="54"/>
      <c r="H71" s="54"/>
      <c r="I71" s="52">
        <f t="shared" si="2"/>
        <v>8.9320512820512761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3">
        <v>87</v>
      </c>
      <c r="B72" s="63">
        <f>498.08/1.3</f>
        <v>383.13846153846151</v>
      </c>
      <c r="C72" s="63">
        <v>4</v>
      </c>
      <c r="D72" s="63">
        <f>107.82/1.3</f>
        <v>82.938461538461524</v>
      </c>
      <c r="E72" s="54"/>
      <c r="F72" s="54"/>
      <c r="G72" s="54"/>
      <c r="H72" s="54"/>
      <c r="I72" s="52">
        <f t="shared" si="2"/>
        <v>9.0717948717948698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3">
        <v>93</v>
      </c>
      <c r="B73" s="63">
        <f>453.6/1.3</f>
        <v>348.92307692307691</v>
      </c>
      <c r="C73" s="63"/>
      <c r="D73" s="63"/>
      <c r="E73" s="54"/>
      <c r="F73" s="54"/>
      <c r="G73" s="54"/>
      <c r="H73" s="54"/>
      <c r="I73" s="52">
        <f t="shared" si="2"/>
        <v>8.1205128205128201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3">
        <v>99</v>
      </c>
      <c r="B74" s="63">
        <f>517.23/1.3</f>
        <v>397.8692307692308</v>
      </c>
      <c r="C74" s="63">
        <v>5</v>
      </c>
      <c r="D74" s="63">
        <f>257.82/1.3</f>
        <v>198.32307692307691</v>
      </c>
      <c r="E74" s="54"/>
      <c r="F74" s="54"/>
      <c r="G74" s="54"/>
      <c r="H74" s="54"/>
      <c r="I74" s="52">
        <f t="shared" si="2"/>
        <v>8.1576923076923151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3">
        <v>104</v>
      </c>
      <c r="B75" s="63">
        <f>297.43/1.3</f>
        <v>228.7923076923077</v>
      </c>
      <c r="C75" s="63"/>
      <c r="D75" s="63"/>
      <c r="E75" s="54"/>
      <c r="F75" s="54"/>
      <c r="G75" s="54"/>
      <c r="H75" s="54"/>
      <c r="I75" s="52">
        <f t="shared" si="2"/>
        <v>5.849230769230763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3">
        <v>109</v>
      </c>
      <c r="B76" s="53">
        <v>256.09230769230771</v>
      </c>
      <c r="C76" s="53">
        <v>6</v>
      </c>
      <c r="D76" s="53">
        <v>256.09230769230771</v>
      </c>
      <c r="E76" s="54"/>
      <c r="F76" s="54"/>
      <c r="G76" s="54"/>
      <c r="H76" s="54"/>
      <c r="I76" s="52">
        <f t="shared" si="2"/>
        <v>5.4600000000000026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42</v>
      </c>
      <c r="C88" s="63"/>
      <c r="D88" s="6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70</v>
      </c>
      <c r="C89" s="63">
        <v>1</v>
      </c>
      <c r="D89" s="63">
        <v>8</v>
      </c>
      <c r="E89" s="54"/>
      <c r="F89" s="54"/>
      <c r="G89" s="54"/>
      <c r="H89" s="54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97</v>
      </c>
      <c r="C90" s="63"/>
      <c r="D90" s="63"/>
      <c r="E90" s="54"/>
      <c r="F90" s="54"/>
      <c r="G90" s="54"/>
      <c r="H90" s="54"/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137</v>
      </c>
      <c r="C91" s="63">
        <v>2</v>
      </c>
      <c r="D91" s="63">
        <v>42</v>
      </c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137</v>
      </c>
      <c r="C92" s="63"/>
      <c r="D92" s="63"/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179</v>
      </c>
      <c r="C93" s="63">
        <v>3</v>
      </c>
      <c r="D93" s="63">
        <v>42</v>
      </c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178</v>
      </c>
      <c r="C94" s="63"/>
      <c r="D94" s="63"/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3">
        <v>55</v>
      </c>
      <c r="B95" s="63">
        <v>218</v>
      </c>
      <c r="C95" s="63">
        <v>4</v>
      </c>
      <c r="D95" s="63">
        <v>42</v>
      </c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3">
        <v>60</v>
      </c>
      <c r="B96" s="63">
        <v>214</v>
      </c>
      <c r="C96" s="63"/>
      <c r="D96" s="63"/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3">
        <v>65</v>
      </c>
      <c r="B97" s="63">
        <v>250</v>
      </c>
      <c r="C97" s="63">
        <v>5</v>
      </c>
      <c r="D97" s="63">
        <v>42</v>
      </c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3">
        <v>70</v>
      </c>
      <c r="B98" s="63">
        <v>242</v>
      </c>
      <c r="C98" s="63"/>
      <c r="D98" s="63"/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3">
        <v>75</v>
      </c>
      <c r="B99" s="63">
        <v>273</v>
      </c>
      <c r="C99" s="63">
        <v>6</v>
      </c>
      <c r="D99" s="63">
        <v>42</v>
      </c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3">
        <v>85</v>
      </c>
      <c r="B100" s="63">
        <v>290</v>
      </c>
      <c r="C100" s="63">
        <v>7</v>
      </c>
      <c r="D100" s="63">
        <v>42</v>
      </c>
      <c r="E100" s="54"/>
      <c r="F100" s="54"/>
      <c r="G100" s="54"/>
      <c r="H100" s="54"/>
      <c r="I100" s="56">
        <f t="shared" si="3"/>
        <v>5.9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3">
        <v>95</v>
      </c>
      <c r="B101" s="63">
        <v>300</v>
      </c>
      <c r="C101" s="63">
        <v>8</v>
      </c>
      <c r="D101" s="63">
        <v>42</v>
      </c>
      <c r="E101" s="54"/>
      <c r="F101" s="54"/>
      <c r="G101" s="54"/>
      <c r="H101" s="54"/>
      <c r="I101" s="56">
        <f t="shared" si="3"/>
        <v>5.2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3">
        <v>105</v>
      </c>
      <c r="B102" s="53">
        <v>305</v>
      </c>
      <c r="C102" s="53">
        <v>9</v>
      </c>
      <c r="D102" s="53">
        <v>41</v>
      </c>
      <c r="E102" s="54"/>
      <c r="F102" s="54"/>
      <c r="G102" s="54"/>
      <c r="H102" s="54"/>
      <c r="I102" s="56">
        <f t="shared" si="3"/>
        <v>4.7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3">
        <v>115</v>
      </c>
      <c r="B103" s="53">
        <v>304</v>
      </c>
      <c r="C103" s="53">
        <v>10</v>
      </c>
      <c r="D103" s="53">
        <v>37</v>
      </c>
      <c r="E103" s="54"/>
      <c r="F103" s="54"/>
      <c r="G103" s="54"/>
      <c r="H103" s="54"/>
      <c r="I103" s="56">
        <f t="shared" si="3"/>
        <v>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3">
        <v>125</v>
      </c>
      <c r="B104" s="53">
        <v>301</v>
      </c>
      <c r="C104" s="53">
        <v>11</v>
      </c>
      <c r="D104" s="53">
        <v>33</v>
      </c>
      <c r="E104" s="54"/>
      <c r="F104" s="54"/>
      <c r="G104" s="54"/>
      <c r="H104" s="54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3">
        <v>135</v>
      </c>
      <c r="B105" s="53">
        <v>298</v>
      </c>
      <c r="C105" s="53">
        <v>12</v>
      </c>
      <c r="D105" s="53">
        <v>29</v>
      </c>
      <c r="E105" s="54"/>
      <c r="F105" s="54"/>
      <c r="G105" s="54"/>
      <c r="H105" s="54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3">
        <v>145</v>
      </c>
      <c r="B106" s="53">
        <v>295</v>
      </c>
      <c r="C106" s="53"/>
      <c r="D106" s="53"/>
      <c r="E106" s="54"/>
      <c r="F106" s="54"/>
      <c r="G106" s="54"/>
      <c r="H106" s="54"/>
      <c r="I106" s="56">
        <f t="shared" si="3"/>
        <v>2.6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3">
        <v>150</v>
      </c>
      <c r="B107" s="53">
        <v>306</v>
      </c>
      <c r="C107" s="53">
        <v>13</v>
      </c>
      <c r="D107" s="53">
        <v>306</v>
      </c>
      <c r="E107" s="54"/>
      <c r="F107" s="54"/>
      <c r="G107" s="54"/>
      <c r="H107" s="54"/>
      <c r="I107" s="56">
        <f t="shared" si="3"/>
        <v>2.2000000000000002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Merisier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f>40</f>
        <v>40</v>
      </c>
      <c r="C114" s="53"/>
      <c r="D114" s="63"/>
      <c r="E114" s="54"/>
      <c r="F114" s="54"/>
      <c r="G114" s="54"/>
      <c r="H114" s="54"/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f>85+3</f>
        <v>88</v>
      </c>
      <c r="C115" s="53">
        <v>1</v>
      </c>
      <c r="D115" s="63">
        <f>25+3</f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f>113</f>
        <v>113</v>
      </c>
      <c r="C116" s="53"/>
      <c r="D116" s="63"/>
      <c r="E116" s="54"/>
      <c r="F116" s="54"/>
      <c r="G116" s="54"/>
      <c r="H116" s="54"/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31</v>
      </c>
      <c r="B117" s="63">
        <f>155+27</f>
        <v>182</v>
      </c>
      <c r="C117" s="53">
        <v>2</v>
      </c>
      <c r="D117" s="63">
        <f>36+27</f>
        <v>63</v>
      </c>
      <c r="E117" s="54"/>
      <c r="F117" s="54"/>
      <c r="G117" s="54"/>
      <c r="H117" s="5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37</v>
      </c>
      <c r="B118" s="63">
        <f>188</f>
        <v>188</v>
      </c>
      <c r="C118" s="53"/>
      <c r="D118" s="63"/>
      <c r="E118" s="54"/>
      <c r="F118" s="54"/>
      <c r="G118" s="54"/>
      <c r="H118" s="54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44</v>
      </c>
      <c r="B119" s="63">
        <f>230+36</f>
        <v>266</v>
      </c>
      <c r="C119" s="53">
        <v>3</v>
      </c>
      <c r="D119" s="63">
        <f>43+36</f>
        <v>79</v>
      </c>
      <c r="E119" s="54"/>
      <c r="F119" s="54"/>
      <c r="G119" s="54"/>
      <c r="H119" s="54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52</v>
      </c>
      <c r="B120" s="63">
        <f>270</f>
        <v>270</v>
      </c>
      <c r="C120" s="63">
        <v>4</v>
      </c>
      <c r="D120" s="63">
        <f>48</f>
        <v>48</v>
      </c>
      <c r="E120" s="93"/>
      <c r="F120" s="93"/>
      <c r="G120" s="93"/>
      <c r="H120" s="93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f>297</f>
        <v>297</v>
      </c>
      <c r="C121" s="53">
        <v>5</v>
      </c>
      <c r="D121" s="63">
        <f>47</f>
        <v>47</v>
      </c>
      <c r="E121" s="93"/>
      <c r="F121" s="93"/>
      <c r="G121" s="93"/>
      <c r="H121" s="93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69</v>
      </c>
      <c r="B122" s="63">
        <f>328</f>
        <v>328</v>
      </c>
      <c r="C122" s="53">
        <v>6</v>
      </c>
      <c r="D122" s="63">
        <f>328</f>
        <v>328</v>
      </c>
      <c r="E122" s="93"/>
      <c r="F122" s="93"/>
      <c r="G122" s="93"/>
      <c r="H122" s="93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Charme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f>35/1.56</f>
        <v>22.435897435897434</v>
      </c>
      <c r="C140" s="53"/>
      <c r="D140" s="63"/>
      <c r="E140" s="54"/>
      <c r="F140" s="54"/>
      <c r="G140" s="54"/>
      <c r="H140" s="54"/>
      <c r="I140" s="60">
        <f>IFERROR(B140/A140,"")</f>
        <v>1.4957264957264955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(63+7)/1.56</f>
        <v>44.871794871794869</v>
      </c>
      <c r="C141" s="53">
        <v>1</v>
      </c>
      <c r="D141" s="63">
        <f>(7+10)/1.56</f>
        <v>10.897435897435898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4.4871794871794872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91/1.56</f>
        <v>58.333333333333329</v>
      </c>
      <c r="C142" s="53"/>
      <c r="D142" s="63"/>
      <c r="E142" s="54"/>
      <c r="F142" s="54"/>
      <c r="G142" s="54"/>
      <c r="H142" s="54"/>
      <c r="I142" s="60">
        <f t="shared" si="5"/>
        <v>4.8717948717948714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(118+13)/1.56</f>
        <v>83.974358974358978</v>
      </c>
      <c r="C143" s="53">
        <v>2</v>
      </c>
      <c r="D143" s="63">
        <f>(15+13)/1.56</f>
        <v>17.948717948717949</v>
      </c>
      <c r="E143" s="54"/>
      <c r="F143" s="54"/>
      <c r="G143" s="54"/>
      <c r="H143" s="54">
        <v>1</v>
      </c>
      <c r="I143" s="60">
        <f t="shared" si="5"/>
        <v>5.1282051282051295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f>143/1.56</f>
        <v>91.666666666666657</v>
      </c>
      <c r="C144" s="53"/>
      <c r="D144" s="63"/>
      <c r="E144" s="54"/>
      <c r="F144" s="54"/>
      <c r="G144" s="54"/>
      <c r="H144" s="54"/>
      <c r="I144" s="60">
        <f t="shared" si="5"/>
        <v>5.1282051282051269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(165+16)/1.56</f>
        <v>116.02564102564102</v>
      </c>
      <c r="C145" s="53">
        <v>3</v>
      </c>
      <c r="D145" s="63">
        <f>(16+17)/1.56</f>
        <v>21.153846153846153</v>
      </c>
      <c r="E145" s="54"/>
      <c r="F145" s="54"/>
      <c r="G145" s="54"/>
      <c r="H145" s="54"/>
      <c r="I145" s="60">
        <f t="shared" si="5"/>
        <v>4.8717948717948731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f>184/1.56</f>
        <v>117.94871794871794</v>
      </c>
      <c r="C146" s="53"/>
      <c r="D146" s="63"/>
      <c r="E146" s="54"/>
      <c r="F146" s="54"/>
      <c r="G146" s="54"/>
      <c r="H146" s="54"/>
      <c r="I146" s="60">
        <f t="shared" si="5"/>
        <v>4.6153846153846159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f>(202+18)/1.56</f>
        <v>141.02564102564102</v>
      </c>
      <c r="C147" s="53">
        <v>4</v>
      </c>
      <c r="D147" s="63">
        <f>(18+18)/1.56</f>
        <v>23.076923076923077</v>
      </c>
      <c r="E147" s="54"/>
      <c r="F147" s="54"/>
      <c r="G147" s="54"/>
      <c r="H147" s="54"/>
      <c r="I147" s="60">
        <f>IF(A147&lt;&gt;0,(B147-(B146-D146))/(A147-A146),"")</f>
        <v>4.6153846153846159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f>217/1.56</f>
        <v>139.10256410256409</v>
      </c>
      <c r="C148" s="53"/>
      <c r="D148" s="63"/>
      <c r="E148" s="54"/>
      <c r="F148" s="54"/>
      <c r="G148" s="54"/>
      <c r="H148" s="54"/>
      <c r="I148" s="60">
        <f t="shared" si="5"/>
        <v>4.2307692307692291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f>(231+18)/1.56</f>
        <v>159.61538461538461</v>
      </c>
      <c r="C149" s="53">
        <v>5</v>
      </c>
      <c r="D149" s="63">
        <f>(18+18)/1.56</f>
        <v>23.076923076923077</v>
      </c>
      <c r="E149" s="54"/>
      <c r="F149" s="54"/>
      <c r="G149" s="54"/>
      <c r="H149" s="54"/>
      <c r="I149" s="60">
        <f t="shared" si="5"/>
        <v>4.1025641025641049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f>244/1.56</f>
        <v>156.41025641025641</v>
      </c>
      <c r="C150" s="53"/>
      <c r="D150" s="63"/>
      <c r="E150" s="54"/>
      <c r="F150" s="54"/>
      <c r="G150" s="54"/>
      <c r="H150" s="54"/>
      <c r="I150" s="60">
        <f t="shared" si="5"/>
        <v>3.9743589743589722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63">
        <f>(255+18)/1.56</f>
        <v>175</v>
      </c>
      <c r="C151" s="53">
        <v>6</v>
      </c>
      <c r="D151" s="63">
        <f>(18+18)/1.56</f>
        <v>23.076923076923077</v>
      </c>
      <c r="E151" s="54"/>
      <c r="F151" s="54"/>
      <c r="G151" s="54"/>
      <c r="H151" s="54"/>
      <c r="I151" s="60">
        <f t="shared" si="5"/>
        <v>3.7179487179487181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63">
        <f>265/1.56</f>
        <v>169.87179487179486</v>
      </c>
      <c r="C152" s="53"/>
      <c r="D152" s="63"/>
      <c r="E152" s="57"/>
      <c r="F152" s="57"/>
      <c r="G152" s="57"/>
      <c r="H152" s="57"/>
      <c r="I152" s="60">
        <f t="shared" si="5"/>
        <v>3.5897435897435854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63">
        <f>(275+17)/1.56</f>
        <v>187.17948717948718</v>
      </c>
      <c r="C153" s="53">
        <v>7</v>
      </c>
      <c r="D153" s="63">
        <f>(17+17)/1.56</f>
        <v>21.794871794871796</v>
      </c>
      <c r="E153" s="57"/>
      <c r="F153" s="57"/>
      <c r="G153" s="57"/>
      <c r="H153" s="57"/>
      <c r="I153" s="60">
        <f t="shared" si="5"/>
        <v>3.4615384615384643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85</v>
      </c>
      <c r="B154" s="59">
        <f>283/1.56</f>
        <v>181.41025641025641</v>
      </c>
      <c r="C154" s="53"/>
      <c r="D154" s="53"/>
      <c r="E154" s="57"/>
      <c r="F154" s="57"/>
      <c r="G154" s="57"/>
      <c r="H154" s="57"/>
      <c r="I154" s="60">
        <f t="shared" si="5"/>
        <v>3.2051282051282044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90</v>
      </c>
      <c r="B155" s="59">
        <f>(291+17)/1.56</f>
        <v>197.43589743589743</v>
      </c>
      <c r="C155" s="53">
        <v>8</v>
      </c>
      <c r="D155" s="53">
        <f>(17+16)/1.56</f>
        <v>21.153846153846153</v>
      </c>
      <c r="E155" s="57"/>
      <c r="F155" s="57"/>
      <c r="G155" s="57"/>
      <c r="H155" s="57"/>
      <c r="I155" s="60">
        <f t="shared" si="5"/>
        <v>3.2051282051282044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95</v>
      </c>
      <c r="B156" s="59">
        <f>298/1.56</f>
        <v>191.02564102564102</v>
      </c>
      <c r="C156" s="53"/>
      <c r="D156" s="53"/>
      <c r="E156" s="57"/>
      <c r="F156" s="57"/>
      <c r="G156" s="57"/>
      <c r="H156" s="57"/>
      <c r="I156" s="60">
        <f t="shared" si="5"/>
        <v>2.9487179487179502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100</v>
      </c>
      <c r="B157" s="59">
        <f>(305+16)/1.56</f>
        <v>205.76923076923077</v>
      </c>
      <c r="C157" s="53">
        <v>9</v>
      </c>
      <c r="D157" s="53">
        <f>(16+15)/1.56</f>
        <v>19.871794871794872</v>
      </c>
      <c r="E157" s="57"/>
      <c r="F157" s="57"/>
      <c r="G157" s="57"/>
      <c r="H157" s="57"/>
      <c r="I157" s="60">
        <f t="shared" si="5"/>
        <v>2.9487179487179502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110</v>
      </c>
      <c r="B158" s="59">
        <f>(316+15)/1.56</f>
        <v>212.17948717948718</v>
      </c>
      <c r="C158" s="53">
        <v>10</v>
      </c>
      <c r="D158" s="53">
        <f>(15+15)/1.56</f>
        <v>19.23076923076923</v>
      </c>
      <c r="E158" s="57"/>
      <c r="F158" s="57"/>
      <c r="G158" s="57"/>
      <c r="H158" s="57"/>
      <c r="I158" s="60">
        <f t="shared" si="5"/>
        <v>2.6282051282051269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120</v>
      </c>
      <c r="B159" s="59">
        <f>(326+14)/1.56</f>
        <v>217.94871794871793</v>
      </c>
      <c r="C159" s="53">
        <v>11</v>
      </c>
      <c r="D159" s="61">
        <f>B159</f>
        <v>217.94871794871793</v>
      </c>
      <c r="E159" s="57"/>
      <c r="F159" s="57"/>
      <c r="G159" s="57"/>
      <c r="H159" s="57"/>
      <c r="I159" s="60">
        <f t="shared" si="5"/>
        <v>2.4999999999999973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6" sqref="C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pubescent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Merisier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Charme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477.00263959594946</v>
      </c>
      <c r="T3" s="62">
        <f>IF('Données projet'!E9&gt;30,$R$33-$H$33,LOOKUP('Données projet'!$E$9,$A$3:$A$203,R3:R203)-LOOKUP('Données projet'!$E$9,$A$3:$A$203,$H$3:$H$203))</f>
        <v>254.25036207346591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245.47494516762282</v>
      </c>
      <c r="AO3" s="62">
        <f>IF('Données projet'!E10&gt;30,$AM$33-$H$33,LOOKUP('Données projet'!$E$10,$A$3:$A$203,AM3:AM203)-LOOKUP('Données projet'!$E$10,$A$3:$A$203,$H$3:$H$203))</f>
        <v>145.54897745089966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430.21146937947236</v>
      </c>
      <c r="BJ3" s="62">
        <f>IF('Données projet'!E11&gt;30,$BH$33-$H$33,LOOKUP('Données projet'!$E$11,$A$3:$A$203,BH3:BH203)-LOOKUP('Données projet'!$E$11,$A$3:$A$203,$H$3:$H$203))</f>
        <v>231.36959598460686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299.07024205218266</v>
      </c>
      <c r="CE3" s="62">
        <f>IF('Données projet'!E12&gt;30,$CC$33-$H$33,LOOKUP('Données projet'!$E$12,$A$3:$A$203,CC3:CC203)-LOOKUP('Données projet'!$E$12,$A$3:$A$203,$H$3:$H$203))</f>
        <v>328.70296497136366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300.36889324671682</v>
      </c>
      <c r="CZ3" s="62">
        <f>IF('Données projet'!E13&gt;30,$CX$33-$H$33,LOOKUP('Données projet'!$E$13,$A$3:$A$203,CX3:CX203)-LOOKUP('Données projet'!$E$13,$A$3:$A$203,$H$3:$H$203))</f>
        <v>214.36051699039683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2">
        <f t="shared" si="0"/>
        <v>260.97628431819578</v>
      </c>
      <c r="S4" s="62">
        <f ca="1">AVERAGE(OFFSET($R$3,0,0,'Données projet'!$E$9+1,1))-AVERAGE(OFFSET($H$3,0,0,'Données projet'!$E$9+1,1))</f>
        <v>477.00263959594946</v>
      </c>
      <c r="T4" s="62">
        <f>$T$3</f>
        <v>254.25036207346591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3.4425641025641025</v>
      </c>
      <c r="AI4" s="14">
        <f>IF('Données projet'!$A$62&gt;35,AI3+AH4-AQ3,IF(A4&lt;'Données projet'!$A$62,$AF$205^A4,IF(A4='Données projet'!$A$62,'Données projet'!$B$62,AI3+AH4-AQ3)))</f>
        <v>1.1671681906248585</v>
      </c>
      <c r="AJ4" s="14">
        <f>AI4*VLOOKUP('Données projet'!$B$10,Paramètres!$A$1:$I$89,3,0)*VLOOKUP('Données projet'!$B$10,Paramètres!$A$1:$I$89,5,0)</f>
        <v>0.54623471321243378</v>
      </c>
      <c r="AK4" s="14">
        <f>EXP(-1.0587+0.8836*LN(AJ4)+0.284)</f>
        <v>0.27008496636632595</v>
      </c>
      <c r="AL4" s="22">
        <f t="shared" ref="AL4:AL67" si="4">(AJ4+AK4)*0.475*44/12</f>
        <v>1.4217567752663396</v>
      </c>
      <c r="AM4" s="62">
        <f t="shared" ref="AM4:AM67" si="5">AL4+(AD4+AE4)*44/12</f>
        <v>259.31064566415517</v>
      </c>
      <c r="AN4" s="62">
        <f ca="1">AVERAGE(OFFSET($AM$3,0,0,'Données projet'!$E$10+1,1))-AVERAGE(OFFSET($H$3,0,0,'Données projet'!$E$10+1,1))</f>
        <v>245.47494516762282</v>
      </c>
      <c r="AO4" s="62">
        <f>$AO$3</f>
        <v>145.54897745089966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1.0907244698905405</v>
      </c>
      <c r="BF4" s="14">
        <f>EXP(-1.0587+0.8836*LN(BE4)+0.284)</f>
        <v>0.49759623852608204</v>
      </c>
      <c r="BG4" s="22">
        <f t="shared" ref="BG4:BG67" si="7">(BE4+BF4)*0.475*44/12</f>
        <v>2.7663252338256172</v>
      </c>
      <c r="BH4" s="62">
        <f t="shared" ref="BH4:BH67" si="8">BG4+(AY4+AZ4)*44/12</f>
        <v>260.65521412271448</v>
      </c>
      <c r="BI4" s="62">
        <f ca="1">AVERAGE(OFFSET($BH$3,0,0,'Données projet'!$E$11+1,1))-AVERAGE(OFFSET($H$3,0,0,'Données projet'!$E$11+1,1))</f>
        <v>430.21146937947236</v>
      </c>
      <c r="BJ4" s="62">
        <f>$BJ$3</f>
        <v>231.36959598460686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2">
        <f t="shared" ref="CC4:CC67" si="11">CB4+(BT4+BU4)*44/12</f>
        <v>260.42698077017764</v>
      </c>
      <c r="CD4" s="62">
        <f ca="1">AVERAGE(OFFSET($CC$3,0,0,'Données projet'!$E$12+1,1))-AVERAGE(OFFSET($H$3,0,0,'Données projet'!$E$12+1,1))</f>
        <v>299.07024205218266</v>
      </c>
      <c r="CE4" s="62">
        <f>$CE$3</f>
        <v>328.70296497136366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1.4957264957264955</v>
      </c>
      <c r="CT4" s="13">
        <f>IF('Données projet'!$A$140&gt;35,CT3+CS4-DB3,IF(A4&lt;'Données projet'!$A$140,$CQ$205^A4,IF(A4='Données projet'!$A$140,'Données projet'!$B$140,CT3+CS4-DB3)))</f>
        <v>1.2304469565436837</v>
      </c>
      <c r="CU4" s="18">
        <f>CT4*VLOOKUP('Données projet'!$B$13,Paramètres!$A$1:$I$89,3,0)*VLOOKUP('Données projet'!$B$13,Paramètres!$A$1:$I$89,5,0)</f>
        <v>1.1708933238469694</v>
      </c>
      <c r="CV4" s="14">
        <f>EXP(-1.0587+0.8836*LN(CU4)+0.284)</f>
        <v>0.52977807073540206</v>
      </c>
      <c r="CW4" s="22">
        <f t="shared" ref="CW4:CW67" si="13">(CU4+CV4)*0.475*44/12</f>
        <v>2.9620026788976301</v>
      </c>
      <c r="CX4" s="62">
        <f t="shared" ref="CX4:CX67" si="14">CW4+(CO4+CP4)*44/12</f>
        <v>260.8508915677865</v>
      </c>
      <c r="CY4" s="62">
        <f ca="1">AVERAGE(OFFSET($CX$3,0,0,'Données projet'!$E$13+1,1))-AVERAGE(OFFSET($H$3,0,0,'Données projet'!$E$13+1,1))</f>
        <v>300.36889324671682</v>
      </c>
      <c r="CZ4" s="62">
        <f>$CZ$3</f>
        <v>214.36051699039683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2">
        <f t="shared" si="0"/>
        <v>262.80806344386446</v>
      </c>
      <c r="S5" s="62">
        <f ca="1">AVERAGE(OFFSET($R$3,0,0,'Données projet'!$E$9+1,1))-AVERAGE(OFFSET($H$3,0,0,'Données projet'!$E$9+1,1))</f>
        <v>477.00263959594946</v>
      </c>
      <c r="T5" s="62">
        <f t="shared" ref="T5:T68" si="34">$T$3</f>
        <v>254.25036207346591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3.4425641025641025</v>
      </c>
      <c r="AI5" s="14">
        <f>IF('Données projet'!$A$62&gt;35,AI4+AH5-AQ4,IF(A5&lt;'Données projet'!$A$62,$AF$205^A5,IF(A5='Données projet'!$A$62,'Données projet'!$B$62,AI4+AH5-AQ4)))</f>
        <v>1.3622815852065062</v>
      </c>
      <c r="AJ5" s="14">
        <f>AI5*VLOOKUP('Données projet'!$B$10,Paramètres!$A$1:$I$89,3,0)*VLOOKUP('Données projet'!$B$10,Paramètres!$A$1:$I$89,5,0)</f>
        <v>0.63754778187664485</v>
      </c>
      <c r="AK5" s="14">
        <f t="shared" ref="AK5:AK68" si="35">EXP(-1.0587+0.8836*LN(AJ5)+0.284)</f>
        <v>0.30961323785545058</v>
      </c>
      <c r="AL5" s="22">
        <f t="shared" si="4"/>
        <v>1.6496387760333995</v>
      </c>
      <c r="AM5" s="62">
        <f t="shared" si="5"/>
        <v>260.76074988714453</v>
      </c>
      <c r="AN5" s="62">
        <f ca="1">AVERAGE(OFFSET($AM$3,0,0,'Données projet'!$E$10+1,1))-AVERAGE(OFFSET($H$3,0,0,'Données projet'!$E$10+1,1))</f>
        <v>245.47494516762282</v>
      </c>
      <c r="AO5" s="62">
        <f t="shared" ref="AO5:AO68" si="36">$AO$3</f>
        <v>145.54897745089966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1.3148539668633961</v>
      </c>
      <c r="BF5" s="14">
        <f t="shared" ref="BF5:BF68" si="37">EXP(-1.0587+0.8836*LN(BE5)+0.284)</f>
        <v>0.58693801963664449</v>
      </c>
      <c r="BG5" s="22">
        <f t="shared" si="7"/>
        <v>3.3122877098209038</v>
      </c>
      <c r="BH5" s="62">
        <f t="shared" si="8"/>
        <v>262.42339882093205</v>
      </c>
      <c r="BI5" s="62">
        <f ca="1">AVERAGE(OFFSET($BH$3,0,0,'Données projet'!$E$11+1,1))-AVERAGE(OFFSET($H$3,0,0,'Données projet'!$E$11+1,1))</f>
        <v>430.21146937947236</v>
      </c>
      <c r="BJ5" s="62">
        <f t="shared" ref="BJ5:BJ68" si="38">$BJ$3</f>
        <v>231.36959598460686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2">
        <f t="shared" si="11"/>
        <v>262.32793292279484</v>
      </c>
      <c r="CD5" s="62">
        <f ca="1">AVERAGE(OFFSET($CC$3,0,0,'Données projet'!$E$12+1,1))-AVERAGE(OFFSET($H$3,0,0,'Données projet'!$E$12+1,1))</f>
        <v>299.07024205218266</v>
      </c>
      <c r="CE5" s="62">
        <f t="shared" ref="CE5:CE68" si="40">$CE$3</f>
        <v>328.70296497136366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1.4957264957264955</v>
      </c>
      <c r="CT5" s="13">
        <f>IF('Données projet'!$A$140&gt;35,CT4+CS5-DB4,IF(A5&lt;'Données projet'!$A$140,$CQ$205^A5,IF(A5='Données projet'!$A$140,'Données projet'!$B$140,CT4+CS5-DB4)))</f>
        <v>1.5139997128676139</v>
      </c>
      <c r="CU5" s="18">
        <f>CT5*VLOOKUP('Données projet'!$B$13,Paramètres!$A$1:$I$89,3,0)*VLOOKUP('Données projet'!$B$13,Paramètres!$A$1:$I$89,5,0)</f>
        <v>1.4407221267648214</v>
      </c>
      <c r="CV5" s="14">
        <f t="shared" ref="CV5:CV68" si="41">EXP(-1.0587+0.8836*LN(CU5)+0.284)</f>
        <v>0.6363170389739955</v>
      </c>
      <c r="CW5" s="22">
        <f t="shared" si="13"/>
        <v>3.6175098803284391</v>
      </c>
      <c r="CX5" s="62">
        <f t="shared" si="14"/>
        <v>262.72862099143958</v>
      </c>
      <c r="CY5" s="62">
        <f ca="1">AVERAGE(OFFSET($CX$3,0,0,'Données projet'!$E$13+1,1))-AVERAGE(OFFSET($H$3,0,0,'Données projet'!$E$13+1,1))</f>
        <v>300.36889324671682</v>
      </c>
      <c r="CZ5" s="62">
        <f t="shared" ref="CZ5:CZ68" si="42">$CZ$3</f>
        <v>214.36051699039683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2">
        <f t="shared" si="0"/>
        <v>264.76063455825545</v>
      </c>
      <c r="S6" s="62">
        <f ca="1">AVERAGE(OFFSET($R$3,0,0,'Données projet'!$E$9+1,1))-AVERAGE(OFFSET($H$3,0,0,'Données projet'!$E$9+1,1))</f>
        <v>477.00263959594946</v>
      </c>
      <c r="T6" s="62">
        <f t="shared" si="34"/>
        <v>254.25036207346591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3.4425641025641025</v>
      </c>
      <c r="AI6" s="14">
        <f>IF('Données projet'!$A$62&gt;35,AI5+AH6-AQ5,IF(A6&lt;'Données projet'!$A$62,$AF$205^A6,IF(A6='Données projet'!$A$62,'Données projet'!$B$62,AI5+AH6-AQ5)))</f>
        <v>1.590011732927042</v>
      </c>
      <c r="AJ6" s="14">
        <f>AI6*VLOOKUP('Données projet'!$B$10,Paramètres!$A$1:$I$89,3,0)*VLOOKUP('Données projet'!$B$10,Paramètres!$A$1:$I$89,5,0)</f>
        <v>0.7441254910098557</v>
      </c>
      <c r="AK6" s="14">
        <f t="shared" si="35"/>
        <v>0.35492666750402163</v>
      </c>
      <c r="AL6" s="22">
        <f t="shared" si="4"/>
        <v>1.9141825094116696</v>
      </c>
      <c r="AM6" s="62">
        <f t="shared" si="5"/>
        <v>262.24751584274497</v>
      </c>
      <c r="AN6" s="62">
        <f ca="1">AVERAGE(OFFSET($AM$3,0,0,'Données projet'!$E$10+1,1))-AVERAGE(OFFSET($H$3,0,0,'Données projet'!$E$10+1,1))</f>
        <v>245.47494516762282</v>
      </c>
      <c r="AO6" s="62">
        <f t="shared" si="36"/>
        <v>145.54897745089966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1.5850391202371266</v>
      </c>
      <c r="BF6" s="14">
        <f t="shared" si="37"/>
        <v>0.69232082604846479</v>
      </c>
      <c r="BG6" s="22">
        <f t="shared" si="7"/>
        <v>3.966401906447405</v>
      </c>
      <c r="BH6" s="62">
        <f t="shared" si="8"/>
        <v>264.29973523978072</v>
      </c>
      <c r="BI6" s="62">
        <f ca="1">AVERAGE(OFFSET($BH$3,0,0,'Données projet'!$E$11+1,1))-AVERAGE(OFFSET($H$3,0,0,'Données projet'!$E$11+1,1))</f>
        <v>430.21146937947236</v>
      </c>
      <c r="BJ6" s="62">
        <f t="shared" si="38"/>
        <v>231.36959598460686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2">
        <f t="shared" si="11"/>
        <v>264.41110313686249</v>
      </c>
      <c r="CD6" s="62">
        <f ca="1">AVERAGE(OFFSET($CC$3,0,0,'Données projet'!$E$12+1,1))-AVERAGE(OFFSET($H$3,0,0,'Données projet'!$E$12+1,1))</f>
        <v>299.07024205218266</v>
      </c>
      <c r="CE6" s="62">
        <f t="shared" si="40"/>
        <v>328.70296497136366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1.4957264957264955</v>
      </c>
      <c r="CT6" s="13">
        <f>IF('Données projet'!$A$140&gt;35,CT5+CS6-DB5,IF(A6&lt;'Données projet'!$A$140,$CQ$205^A6,IF(A6='Données projet'!$A$140,'Données projet'!$B$140,CT5+CS6-DB5)))</f>
        <v>1.8628963389059665</v>
      </c>
      <c r="CU6" s="18">
        <f>CT6*VLOOKUP('Données projet'!$B$13,Paramètres!$A$1:$I$89,3,0)*VLOOKUP('Données projet'!$B$13,Paramètres!$A$1:$I$89,5,0)</f>
        <v>1.7727321561029179</v>
      </c>
      <c r="CV6" s="14">
        <f t="shared" si="41"/>
        <v>0.76428111402682142</v>
      </c>
      <c r="CW6" s="22">
        <f t="shared" si="13"/>
        <v>4.4186314454759623</v>
      </c>
      <c r="CX6" s="62">
        <f t="shared" si="14"/>
        <v>264.75196477880928</v>
      </c>
      <c r="CY6" s="62">
        <f ca="1">AVERAGE(OFFSET($CX$3,0,0,'Données projet'!$E$13+1,1))-AVERAGE(OFFSET($H$3,0,0,'Données projet'!$E$13+1,1))</f>
        <v>300.36889324671682</v>
      </c>
      <c r="CZ6" s="62">
        <f t="shared" si="42"/>
        <v>214.36051699039683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2">
        <f t="shared" si="0"/>
        <v>266.8580173405054</v>
      </c>
      <c r="S7" s="62">
        <f ca="1">AVERAGE(OFFSET($R$3,0,0,'Données projet'!$E$9+1,1))-AVERAGE(OFFSET($H$3,0,0,'Données projet'!$E$9+1,1))</f>
        <v>477.00263959594946</v>
      </c>
      <c r="T7" s="62">
        <f t="shared" si="34"/>
        <v>254.25036207346591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3.4425641025641025</v>
      </c>
      <c r="AI7" s="14">
        <f>IF('Données projet'!$A$62&gt;35,AI6+AH7-AQ6,IF(A7&lt;'Données projet'!$A$62,$AF$205^A7,IF(A7='Données projet'!$A$62,'Données projet'!$B$62,AI6+AH7-AQ6)))</f>
        <v>1.8558111173927514</v>
      </c>
      <c r="AJ7" s="14">
        <f>AI7*VLOOKUP('Données projet'!$B$10,Paramètres!$A$1:$I$89,3,0)*VLOOKUP('Données projet'!$B$10,Paramètres!$A$1:$I$89,5,0)</f>
        <v>0.86851960293980757</v>
      </c>
      <c r="AK7" s="14">
        <f t="shared" si="35"/>
        <v>0.40687194183965542</v>
      </c>
      <c r="AL7" s="22">
        <f t="shared" si="4"/>
        <v>2.2213069404908978</v>
      </c>
      <c r="AM7" s="62">
        <f t="shared" si="5"/>
        <v>263.77686249604642</v>
      </c>
      <c r="AN7" s="62">
        <f ca="1">AVERAGE(OFFSET($AM$3,0,0,'Données projet'!$E$10+1,1))-AVERAGE(OFFSET($H$3,0,0,'Données projet'!$E$10+1,1))</f>
        <v>245.47494516762282</v>
      </c>
      <c r="AO7" s="62">
        <f t="shared" si="36"/>
        <v>145.54897745089966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1.9107437601419195</v>
      </c>
      <c r="BF7" s="14">
        <f t="shared" si="37"/>
        <v>0.81662477151702284</v>
      </c>
      <c r="BG7" s="22">
        <f t="shared" si="7"/>
        <v>4.7501668593059909</v>
      </c>
      <c r="BH7" s="62">
        <f t="shared" si="8"/>
        <v>266.30572241486152</v>
      </c>
      <c r="BI7" s="62">
        <f ca="1">AVERAGE(OFFSET($BH$3,0,0,'Données projet'!$E$11+1,1))-AVERAGE(OFFSET($H$3,0,0,'Données projet'!$E$11+1,1))</f>
        <v>430.21146937947236</v>
      </c>
      <c r="BJ7" s="62">
        <f t="shared" si="38"/>
        <v>231.36959598460686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2">
        <f t="shared" si="11"/>
        <v>266.72559198951097</v>
      </c>
      <c r="CD7" s="62">
        <f ca="1">AVERAGE(OFFSET($CC$3,0,0,'Données projet'!$E$12+1,1))-AVERAGE(OFFSET($H$3,0,0,'Données projet'!$E$12+1,1))</f>
        <v>299.07024205218266</v>
      </c>
      <c r="CE7" s="62">
        <f t="shared" si="40"/>
        <v>328.70296497136366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1.4957264957264955</v>
      </c>
      <c r="CT7" s="13">
        <f>IF('Données projet'!$A$140&gt;35,CT6+CS7-DB6,IF(A7&lt;'Données projet'!$A$140,$CQ$205^A7,IF(A7='Données projet'!$A$140,'Données projet'!$B$140,CT6+CS7-DB6)))</f>
        <v>2.2921951305632176</v>
      </c>
      <c r="CU7" s="18">
        <f>CT7*VLOOKUP('Données projet'!$B$13,Paramètres!$A$1:$I$89,3,0)*VLOOKUP('Données projet'!$B$13,Paramètres!$A$1:$I$89,5,0)</f>
        <v>2.181252886243958</v>
      </c>
      <c r="CV7" s="14">
        <f t="shared" si="41"/>
        <v>0.91797890906697965</v>
      </c>
      <c r="CW7" s="22">
        <f t="shared" si="13"/>
        <v>5.3978287101665492</v>
      </c>
      <c r="CX7" s="62">
        <f t="shared" si="14"/>
        <v>266.95338426572209</v>
      </c>
      <c r="CY7" s="62">
        <f ca="1">AVERAGE(OFFSET($CX$3,0,0,'Données projet'!$E$13+1,1))-AVERAGE(OFFSET($H$3,0,0,'Données projet'!$E$13+1,1))</f>
        <v>300.36889324671682</v>
      </c>
      <c r="CZ7" s="62">
        <f t="shared" si="42"/>
        <v>214.36051699039683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2">
        <f t="shared" si="0"/>
        <v>269.12902329365244</v>
      </c>
      <c r="S8" s="62">
        <f ca="1">AVERAGE(OFFSET($R$3,0,0,'Données projet'!$E$9+1,1))-AVERAGE(OFFSET($H$3,0,0,'Données projet'!$E$9+1,1))</f>
        <v>477.00263959594946</v>
      </c>
      <c r="T8" s="62">
        <f t="shared" si="34"/>
        <v>254.25036207346591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3.4425641025641025</v>
      </c>
      <c r="AI8" s="14">
        <f>IF('Données projet'!$A$62&gt;35,AI7+AH8-AQ7,IF(A8&lt;'Données projet'!$A$62,$AF$205^A8,IF(A8='Données projet'!$A$62,'Données projet'!$B$62,AI7+AH8-AQ7)))</f>
        <v>2.1660437040287945</v>
      </c>
      <c r="AJ8" s="14">
        <f>AI8*VLOOKUP('Données projet'!$B$10,Paramètres!$A$1:$I$89,3,0)*VLOOKUP('Données projet'!$B$10,Paramètres!$A$1:$I$89,5,0)</f>
        <v>1.0137084534854759</v>
      </c>
      <c r="AK8" s="14">
        <f t="shared" si="35"/>
        <v>0.46641966415357117</v>
      </c>
      <c r="AL8" s="22">
        <f t="shared" si="4"/>
        <v>2.5778898048880068</v>
      </c>
      <c r="AM8" s="62">
        <f t="shared" si="5"/>
        <v>265.35566758266577</v>
      </c>
      <c r="AN8" s="62">
        <f ca="1">AVERAGE(OFFSET($AM$3,0,0,'Données projet'!$E$10+1,1))-AVERAGE(OFFSET($H$3,0,0,'Données projet'!$E$10+1,1))</f>
        <v>245.47494516762282</v>
      </c>
      <c r="AO8" s="62">
        <f t="shared" si="36"/>
        <v>145.54897745089966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2.3033764090157529</v>
      </c>
      <c r="BF8" s="14">
        <f t="shared" si="37"/>
        <v>0.96324708482559218</v>
      </c>
      <c r="BG8" s="22">
        <f t="shared" si="7"/>
        <v>5.6893692517736758</v>
      </c>
      <c r="BH8" s="62">
        <f t="shared" si="8"/>
        <v>268.46714702955143</v>
      </c>
      <c r="BI8" s="62">
        <f ca="1">AVERAGE(OFFSET($BH$3,0,0,'Données projet'!$E$11+1,1))-AVERAGE(OFFSET($H$3,0,0,'Données projet'!$E$11+1,1))</f>
        <v>430.21146937947236</v>
      </c>
      <c r="BJ8" s="62">
        <f t="shared" si="38"/>
        <v>231.36959598460686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2">
        <f t="shared" si="11"/>
        <v>269.33377625930052</v>
      </c>
      <c r="CD8" s="62">
        <f ca="1">AVERAGE(OFFSET($CC$3,0,0,'Données projet'!$E$12+1,1))-AVERAGE(OFFSET($H$3,0,0,'Données projet'!$E$12+1,1))</f>
        <v>299.07024205218266</v>
      </c>
      <c r="CE8" s="62">
        <f t="shared" si="40"/>
        <v>328.70296497136366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1.4957264957264955</v>
      </c>
      <c r="CT8" s="13">
        <f>IF('Données projet'!$A$140&gt;35,CT7+CS8-DB7,IF(A8&lt;'Données projet'!$A$140,$CQ$205^A8,IF(A8='Données projet'!$A$140,'Données projet'!$B$140,CT7+CS8-DB7)))</f>
        <v>2.8204245222057627</v>
      </c>
      <c r="CU8" s="18">
        <f>CT8*VLOOKUP('Données projet'!$B$13,Paramètres!$A$1:$I$89,3,0)*VLOOKUP('Données projet'!$B$13,Paramètres!$A$1:$I$89,5,0)</f>
        <v>2.6839159753310038</v>
      </c>
      <c r="CV8" s="14">
        <f t="shared" si="41"/>
        <v>1.1025855042418715</v>
      </c>
      <c r="CW8" s="22">
        <f t="shared" si="13"/>
        <v>6.5948234102560903</v>
      </c>
      <c r="CX8" s="62">
        <f t="shared" si="14"/>
        <v>269.37260118803385</v>
      </c>
      <c r="CY8" s="62">
        <f ca="1">AVERAGE(OFFSET($CX$3,0,0,'Données projet'!$E$13+1,1))-AVERAGE(OFFSET($H$3,0,0,'Données projet'!$E$13+1,1))</f>
        <v>300.36889324671682</v>
      </c>
      <c r="CZ8" s="62">
        <f t="shared" si="42"/>
        <v>214.36051699039683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2">
        <f t="shared" si="0"/>
        <v>271.60821456387049</v>
      </c>
      <c r="S9" s="62">
        <f ca="1">AVERAGE(OFFSET($R$3,0,0,'Données projet'!$E$9+1,1))-AVERAGE(OFFSET($H$3,0,0,'Données projet'!$E$9+1,1))</f>
        <v>477.00263959594946</v>
      </c>
      <c r="T9" s="62">
        <f t="shared" si="34"/>
        <v>254.25036207346591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3.4425641025641025</v>
      </c>
      <c r="AI9" s="14">
        <f>IF('Données projet'!$A$62&gt;35,AI8+AH9-AQ8,IF(A9&lt;'Données projet'!$A$62,$AF$205^A9,IF(A9='Données projet'!$A$62,'Données projet'!$B$62,AI8+AH9-AQ8)))</f>
        <v>2.5281373108456551</v>
      </c>
      <c r="AJ9" s="14">
        <f>AI9*VLOOKUP('Données projet'!$B$10,Paramètres!$A$1:$I$89,3,0)*VLOOKUP('Données projet'!$B$10,Paramètres!$A$1:$I$89,5,0)</f>
        <v>1.1831682614757666</v>
      </c>
      <c r="AK9" s="14">
        <f t="shared" si="35"/>
        <v>0.53468249033221249</v>
      </c>
      <c r="AL9" s="22">
        <f t="shared" si="4"/>
        <v>2.9919233927322302</v>
      </c>
      <c r="AM9" s="62">
        <f t="shared" si="5"/>
        <v>266.99192339273225</v>
      </c>
      <c r="AN9" s="62">
        <f ca="1">AVERAGE(OFFSET($AM$3,0,0,'Données projet'!$E$10+1,1))-AVERAGE(OFFSET($H$3,0,0,'Données projet'!$E$10+1,1))</f>
        <v>245.47494516762282</v>
      </c>
      <c r="AO9" s="62">
        <f t="shared" si="36"/>
        <v>145.54897745089966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2.7766898902321886</v>
      </c>
      <c r="BF9" s="14">
        <f t="shared" si="37"/>
        <v>1.1361949561012803</v>
      </c>
      <c r="BG9" s="22">
        <f t="shared" si="7"/>
        <v>6.8149411073641248</v>
      </c>
      <c r="BH9" s="62">
        <f t="shared" si="8"/>
        <v>270.81494110736412</v>
      </c>
      <c r="BI9" s="62">
        <f ca="1">AVERAGE(OFFSET($BH$3,0,0,'Données projet'!$E$11+1,1))-AVERAGE(OFFSET($H$3,0,0,'Données projet'!$E$11+1,1))</f>
        <v>430.21146937947236</v>
      </c>
      <c r="BJ9" s="62">
        <f t="shared" si="38"/>
        <v>231.36959598460686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2">
        <f t="shared" si="11"/>
        <v>272.31491008523295</v>
      </c>
      <c r="CD9" s="62">
        <f ca="1">AVERAGE(OFFSET($CC$3,0,0,'Données projet'!$E$12+1,1))-AVERAGE(OFFSET($H$3,0,0,'Données projet'!$E$12+1,1))</f>
        <v>299.07024205218266</v>
      </c>
      <c r="CE9" s="62">
        <f t="shared" si="40"/>
        <v>328.70296497136366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1.4957264957264955</v>
      </c>
      <c r="CT9" s="13">
        <f>IF('Données projet'!$A$140&gt;35,CT8+CS9-DB8,IF(A9&lt;'Données projet'!$A$140,$CQ$205^A9,IF(A9='Données projet'!$A$140,'Données projet'!$B$140,CT8+CS9-DB8)))</f>
        <v>3.4703827695092544</v>
      </c>
      <c r="CU9" s="18">
        <f>CT9*VLOOKUP('Données projet'!$B$13,Paramètres!$A$1:$I$89,3,0)*VLOOKUP('Données projet'!$B$13,Paramètres!$A$1:$I$89,5,0)</f>
        <v>3.3024162434650068</v>
      </c>
      <c r="CV9" s="14">
        <f t="shared" si="41"/>
        <v>1.3243166941601268</v>
      </c>
      <c r="CW9" s="22">
        <f t="shared" si="13"/>
        <v>8.0582265330304406</v>
      </c>
      <c r="CX9" s="62">
        <f t="shared" si="14"/>
        <v>272.05822653303045</v>
      </c>
      <c r="CY9" s="62">
        <f ca="1">AVERAGE(OFFSET($CX$3,0,0,'Données projet'!$E$13+1,1))-AVERAGE(OFFSET($H$3,0,0,'Données projet'!$E$13+1,1))</f>
        <v>300.36889324671682</v>
      </c>
      <c r="CZ9" s="62">
        <f t="shared" si="42"/>
        <v>214.36051699039683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2">
        <f t="shared" si="0"/>
        <v>274.33705514539406</v>
      </c>
      <c r="S10" s="62">
        <f ca="1">AVERAGE(OFFSET($R$3,0,0,'Données projet'!$E$9+1,1))-AVERAGE(OFFSET($H$3,0,0,'Données projet'!$E$9+1,1))</f>
        <v>477.00263959594946</v>
      </c>
      <c r="T10" s="62">
        <f t="shared" si="34"/>
        <v>254.25036207346591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3.4425641025641025</v>
      </c>
      <c r="AI10" s="14">
        <f>IF('Données projet'!$A$62&gt;35,AI9+AH10-AQ9,IF(A10&lt;'Données projet'!$A$62,$AF$205^A10,IF(A10='Données projet'!$A$62,'Données projet'!$B$62,AI9+AH10-AQ9)))</f>
        <v>2.9507614507509188</v>
      </c>
      <c r="AJ10" s="14">
        <f>AI10*VLOOKUP('Données projet'!$B$10,Paramètres!$A$1:$I$89,3,0)*VLOOKUP('Données projet'!$B$10,Paramètres!$A$1:$I$89,5,0)</f>
        <v>1.38095635895143</v>
      </c>
      <c r="AK10" s="14">
        <f t="shared" si="35"/>
        <v>0.61293591895758326</v>
      </c>
      <c r="AL10" s="22">
        <f t="shared" si="4"/>
        <v>3.472695717358198</v>
      </c>
      <c r="AM10" s="62">
        <f t="shared" si="5"/>
        <v>268.69491793958042</v>
      </c>
      <c r="AN10" s="62">
        <f ca="1">AVERAGE(OFFSET($AM$3,0,0,'Données projet'!$E$10+1,1))-AVERAGE(OFFSET($H$3,0,0,'Données projet'!$E$10+1,1))</f>
        <v>245.47494516762282</v>
      </c>
      <c r="AO10" s="62">
        <f t="shared" si="36"/>
        <v>145.54897745089966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3.3472630510321921</v>
      </c>
      <c r="BF10" s="14">
        <f t="shared" si="37"/>
        <v>1.34019505338418</v>
      </c>
      <c r="BG10" s="22">
        <f t="shared" si="7"/>
        <v>8.1639895318585136</v>
      </c>
      <c r="BH10" s="62">
        <f t="shared" si="8"/>
        <v>273.38621175408076</v>
      </c>
      <c r="BI10" s="62">
        <f ca="1">AVERAGE(OFFSET($BH$3,0,0,'Données projet'!$E$11+1,1))-AVERAGE(OFFSET($H$3,0,0,'Données projet'!$E$11+1,1))</f>
        <v>430.21146937947236</v>
      </c>
      <c r="BJ10" s="62">
        <f t="shared" si="38"/>
        <v>231.36959598460686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2">
        <f t="shared" si="11"/>
        <v>275.76970579909499</v>
      </c>
      <c r="CD10" s="62">
        <f ca="1">AVERAGE(OFFSET($CC$3,0,0,'Données projet'!$E$12+1,1))-AVERAGE(OFFSET($H$3,0,0,'Données projet'!$E$12+1,1))</f>
        <v>299.07024205218266</v>
      </c>
      <c r="CE10" s="62">
        <f t="shared" si="40"/>
        <v>328.70296497136366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1.4957264957264955</v>
      </c>
      <c r="CT10" s="13">
        <f>IF('Données projet'!$A$140&gt;35,CT9+CS10-DB9,IF(A10&lt;'Données projet'!$A$140,$CQ$205^A10,IF(A10='Données projet'!$A$140,'Données projet'!$B$140,CT9+CS10-DB9)))</f>
        <v>4.2701219167843023</v>
      </c>
      <c r="CU10" s="18">
        <f>CT10*VLOOKUP('Données projet'!$B$13,Paramètres!$A$1:$I$89,3,0)*VLOOKUP('Données projet'!$B$13,Paramètres!$A$1:$I$89,5,0)</f>
        <v>4.0634480160119422</v>
      </c>
      <c r="CV10" s="14">
        <f t="shared" si="41"/>
        <v>1.5906382767449083</v>
      </c>
      <c r="CW10" s="22">
        <f t="shared" si="13"/>
        <v>9.847533626551515</v>
      </c>
      <c r="CX10" s="62">
        <f t="shared" si="14"/>
        <v>275.06975584877375</v>
      </c>
      <c r="CY10" s="62">
        <f ca="1">AVERAGE(OFFSET($CX$3,0,0,'Données projet'!$E$13+1,1))-AVERAGE(OFFSET($H$3,0,0,'Données projet'!$E$13+1,1))</f>
        <v>300.36889324671682</v>
      </c>
      <c r="CZ10" s="62">
        <f t="shared" si="42"/>
        <v>214.36051699039683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2">
        <f t="shared" si="0"/>
        <v>277.36529317093459</v>
      </c>
      <c r="S11" s="62">
        <f ca="1">AVERAGE(OFFSET($R$3,0,0,'Données projet'!$E$9+1,1))-AVERAGE(OFFSET($H$3,0,0,'Données projet'!$E$9+1,1))</f>
        <v>477.00263959594946</v>
      </c>
      <c r="T11" s="62">
        <f t="shared" si="34"/>
        <v>254.25036207346591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3.4425641025641025</v>
      </c>
      <c r="AI11" s="14">
        <f>IF('Données projet'!$A$62&gt;35,AI10+AH11-AQ10,IF(A11&lt;'Données projet'!$A$62,$AF$205^A11,IF(A11='Données projet'!$A$62,'Données projet'!$B$62,AI10+AH11-AQ10)))</f>
        <v>3.4440349034385327</v>
      </c>
      <c r="AJ11" s="14">
        <f>AI11*VLOOKUP('Données projet'!$B$10,Paramètres!$A$1:$I$89,3,0)*VLOOKUP('Données projet'!$B$10,Paramètres!$A$1:$I$89,5,0)</f>
        <v>1.6118083348092334</v>
      </c>
      <c r="AK11" s="14">
        <f t="shared" si="35"/>
        <v>0.70264212414165761</v>
      </c>
      <c r="AL11" s="22">
        <f t="shared" si="4"/>
        <v>4.0310012160061346</v>
      </c>
      <c r="AM11" s="62">
        <f t="shared" si="5"/>
        <v>270.47544566045059</v>
      </c>
      <c r="AN11" s="62">
        <f ca="1">AVERAGE(OFFSET($AM$3,0,0,'Données projet'!$E$10+1,1))-AVERAGE(OFFSET($H$3,0,0,'Données projet'!$E$10+1,1))</f>
        <v>245.47494516762282</v>
      </c>
      <c r="AO11" s="62">
        <f t="shared" si="36"/>
        <v>145.54897745089966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4.0350814731667564</v>
      </c>
      <c r="BF11" s="14">
        <f t="shared" si="37"/>
        <v>1.5808227025391921</v>
      </c>
      <c r="BG11" s="22">
        <f t="shared" si="7"/>
        <v>9.7810331060211926</v>
      </c>
      <c r="BH11" s="62">
        <f t="shared" si="8"/>
        <v>276.22547755046565</v>
      </c>
      <c r="BI11" s="62">
        <f ca="1">AVERAGE(OFFSET($BH$3,0,0,'Données projet'!$E$11+1,1))-AVERAGE(OFFSET($H$3,0,0,'Données projet'!$E$11+1,1))</f>
        <v>430.21146937947236</v>
      </c>
      <c r="BJ11" s="62">
        <f t="shared" si="38"/>
        <v>231.36959598460686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2">
        <f t="shared" si="11"/>
        <v>279.82616165924384</v>
      </c>
      <c r="CD11" s="62">
        <f ca="1">AVERAGE(OFFSET($CC$3,0,0,'Données projet'!$E$12+1,1))-AVERAGE(OFFSET($H$3,0,0,'Données projet'!$E$12+1,1))</f>
        <v>299.07024205218266</v>
      </c>
      <c r="CE11" s="62">
        <f t="shared" si="40"/>
        <v>328.70296497136366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1.4957264957264955</v>
      </c>
      <c r="CT11" s="13">
        <f>IF('Données projet'!$A$140&gt;35,CT10+CS11-DB10,IF(A11&lt;'Données projet'!$A$140,$CQ$205^A11,IF(A11='Données projet'!$A$140,'Données projet'!$B$140,CT10+CS11-DB10)))</f>
        <v>5.2541585165777258</v>
      </c>
      <c r="CU11" s="18">
        <f>CT11*VLOOKUP('Données projet'!$B$13,Paramètres!$A$1:$I$89,3,0)*VLOOKUP('Données projet'!$B$13,Paramètres!$A$1:$I$89,5,0)</f>
        <v>4.9998572443753639</v>
      </c>
      <c r="CV11" s="14">
        <f t="shared" si="41"/>
        <v>1.9105174303119428</v>
      </c>
      <c r="CW11" s="22">
        <f t="shared" si="13"/>
        <v>12.035569225080392</v>
      </c>
      <c r="CX11" s="62">
        <f t="shared" si="14"/>
        <v>278.48001366952485</v>
      </c>
      <c r="CY11" s="62">
        <f ca="1">AVERAGE(OFFSET($CX$3,0,0,'Données projet'!$E$13+1,1))-AVERAGE(OFFSET($H$3,0,0,'Données projet'!$E$13+1,1))</f>
        <v>300.36889324671682</v>
      </c>
      <c r="CZ11" s="62">
        <f t="shared" si="42"/>
        <v>214.36051699039683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2">
        <f t="shared" si="0"/>
        <v>280.75262079014198</v>
      </c>
      <c r="S12" s="62">
        <f ca="1">AVERAGE(OFFSET($R$3,0,0,'Données projet'!$E$9+1,1))-AVERAGE(OFFSET($H$3,0,0,'Données projet'!$E$9+1,1))</f>
        <v>477.00263959594946</v>
      </c>
      <c r="T12" s="62">
        <f t="shared" si="34"/>
        <v>254.25036207346591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3.4425641025641025</v>
      </c>
      <c r="AI12" s="14">
        <f>IF('Données projet'!$A$62&gt;35,AI11+AH12-AQ11,IF(A12&lt;'Données projet'!$A$62,$AF$205^A12,IF(A12='Données projet'!$A$62,'Données projet'!$B$62,AI11+AH12-AQ11)))</f>
        <v>4.0197679866952116</v>
      </c>
      <c r="AJ12" s="14">
        <f>AI12*VLOOKUP('Données projet'!$B$10,Paramètres!$A$1:$I$89,3,0)*VLOOKUP('Données projet'!$B$10,Paramètres!$A$1:$I$89,5,0)</f>
        <v>1.881251417773359</v>
      </c>
      <c r="AK12" s="14">
        <f t="shared" si="35"/>
        <v>0.80547727641405575</v>
      </c>
      <c r="AL12" s="22">
        <f t="shared" si="4"/>
        <v>4.6793858090430804</v>
      </c>
      <c r="AM12" s="62">
        <f t="shared" si="5"/>
        <v>272.34605247570977</v>
      </c>
      <c r="AN12" s="62">
        <f ca="1">AVERAGE(OFFSET($AM$3,0,0,'Données projet'!$E$10+1,1))-AVERAGE(OFFSET($H$3,0,0,'Données projet'!$E$10+1,1))</f>
        <v>245.47494516762282</v>
      </c>
      <c r="AO12" s="62">
        <f t="shared" si="36"/>
        <v>145.54897745089966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4.8642375119197085</v>
      </c>
      <c r="BF12" s="14">
        <f t="shared" si="37"/>
        <v>1.8646542609995393</v>
      </c>
      <c r="BG12" s="22">
        <f t="shared" si="7"/>
        <v>11.719486504501022</v>
      </c>
      <c r="BH12" s="62">
        <f t="shared" si="8"/>
        <v>279.38615317116773</v>
      </c>
      <c r="BI12" s="62">
        <f ca="1">AVERAGE(OFFSET($BH$3,0,0,'Données projet'!$E$11+1,1))-AVERAGE(OFFSET($H$3,0,0,'Données projet'!$E$11+1,1))</f>
        <v>430.21146937947236</v>
      </c>
      <c r="BJ12" s="62">
        <f t="shared" si="38"/>
        <v>231.36959598460686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2">
        <f t="shared" si="11"/>
        <v>284.64697678406844</v>
      </c>
      <c r="CD12" s="62">
        <f ca="1">AVERAGE(OFFSET($CC$3,0,0,'Données projet'!$E$12+1,1))-AVERAGE(OFFSET($H$3,0,0,'Données projet'!$E$12+1,1))</f>
        <v>299.07024205218266</v>
      </c>
      <c r="CE12" s="62">
        <f t="shared" si="40"/>
        <v>328.70296497136366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1.4957264957264955</v>
      </c>
      <c r="CT12" s="13">
        <f>IF('Données projet'!$A$140&gt;35,CT11+CS12-DB11,IF(A12&lt;'Données projet'!$A$140,$CQ$205^A12,IF(A12='Données projet'!$A$140,'Données projet'!$B$140,CT11+CS12-DB11)))</f>
        <v>6.4649633559211388</v>
      </c>
      <c r="CU12" s="18">
        <f>CT12*VLOOKUP('Données projet'!$B$13,Paramètres!$A$1:$I$89,3,0)*VLOOKUP('Données projet'!$B$13,Paramètres!$A$1:$I$89,5,0)</f>
        <v>6.1520591294945559</v>
      </c>
      <c r="CV12" s="14">
        <f t="shared" si="41"/>
        <v>2.2947246428617869</v>
      </c>
      <c r="CW12" s="22">
        <f t="shared" si="13"/>
        <v>14.711481736853962</v>
      </c>
      <c r="CX12" s="62">
        <f t="shared" si="14"/>
        <v>282.37814840352064</v>
      </c>
      <c r="CY12" s="62">
        <f ca="1">AVERAGE(OFFSET($CX$3,0,0,'Données projet'!$E$13+1,1))-AVERAGE(OFFSET($H$3,0,0,'Données projet'!$E$13+1,1))</f>
        <v>300.36889324671682</v>
      </c>
      <c r="CZ12" s="62">
        <f t="shared" si="42"/>
        <v>214.36051699039683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2">
        <f t="shared" si="0"/>
        <v>284.57066751792433</v>
      </c>
      <c r="S13" s="62">
        <f ca="1">AVERAGE(OFFSET($R$3,0,0,'Données projet'!$E$9+1,1))-AVERAGE(OFFSET($H$3,0,0,'Données projet'!$E$9+1,1))</f>
        <v>477.00263959594946</v>
      </c>
      <c r="T13" s="62">
        <f t="shared" si="34"/>
        <v>254.25036207346591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3.4425641025641025</v>
      </c>
      <c r="AI13" s="14">
        <f>IF('Données projet'!$A$62&gt;35,AI12+AH13-AQ12,IF(A13&lt;'Données projet'!$A$62,$AF$205^A13,IF(A13='Données projet'!$A$62,'Données projet'!$B$62,AI12+AH13-AQ12)))</f>
        <v>4.6917453277627805</v>
      </c>
      <c r="AJ13" s="14">
        <f>AI13*VLOOKUP('Données projet'!$B$10,Paramètres!$A$1:$I$89,3,0)*VLOOKUP('Données projet'!$B$10,Paramètres!$A$1:$I$89,5,0)</f>
        <v>2.1957368133929811</v>
      </c>
      <c r="AK13" s="14">
        <f t="shared" si="35"/>
        <v>0.9233628621568436</v>
      </c>
      <c r="AL13" s="22">
        <f t="shared" si="4"/>
        <v>5.432431934915944</v>
      </c>
      <c r="AM13" s="62">
        <f t="shared" si="5"/>
        <v>274.3213208238048</v>
      </c>
      <c r="AN13" s="62">
        <f ca="1">AVERAGE(OFFSET($AM$3,0,0,'Données projet'!$E$10+1,1))-AVERAGE(OFFSET($H$3,0,0,'Données projet'!$E$10+1,1))</f>
        <v>245.47494516762282</v>
      </c>
      <c r="AO13" s="62">
        <f t="shared" si="36"/>
        <v>145.54897745089966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5.8637741839194364</v>
      </c>
      <c r="BF13" s="14">
        <f t="shared" si="37"/>
        <v>2.1994468497187687</v>
      </c>
      <c r="BG13" s="22">
        <f t="shared" si="7"/>
        <v>14.043443300253207</v>
      </c>
      <c r="BH13" s="62">
        <f t="shared" si="8"/>
        <v>282.93233218914207</v>
      </c>
      <c r="BI13" s="62">
        <f ca="1">AVERAGE(OFFSET($BH$3,0,0,'Données projet'!$E$11+1,1))-AVERAGE(OFFSET($H$3,0,0,'Données projet'!$E$11+1,1))</f>
        <v>430.21146937947236</v>
      </c>
      <c r="BJ13" s="62">
        <f t="shared" si="38"/>
        <v>231.36959598460686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2">
        <f t="shared" si="11"/>
        <v>290.43898667763051</v>
      </c>
      <c r="CD13" s="62">
        <f ca="1">AVERAGE(OFFSET($CC$3,0,0,'Données projet'!$E$12+1,1))-AVERAGE(OFFSET($H$3,0,0,'Données projet'!$E$12+1,1))</f>
        <v>299.07024205218266</v>
      </c>
      <c r="CE13" s="62">
        <f t="shared" si="40"/>
        <v>328.70296497136366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1.4957264957264955</v>
      </c>
      <c r="CT13" s="13">
        <f>IF('Données projet'!$A$140&gt;35,CT12+CS13-DB12,IF(A13&lt;'Données projet'!$A$140,$CQ$205^A13,IF(A13='Données projet'!$A$140,'Données projet'!$B$140,CT12+CS13-DB12)))</f>
        <v>7.9547944854596055</v>
      </c>
      <c r="CU13" s="18">
        <f>CT13*VLOOKUP('Données projet'!$B$13,Paramètres!$A$1:$I$89,3,0)*VLOOKUP('Données projet'!$B$13,Paramètres!$A$1:$I$89,5,0)</f>
        <v>7.5697824323633602</v>
      </c>
      <c r="CV13" s="14">
        <f t="shared" si="41"/>
        <v>2.7561963596937087</v>
      </c>
      <c r="CW13" s="22">
        <f t="shared" si="13"/>
        <v>17.984413062832726</v>
      </c>
      <c r="CX13" s="62">
        <f t="shared" si="14"/>
        <v>286.8733019517216</v>
      </c>
      <c r="CY13" s="62">
        <f ca="1">AVERAGE(OFFSET($CX$3,0,0,'Données projet'!$E$13+1,1))-AVERAGE(OFFSET($H$3,0,0,'Données projet'!$E$13+1,1))</f>
        <v>300.36889324671682</v>
      </c>
      <c r="CZ13" s="62">
        <f t="shared" si="42"/>
        <v>214.36051699039683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2">
        <f t="shared" si="0"/>
        <v>288.90539420934834</v>
      </c>
      <c r="S14" s="62">
        <f ca="1">AVERAGE(OFFSET($R$3,0,0,'Données projet'!$E$9+1,1))-AVERAGE(OFFSET($H$3,0,0,'Données projet'!$E$9+1,1))</f>
        <v>477.00263959594946</v>
      </c>
      <c r="T14" s="62">
        <f t="shared" si="34"/>
        <v>254.25036207346591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3.4425641025641025</v>
      </c>
      <c r="AI14" s="14">
        <f>IF('Données projet'!$A$62&gt;35,AI13+AH14-AQ13,IF(A14&lt;'Données projet'!$A$62,$AF$205^A14,IF(A14='Données projet'!$A$62,'Données projet'!$B$62,AI13+AH14-AQ13)))</f>
        <v>5.4760559050775193</v>
      </c>
      <c r="AJ14" s="14">
        <f>AI14*VLOOKUP('Données projet'!$B$10,Paramètres!$A$1:$I$89,3,0)*VLOOKUP('Données projet'!$B$10,Paramètres!$A$1:$I$89,5,0)</f>
        <v>2.562794163576279</v>
      </c>
      <c r="AK14" s="14">
        <f t="shared" si="35"/>
        <v>1.0585015867936163</v>
      </c>
      <c r="AL14" s="22">
        <f t="shared" si="4"/>
        <v>6.3070900985608995</v>
      </c>
      <c r="AM14" s="62">
        <f t="shared" si="5"/>
        <v>276.41820120967202</v>
      </c>
      <c r="AN14" s="62">
        <f ca="1">AVERAGE(OFFSET($AM$3,0,0,'Données projet'!$E$10+1,1))-AVERAGE(OFFSET($H$3,0,0,'Données projet'!$E$10+1,1))</f>
        <v>245.47494516762282</v>
      </c>
      <c r="AO14" s="62">
        <f t="shared" si="36"/>
        <v>145.54897745089966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7.0687024627689707</v>
      </c>
      <c r="BF14" s="14">
        <f t="shared" si="37"/>
        <v>2.5943503554083325</v>
      </c>
      <c r="BG14" s="22">
        <f t="shared" si="7"/>
        <v>16.829816991658799</v>
      </c>
      <c r="BH14" s="62">
        <f t="shared" si="8"/>
        <v>286.94092810276993</v>
      </c>
      <c r="BI14" s="62">
        <f ca="1">AVERAGE(OFFSET($BH$3,0,0,'Données projet'!$E$11+1,1))-AVERAGE(OFFSET($H$3,0,0,'Données projet'!$E$11+1,1))</f>
        <v>430.21146937947236</v>
      </c>
      <c r="BJ14" s="62">
        <f t="shared" si="38"/>
        <v>231.36959598460686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2">
        <f t="shared" si="11"/>
        <v>297.46517135674492</v>
      </c>
      <c r="CD14" s="62">
        <f ca="1">AVERAGE(OFFSET($CC$3,0,0,'Données projet'!$E$12+1,1))-AVERAGE(OFFSET($H$3,0,0,'Données projet'!$E$12+1,1))</f>
        <v>299.07024205218266</v>
      </c>
      <c r="CE14" s="62">
        <f t="shared" si="40"/>
        <v>328.70296497136366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1.4957264957264955</v>
      </c>
      <c r="CT14" s="13">
        <f>IF('Données projet'!$A$140&gt;35,CT13+CS14-DB13,IF(A14&lt;'Données projet'!$A$140,$CQ$205^A14,IF(A14='Données projet'!$A$140,'Données projet'!$B$140,CT13+CS14-DB13)))</f>
        <v>9.7879526645642496</v>
      </c>
      <c r="CU14" s="18">
        <f>CT14*VLOOKUP('Données projet'!$B$13,Paramètres!$A$1:$I$89,3,0)*VLOOKUP('Données projet'!$B$13,Paramètres!$A$1:$I$89,5,0)</f>
        <v>9.3142157555993403</v>
      </c>
      <c r="CV14" s="14">
        <f t="shared" si="41"/>
        <v>3.310470559864207</v>
      </c>
      <c r="CW14" s="22">
        <f t="shared" si="13"/>
        <v>21.987995332765678</v>
      </c>
      <c r="CX14" s="62">
        <f t="shared" si="14"/>
        <v>292.09910644387685</v>
      </c>
      <c r="CY14" s="62">
        <f ca="1">AVERAGE(OFFSET($CX$3,0,0,'Données projet'!$E$13+1,1))-AVERAGE(OFFSET($H$3,0,0,'Données projet'!$E$13+1,1))</f>
        <v>300.36889324671682</v>
      </c>
      <c r="CZ14" s="62">
        <f t="shared" si="42"/>
        <v>214.36051699039683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2">
        <f t="shared" si="0"/>
        <v>293.85996837222763</v>
      </c>
      <c r="S15" s="62">
        <f ca="1">AVERAGE(OFFSET($R$3,0,0,'Données projet'!$E$9+1,1))-AVERAGE(OFFSET($H$3,0,0,'Données projet'!$E$9+1,1))</f>
        <v>477.00263959594946</v>
      </c>
      <c r="T15" s="62">
        <f t="shared" si="34"/>
        <v>254.25036207346591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3.4425641025641025</v>
      </c>
      <c r="AI15" s="14">
        <f>IF('Données projet'!$A$62&gt;35,AI14+AH15-AQ14,IF(A15&lt;'Données projet'!$A$62,$AF$205^A15,IF(A15='Données projet'!$A$62,'Données projet'!$B$62,AI14+AH15-AQ14)))</f>
        <v>6.3914782624899003</v>
      </c>
      <c r="AJ15" s="14">
        <f>AI15*VLOOKUP('Données projet'!$B$10,Paramètres!$A$1:$I$89,3,0)*VLOOKUP('Données projet'!$B$10,Paramètres!$A$1:$I$89,5,0)</f>
        <v>2.9912118268452734</v>
      </c>
      <c r="AK15" s="14">
        <f t="shared" si="35"/>
        <v>1.2134185325879896</v>
      </c>
      <c r="AL15" s="22">
        <f t="shared" si="4"/>
        <v>7.3230645426796004</v>
      </c>
      <c r="AM15" s="62">
        <f t="shared" si="5"/>
        <v>278.65639787601293</v>
      </c>
      <c r="AN15" s="62">
        <f ca="1">AVERAGE(OFFSET($AM$3,0,0,'Données projet'!$E$10+1,1))-AVERAGE(OFFSET($H$3,0,0,'Données projet'!$E$10+1,1))</f>
        <v>245.47494516762282</v>
      </c>
      <c r="AO15" s="62">
        <f t="shared" si="36"/>
        <v>145.54897745089966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8.521227615514638</v>
      </c>
      <c r="BF15" s="14">
        <f t="shared" si="37"/>
        <v>3.0601574970852128</v>
      </c>
      <c r="BG15" s="22">
        <f t="shared" si="7"/>
        <v>20.170912404444739</v>
      </c>
      <c r="BH15" s="62">
        <f t="shared" si="8"/>
        <v>291.50424573777804</v>
      </c>
      <c r="BI15" s="62">
        <f ca="1">AVERAGE(OFFSET($BH$3,0,0,'Données projet'!$E$11+1,1))-AVERAGE(OFFSET($H$3,0,0,'Données projet'!$E$11+1,1))</f>
        <v>430.21146937947236</v>
      </c>
      <c r="BJ15" s="62">
        <f t="shared" si="38"/>
        <v>231.36959598460686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2">
        <f t="shared" si="11"/>
        <v>306.05993923876133</v>
      </c>
      <c r="CD15" s="62">
        <f ca="1">AVERAGE(OFFSET($CC$3,0,0,'Données projet'!$E$12+1,1))-AVERAGE(OFFSET($H$3,0,0,'Données projet'!$E$12+1,1))</f>
        <v>299.07024205218266</v>
      </c>
      <c r="CE15" s="62">
        <f t="shared" si="40"/>
        <v>328.70296497136366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1.4957264957264955</v>
      </c>
      <c r="CT15" s="13">
        <f>IF('Données projet'!$A$140&gt;35,CT14+CS15-DB14,IF(A15&lt;'Données projet'!$A$140,$CQ$205^A15,IF(A15='Données projet'!$A$140,'Données projet'!$B$140,CT14+CS15-DB14)))</f>
        <v>12.043556566906721</v>
      </c>
      <c r="CU15" s="18">
        <f>CT15*VLOOKUP('Données projet'!$B$13,Paramètres!$A$1:$I$89,3,0)*VLOOKUP('Données projet'!$B$13,Paramètres!$A$1:$I$89,5,0)</f>
        <v>11.460648429068435</v>
      </c>
      <c r="CV15" s="14">
        <f t="shared" si="41"/>
        <v>3.976209927563187</v>
      </c>
      <c r="CW15" s="22">
        <f t="shared" si="13"/>
        <v>26.885861637800076</v>
      </c>
      <c r="CX15" s="62">
        <f t="shared" si="14"/>
        <v>298.21919497113339</v>
      </c>
      <c r="CY15" s="62">
        <f ca="1">AVERAGE(OFFSET($CX$3,0,0,'Données projet'!$E$13+1,1))-AVERAGE(OFFSET($H$3,0,0,'Données projet'!$E$13+1,1))</f>
        <v>300.36889324671682</v>
      </c>
      <c r="CZ15" s="62">
        <f t="shared" si="42"/>
        <v>214.36051699039683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2">
        <f t="shared" si="0"/>
        <v>299.55821782408742</v>
      </c>
      <c r="S16" s="62">
        <f ca="1">AVERAGE(OFFSET($R$3,0,0,'Données projet'!$E$9+1,1))-AVERAGE(OFFSET($H$3,0,0,'Données projet'!$E$9+1,1))</f>
        <v>477.00263959594946</v>
      </c>
      <c r="T16" s="62">
        <f t="shared" si="34"/>
        <v>254.25036207346591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3.4425641025641025</v>
      </c>
      <c r="AI16" s="14">
        <f>IF('Données projet'!$A$62&gt;35,AI15+AH16-AQ15,IF(A16&lt;'Données projet'!$A$62,$AF$205^A16,IF(A16='Données projet'!$A$62,'Données projet'!$B$62,AI15+AH16-AQ15)))</f>
        <v>7.459930119048451</v>
      </c>
      <c r="AJ16" s="14">
        <f>AI16*VLOOKUP('Données projet'!$B$10,Paramètres!$A$1:$I$89,3,0)*VLOOKUP('Données projet'!$B$10,Paramètres!$A$1:$I$89,5,0)</f>
        <v>3.4912472957146754</v>
      </c>
      <c r="AK16" s="14">
        <f t="shared" si="35"/>
        <v>1.3910083400895945</v>
      </c>
      <c r="AL16" s="22">
        <f t="shared" si="4"/>
        <v>8.5032618990257713</v>
      </c>
      <c r="AM16" s="62">
        <f t="shared" si="5"/>
        <v>281.05881745458129</v>
      </c>
      <c r="AN16" s="62">
        <f ca="1">AVERAGE(OFFSET($AM$3,0,0,'Données projet'!$E$10+1,1))-AVERAGE(OFFSET($H$3,0,0,'Données projet'!$E$10+1,1))</f>
        <v>245.47494516762282</v>
      </c>
      <c r="AO16" s="62">
        <f t="shared" si="36"/>
        <v>145.54897745089966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10.272227535089344</v>
      </c>
      <c r="BF16" s="14">
        <f t="shared" si="37"/>
        <v>3.6095987912522753</v>
      </c>
      <c r="BG16" s="22">
        <f t="shared" si="7"/>
        <v>24.177514185044988</v>
      </c>
      <c r="BH16" s="62">
        <f t="shared" si="8"/>
        <v>296.73306974060051</v>
      </c>
      <c r="BI16" s="62">
        <f ca="1">AVERAGE(OFFSET($BH$3,0,0,'Données projet'!$E$11+1,1))-AVERAGE(OFFSET($H$3,0,0,'Données projet'!$E$11+1,1))</f>
        <v>430.21146937947236</v>
      </c>
      <c r="BJ16" s="62">
        <f t="shared" si="38"/>
        <v>231.36959598460686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2">
        <f t="shared" si="11"/>
        <v>316.64858257249887</v>
      </c>
      <c r="CD16" s="62">
        <f ca="1">AVERAGE(OFFSET($CC$3,0,0,'Données projet'!$E$12+1,1))-AVERAGE(OFFSET($H$3,0,0,'Données projet'!$E$12+1,1))</f>
        <v>299.07024205218266</v>
      </c>
      <c r="CE16" s="62">
        <f t="shared" si="40"/>
        <v>328.70296497136366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1.4957264957264955</v>
      </c>
      <c r="CT16" s="13">
        <f>IF('Données projet'!$A$140&gt;35,CT15+CS16-DB15,IF(A16&lt;'Données projet'!$A$140,$CQ$205^A16,IF(A16='Données projet'!$A$140,'Données projet'!$B$140,CT15+CS16-DB15)))</f>
        <v>14.81895752371207</v>
      </c>
      <c r="CU16" s="18">
        <f>CT16*VLOOKUP('Données projet'!$B$13,Paramètres!$A$1:$I$89,3,0)*VLOOKUP('Données projet'!$B$13,Paramètres!$A$1:$I$89,5,0)</f>
        <v>14.101719979564407</v>
      </c>
      <c r="CV16" s="14">
        <f t="shared" si="41"/>
        <v>4.7758302338446281</v>
      </c>
      <c r="CW16" s="22">
        <f t="shared" si="13"/>
        <v>32.878399955020733</v>
      </c>
      <c r="CX16" s="62">
        <f t="shared" si="14"/>
        <v>305.43395551057625</v>
      </c>
      <c r="CY16" s="62">
        <f ca="1">AVERAGE(OFFSET($CX$3,0,0,'Données projet'!$E$13+1,1))-AVERAGE(OFFSET($H$3,0,0,'Données projet'!$E$13+1,1))</f>
        <v>300.36889324671682</v>
      </c>
      <c r="CZ16" s="62">
        <f t="shared" si="42"/>
        <v>214.36051699039683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2">
        <f t="shared" si="0"/>
        <v>306.14877929230755</v>
      </c>
      <c r="S17" s="62">
        <f ca="1">AVERAGE(OFFSET($R$3,0,0,'Données projet'!$E$9+1,1))-AVERAGE(OFFSET($H$3,0,0,'Données projet'!$E$9+1,1))</f>
        <v>477.00263959594946</v>
      </c>
      <c r="T17" s="62">
        <f t="shared" si="34"/>
        <v>254.25036207346591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3.4425641025641025</v>
      </c>
      <c r="AI17" s="14">
        <f>IF('Données projet'!$A$62&gt;35,AI16+AH17-AQ16,IF(A17&lt;'Données projet'!$A$62,$AF$205^A17,IF(A17='Données projet'!$A$62,'Données projet'!$B$62,AI16+AH17-AQ16)))</f>
        <v>8.7069931392376674</v>
      </c>
      <c r="AJ17" s="14">
        <f>AI17*VLOOKUP('Données projet'!$B$10,Paramètres!$A$1:$I$89,3,0)*VLOOKUP('Données projet'!$B$10,Paramètres!$A$1:$I$89,5,0)</f>
        <v>4.0748727891632281</v>
      </c>
      <c r="AK17" s="14">
        <f t="shared" si="35"/>
        <v>1.5945892948181934</v>
      </c>
      <c r="AL17" s="22">
        <f t="shared" si="4"/>
        <v>9.8743131296009761</v>
      </c>
      <c r="AM17" s="62">
        <f t="shared" si="5"/>
        <v>283.65209090737875</v>
      </c>
      <c r="AN17" s="62">
        <f ca="1">AVERAGE(OFFSET($AM$3,0,0,'Données projet'!$E$10+1,1))-AVERAGE(OFFSET($H$3,0,0,'Données projet'!$E$10+1,1))</f>
        <v>245.47494516762282</v>
      </c>
      <c r="AO17" s="62">
        <f t="shared" si="36"/>
        <v>145.54897745089966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12.383034850580612</v>
      </c>
      <c r="BF17" s="14">
        <f t="shared" si="37"/>
        <v>4.2576904771143838</v>
      </c>
      <c r="BG17" s="22">
        <f t="shared" si="7"/>
        <v>28.982596612402116</v>
      </c>
      <c r="BH17" s="62">
        <f t="shared" si="8"/>
        <v>302.76037439017989</v>
      </c>
      <c r="BI17" s="62">
        <f ca="1">AVERAGE(OFFSET($BH$3,0,0,'Données projet'!$E$11+1,1))-AVERAGE(OFFSET($H$3,0,0,'Données projet'!$E$11+1,1))</f>
        <v>430.21146937947236</v>
      </c>
      <c r="BJ17" s="62">
        <f t="shared" si="38"/>
        <v>231.36959598460686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2">
        <f t="shared" si="11"/>
        <v>329.77204569188632</v>
      </c>
      <c r="CD17" s="62">
        <f ca="1">AVERAGE(OFFSET($CC$3,0,0,'Données projet'!$E$12+1,1))-AVERAGE(OFFSET($H$3,0,0,'Données projet'!$E$12+1,1))</f>
        <v>299.07024205218266</v>
      </c>
      <c r="CE17" s="62">
        <f t="shared" si="40"/>
        <v>328.70296497136366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1.4957264957264955</v>
      </c>
      <c r="CT17" s="13">
        <f>IF('Données projet'!$A$140&gt;35,CT16+CS17-DB16,IF(A17&lt;'Données projet'!$A$140,$CQ$205^A17,IF(A17='Données projet'!$A$140,'Données projet'!$B$140,CT16+CS17-DB16)))</f>
        <v>18.233941184201644</v>
      </c>
      <c r="CU17" s="18">
        <f>CT17*VLOOKUP('Données projet'!$B$13,Paramètres!$A$1:$I$89,3,0)*VLOOKUP('Données projet'!$B$13,Paramètres!$A$1:$I$89,5,0)</f>
        <v>17.351418430886284</v>
      </c>
      <c r="CV17" s="14">
        <f t="shared" si="41"/>
        <v>5.7362550866328705</v>
      </c>
      <c r="CW17" s="22">
        <f t="shared" si="13"/>
        <v>40.211031376345858</v>
      </c>
      <c r="CX17" s="62">
        <f t="shared" si="14"/>
        <v>313.9888091541236</v>
      </c>
      <c r="CY17" s="62">
        <f ca="1">AVERAGE(OFFSET($CX$3,0,0,'Données projet'!$E$13+1,1))-AVERAGE(OFFSET($H$3,0,0,'Données projet'!$E$13+1,1))</f>
        <v>300.36889324671682</v>
      </c>
      <c r="CZ17" s="62">
        <f t="shared" si="42"/>
        <v>214.36051699039683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2">
        <f t="shared" si="0"/>
        <v>313.81008211298388</v>
      </c>
      <c r="S18" s="62">
        <f ca="1">AVERAGE(OFFSET($R$3,0,0,'Données projet'!$E$9+1,1))-AVERAGE(OFFSET($H$3,0,0,'Données projet'!$E$9+1,1))</f>
        <v>477.00263959594946</v>
      </c>
      <c r="T18" s="62">
        <f t="shared" si="34"/>
        <v>254.25036207346591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3.4425641025641025</v>
      </c>
      <c r="AI18" s="14">
        <f>IF('Données projet'!$A$62&gt;35,AI17+AH18-AQ17,IF(A18&lt;'Données projet'!$A$62,$AF$205^A18,IF(A18='Données projet'!$A$62,'Données projet'!$B$62,AI17+AH18-AQ17)))</f>
        <v>10.162525428107084</v>
      </c>
      <c r="AJ18" s="14">
        <f>AI18*VLOOKUP('Données projet'!$B$10,Paramètres!$A$1:$I$89,3,0)*VLOOKUP('Données projet'!$B$10,Paramètres!$A$1:$I$89,5,0)</f>
        <v>4.7560619003541156</v>
      </c>
      <c r="AK18" s="14">
        <f t="shared" si="35"/>
        <v>1.8279653298016947</v>
      </c>
      <c r="AL18" s="22">
        <f t="shared" si="4"/>
        <v>11.467180759188034</v>
      </c>
      <c r="AM18" s="62">
        <f t="shared" si="5"/>
        <v>286.46718075918801</v>
      </c>
      <c r="AN18" s="62">
        <f ca="1">AVERAGE(OFFSET($AM$3,0,0,'Données projet'!$E$10+1,1))-AVERAGE(OFFSET($H$3,0,0,'Données projet'!$E$10+1,1))</f>
        <v>245.47494516762282</v>
      </c>
      <c r="AO18" s="62">
        <f t="shared" si="36"/>
        <v>145.54897745089966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14.927585237660953</v>
      </c>
      <c r="BF18" s="14">
        <f t="shared" si="37"/>
        <v>5.0221449106318534</v>
      </c>
      <c r="BG18" s="22">
        <f t="shared" si="7"/>
        <v>34.745780008276633</v>
      </c>
      <c r="BH18" s="62">
        <f t="shared" si="8"/>
        <v>309.74578000827665</v>
      </c>
      <c r="BI18" s="62">
        <f ca="1">AVERAGE(OFFSET($BH$3,0,0,'Données projet'!$E$11+1,1))-AVERAGE(OFFSET($H$3,0,0,'Données projet'!$E$11+1,1))</f>
        <v>430.21146937947236</v>
      </c>
      <c r="BJ18" s="62">
        <f t="shared" si="38"/>
        <v>231.36959598460686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2">
        <f t="shared" si="11"/>
        <v>346.11846028285146</v>
      </c>
      <c r="CD18" s="62">
        <f ca="1">AVERAGE(OFFSET($CC$3,0,0,'Données projet'!$E$12+1,1))-AVERAGE(OFFSET($H$3,0,0,'Données projet'!$E$12+1,1))</f>
        <v>299.07024205218266</v>
      </c>
      <c r="CE18" s="62">
        <f t="shared" si="40"/>
        <v>328.70296497136366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22.435897435897434</v>
      </c>
      <c r="CR18" s="13">
        <f>VLOOKUP(A18,'Données projet'!$A$139:$I$159,9,0)</f>
        <v>1.4957264957264955</v>
      </c>
      <c r="CS18" s="13">
        <f t="array" ref="CS18">INDEX(CR:CR,MIN(IF(ISNUMBER(CR18:CR214),ROW(CR18:CR214),"")))</f>
        <v>1.4957264957264955</v>
      </c>
      <c r="CT18" s="13">
        <f>IF('Données projet'!$A$140&gt;35,CT17+CS18-DB17,IF(A18&lt;'Données projet'!$A$140,$CQ$205^A18,IF(A18='Données projet'!$A$140,'Données projet'!$B$140,CT17+CS18-DB17)))</f>
        <v>22.435897435897434</v>
      </c>
      <c r="CU18" s="18">
        <f>CT18*VLOOKUP('Données projet'!$B$13,Paramètres!$A$1:$I$89,3,0)*VLOOKUP('Données projet'!$B$13,Paramètres!$A$1:$I$89,5,0)</f>
        <v>21.349999999999998</v>
      </c>
      <c r="CV18" s="14">
        <f t="shared" si="41"/>
        <v>6.8898224618073698</v>
      </c>
      <c r="CW18" s="22">
        <f t="shared" si="13"/>
        <v>49.184357454314494</v>
      </c>
      <c r="CX18" s="62">
        <f t="shared" si="14"/>
        <v>324.18435745431452</v>
      </c>
      <c r="CY18" s="62">
        <f ca="1">AVERAGE(OFFSET($CX$3,0,0,'Données projet'!$E$13+1,1))-AVERAGE(OFFSET($H$3,0,0,'Données projet'!$E$13+1,1))</f>
        <v>300.36889324671682</v>
      </c>
      <c r="CZ18" s="62">
        <f t="shared" si="42"/>
        <v>214.36051699039683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2">
        <f t="shared" si="0"/>
        <v>322.75633550905911</v>
      </c>
      <c r="S19" s="62">
        <f ca="1">AVERAGE(OFFSET($R$3,0,0,'Données projet'!$E$9+1,1))-AVERAGE(OFFSET($H$3,0,0,'Données projet'!$E$9+1,1))</f>
        <v>477.00263959594946</v>
      </c>
      <c r="T19" s="62">
        <f t="shared" si="34"/>
        <v>254.25036207346591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3.4425641025641025</v>
      </c>
      <c r="AI19" s="14">
        <f>IF('Données projet'!$A$62&gt;35,AI18+AH19-AQ18,IF(A19&lt;'Données projet'!$A$62,$AF$205^A19,IF(A19='Données projet'!$A$62,'Données projet'!$B$62,AI18+AH19-AQ18)))</f>
        <v>11.861376416102864</v>
      </c>
      <c r="AJ19" s="14">
        <f>AI19*VLOOKUP('Données projet'!$B$10,Paramètres!$A$1:$I$89,3,0)*VLOOKUP('Données projet'!$B$10,Paramètres!$A$1:$I$89,5,0)</f>
        <v>5.5511241627361398</v>
      </c>
      <c r="AK19" s="14">
        <f t="shared" si="35"/>
        <v>2.0954971024924585</v>
      </c>
      <c r="AL19" s="22">
        <f t="shared" si="4"/>
        <v>13.31786537027314</v>
      </c>
      <c r="AM19" s="62">
        <f t="shared" si="5"/>
        <v>289.54008759249535</v>
      </c>
      <c r="AN19" s="62">
        <f ca="1">AVERAGE(OFFSET($AM$3,0,0,'Données projet'!$E$10+1,1))-AVERAGE(OFFSET($H$3,0,0,'Données projet'!$E$10+1,1))</f>
        <v>245.47494516762282</v>
      </c>
      <c r="AO19" s="62">
        <f t="shared" si="36"/>
        <v>145.54897745089966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17.995007178485412</v>
      </c>
      <c r="BF19" s="14">
        <f t="shared" si="37"/>
        <v>5.9238546434872337</v>
      </c>
      <c r="BG19" s="22">
        <f t="shared" si="7"/>
        <v>41.658684339935689</v>
      </c>
      <c r="BH19" s="62">
        <f t="shared" si="8"/>
        <v>317.88090656215792</v>
      </c>
      <c r="BI19" s="62">
        <f ca="1">AVERAGE(OFFSET($BH$3,0,0,'Données projet'!$E$11+1,1))-AVERAGE(OFFSET($H$3,0,0,'Données projet'!$E$11+1,1))</f>
        <v>430.21146937947236</v>
      </c>
      <c r="BJ19" s="62">
        <f t="shared" si="38"/>
        <v>231.36959598460686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49.6</v>
      </c>
      <c r="BZ19" s="14">
        <f>BY19*VLOOKUP('Données projet'!$B$12,Paramètres!$A$1:$I$89,3,0)*VLOOKUP('Données projet'!$B$12,Paramètres!$A$1:$I$89,5,0)</f>
        <v>38.688000000000002</v>
      </c>
      <c r="CA19" s="14">
        <f t="shared" si="39"/>
        <v>11.650229083154354</v>
      </c>
      <c r="CB19" s="22">
        <f t="shared" si="10"/>
        <v>87.672415653160499</v>
      </c>
      <c r="CC19" s="62">
        <f t="shared" si="11"/>
        <v>363.89463787538273</v>
      </c>
      <c r="CD19" s="62">
        <f ca="1">AVERAGE(OFFSET($CC$3,0,0,'Données projet'!$E$12+1,1))-AVERAGE(OFFSET($H$3,0,0,'Données projet'!$E$12+1,1))</f>
        <v>299.07024205218266</v>
      </c>
      <c r="CE19" s="62">
        <f t="shared" si="40"/>
        <v>328.70296497136366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4.4871794871794872</v>
      </c>
      <c r="CT19" s="13">
        <f>IF('Données projet'!$A$140&gt;35,CT18+CS19-DB18,IF(A19&lt;'Données projet'!$A$140,$CQ$205^A19,IF(A19='Données projet'!$A$140,'Données projet'!$B$140,CT18+CS19-DB18)))</f>
        <v>26.92307692307692</v>
      </c>
      <c r="CU19" s="18">
        <f>CT19*VLOOKUP('Données projet'!$B$13,Paramètres!$A$1:$I$89,3,0)*VLOOKUP('Données projet'!$B$13,Paramètres!$A$1:$I$89,5,0)</f>
        <v>25.619999999999997</v>
      </c>
      <c r="CV19" s="14">
        <f t="shared" si="41"/>
        <v>8.0941748185764109</v>
      </c>
      <c r="CW19" s="22">
        <f t="shared" si="13"/>
        <v>58.718854475687237</v>
      </c>
      <c r="CX19" s="62">
        <f t="shared" si="14"/>
        <v>334.94107669790947</v>
      </c>
      <c r="CY19" s="62">
        <f ca="1">AVERAGE(OFFSET($CX$3,0,0,'Données projet'!$E$13+1,1))-AVERAGE(OFFSET($H$3,0,0,'Données projet'!$E$13+1,1))</f>
        <v>300.36889324671682</v>
      </c>
      <c r="CZ19" s="62">
        <f t="shared" si="42"/>
        <v>214.36051699039683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2">
        <f t="shared" si="0"/>
        <v>333.24472198839982</v>
      </c>
      <c r="S20" s="62">
        <f ca="1">AVERAGE(OFFSET($R$3,0,0,'Données projet'!$E$9+1,1))-AVERAGE(OFFSET($H$3,0,0,'Données projet'!$E$9+1,1))</f>
        <v>477.00263959594946</v>
      </c>
      <c r="T20" s="62">
        <f t="shared" si="34"/>
        <v>254.25036207346591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3.4425641025641025</v>
      </c>
      <c r="AI20" s="14">
        <f>IF('Données projet'!$A$62&gt;35,AI19+AH20-AQ19,IF(A20&lt;'Données projet'!$A$62,$AF$205^A20,IF(A20='Données projet'!$A$62,'Données projet'!$B$62,AI19+AH20-AQ19)))</f>
        <v>13.84422124990315</v>
      </c>
      <c r="AJ20" s="14">
        <f>AI20*VLOOKUP('Données projet'!$B$10,Paramètres!$A$1:$I$89,3,0)*VLOOKUP('Données projet'!$B$10,Paramètres!$A$1:$I$89,5,0)</f>
        <v>6.4790955449546734</v>
      </c>
      <c r="AK20" s="14">
        <f t="shared" si="35"/>
        <v>2.4021834741420709</v>
      </c>
      <c r="AL20" s="22">
        <f t="shared" si="4"/>
        <v>15.468227624926827</v>
      </c>
      <c r="AM20" s="62">
        <f t="shared" si="5"/>
        <v>292.9126720693713</v>
      </c>
      <c r="AN20" s="62">
        <f ca="1">AVERAGE(OFFSET($AM$3,0,0,'Données projet'!$E$10+1,1))-AVERAGE(OFFSET($H$3,0,0,'Données projet'!$E$10+1,1))</f>
        <v>245.47494516762282</v>
      </c>
      <c r="AO20" s="62">
        <f t="shared" si="36"/>
        <v>145.54897745089966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21.692743883101215</v>
      </c>
      <c r="BF20" s="14">
        <f t="shared" si="37"/>
        <v>6.98746341685115</v>
      </c>
      <c r="BG20" s="22">
        <f t="shared" si="7"/>
        <v>49.951361047417038</v>
      </c>
      <c r="BH20" s="62">
        <f t="shared" si="8"/>
        <v>327.39580549186149</v>
      </c>
      <c r="BI20" s="62">
        <f ca="1">AVERAGE(OFFSET($BH$3,0,0,'Données projet'!$E$11+1,1))-AVERAGE(OFFSET($H$3,0,0,'Données projet'!$E$11+1,1))</f>
        <v>430.21146937947236</v>
      </c>
      <c r="BJ20" s="62">
        <f t="shared" si="38"/>
        <v>231.36959598460686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59.2</v>
      </c>
      <c r="BZ20" s="14">
        <f>BY20*VLOOKUP('Données projet'!$B$12,Paramètres!$A$1:$I$89,3,0)*VLOOKUP('Données projet'!$B$12,Paramètres!$A$1:$I$89,5,0)</f>
        <v>46.176000000000002</v>
      </c>
      <c r="CA20" s="14">
        <f t="shared" si="39"/>
        <v>13.621668778540489</v>
      </c>
      <c r="CB20" s="22">
        <f t="shared" si="10"/>
        <v>104.14760645595801</v>
      </c>
      <c r="CC20" s="62">
        <f t="shared" si="11"/>
        <v>381.59205090040246</v>
      </c>
      <c r="CD20" s="62">
        <f ca="1">AVERAGE(OFFSET($CC$3,0,0,'Données projet'!$E$12+1,1))-AVERAGE(OFFSET($H$3,0,0,'Données projet'!$E$12+1,1))</f>
        <v>299.07024205218266</v>
      </c>
      <c r="CE20" s="62">
        <f t="shared" si="40"/>
        <v>328.70296497136366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4.4871794871794872</v>
      </c>
      <c r="CT20" s="13">
        <f>IF('Données projet'!$A$140&gt;35,CT19+CS20-DB19,IF(A20&lt;'Données projet'!$A$140,$CQ$205^A20,IF(A20='Données projet'!$A$140,'Données projet'!$B$140,CT19+CS20-DB19)))</f>
        <v>31.410256410256409</v>
      </c>
      <c r="CU20" s="18">
        <f>CT20*VLOOKUP('Données projet'!$B$13,Paramètres!$A$1:$I$89,3,0)*VLOOKUP('Données projet'!$B$13,Paramètres!$A$1:$I$89,5,0)</f>
        <v>29.889999999999997</v>
      </c>
      <c r="CV20" s="14">
        <f t="shared" si="41"/>
        <v>9.2752743303749234</v>
      </c>
      <c r="CW20" s="22">
        <f t="shared" si="13"/>
        <v>68.212852792069654</v>
      </c>
      <c r="CX20" s="62">
        <f t="shared" si="14"/>
        <v>345.65729723651413</v>
      </c>
      <c r="CY20" s="62">
        <f ca="1">AVERAGE(OFFSET($CX$3,0,0,'Données projet'!$E$13+1,1))-AVERAGE(OFFSET($H$3,0,0,'Données projet'!$E$13+1,1))</f>
        <v>300.36889324671682</v>
      </c>
      <c r="CZ20" s="62">
        <f t="shared" si="42"/>
        <v>214.36051699039683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2">
        <f t="shared" si="0"/>
        <v>345.58404036091088</v>
      </c>
      <c r="S21" s="62">
        <f ca="1">AVERAGE(OFFSET($R$3,0,0,'Données projet'!$E$9+1,1))-AVERAGE(OFFSET($H$3,0,0,'Données projet'!$E$9+1,1))</f>
        <v>477.00263959594946</v>
      </c>
      <c r="T21" s="62">
        <f t="shared" si="34"/>
        <v>254.25036207346591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3.4425641025641025</v>
      </c>
      <c r="AI21" s="14">
        <f>IF('Données projet'!$A$62&gt;35,AI20+AH21-AQ20,IF(A21&lt;'Données projet'!$A$62,$AF$205^A21,IF(A21='Données projet'!$A$62,'Données projet'!$B$62,AI20+AH21-AQ20)))</f>
        <v>16.158534666859676</v>
      </c>
      <c r="AJ21" s="14">
        <f>AI21*VLOOKUP('Données projet'!$B$10,Paramètres!$A$1:$I$89,3,0)*VLOOKUP('Données projet'!$B$10,Paramètres!$A$1:$I$89,5,0)</f>
        <v>7.5621942240903284</v>
      </c>
      <c r="AK21" s="14">
        <f t="shared" si="35"/>
        <v>2.7537549140858508</v>
      </c>
      <c r="AL21" s="22">
        <f t="shared" si="4"/>
        <v>17.96694474899018</v>
      </c>
      <c r="AM21" s="62">
        <f t="shared" si="5"/>
        <v>296.63361141565684</v>
      </c>
      <c r="AN21" s="62">
        <f ca="1">AVERAGE(OFFSET($AM$3,0,0,'Données projet'!$E$10+1,1))-AVERAGE(OFFSET($H$3,0,0,'Données projet'!$E$10+1,1))</f>
        <v>245.47494516762282</v>
      </c>
      <c r="AO21" s="62">
        <f t="shared" si="36"/>
        <v>145.54897745089966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26.150316724543362</v>
      </c>
      <c r="BF21" s="14">
        <f t="shared" si="37"/>
        <v>8.2420396752158016</v>
      </c>
      <c r="BG21" s="22">
        <f t="shared" si="7"/>
        <v>59.900020729580547</v>
      </c>
      <c r="BH21" s="62">
        <f t="shared" si="8"/>
        <v>338.56668739624723</v>
      </c>
      <c r="BI21" s="62">
        <f ca="1">AVERAGE(OFFSET($BH$3,0,0,'Données projet'!$E$11+1,1))-AVERAGE(OFFSET($H$3,0,0,'Données projet'!$E$11+1,1))</f>
        <v>430.21146937947236</v>
      </c>
      <c r="BJ21" s="62">
        <f t="shared" si="38"/>
        <v>231.36959598460686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68.8</v>
      </c>
      <c r="BZ21" s="14">
        <f>BY21*VLOOKUP('Données projet'!$B$12,Paramètres!$A$1:$I$89,3,0)*VLOOKUP('Données projet'!$B$12,Paramètres!$A$1:$I$89,5,0)</f>
        <v>53.664000000000001</v>
      </c>
      <c r="CA21" s="14">
        <f t="shared" si="39"/>
        <v>15.556073979202782</v>
      </c>
      <c r="CB21" s="22">
        <f t="shared" si="10"/>
        <v>120.55829551377816</v>
      </c>
      <c r="CC21" s="62">
        <f t="shared" si="11"/>
        <v>399.22496218044483</v>
      </c>
      <c r="CD21" s="62">
        <f ca="1">AVERAGE(OFFSET($CC$3,0,0,'Données projet'!$E$12+1,1))-AVERAGE(OFFSET($H$3,0,0,'Données projet'!$E$12+1,1))</f>
        <v>299.07024205218266</v>
      </c>
      <c r="CE21" s="62">
        <f t="shared" si="40"/>
        <v>328.70296497136366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4.4871794871794872</v>
      </c>
      <c r="CT21" s="13">
        <f>IF('Données projet'!$A$140&gt;35,CT20+CS21-DB20,IF(A21&lt;'Données projet'!$A$140,$CQ$205^A21,IF(A21='Données projet'!$A$140,'Données projet'!$B$140,CT20+CS21-DB20)))</f>
        <v>35.897435897435898</v>
      </c>
      <c r="CU21" s="18">
        <f>CT21*VLOOKUP('Données projet'!$B$13,Paramètres!$A$1:$I$89,3,0)*VLOOKUP('Données projet'!$B$13,Paramètres!$A$1:$I$89,5,0)</f>
        <v>34.160000000000004</v>
      </c>
      <c r="CV21" s="14">
        <f t="shared" si="41"/>
        <v>10.436826112054034</v>
      </c>
      <c r="CW21" s="22">
        <f t="shared" si="13"/>
        <v>77.672805478494112</v>
      </c>
      <c r="CX21" s="62">
        <f t="shared" si="14"/>
        <v>356.33947214516081</v>
      </c>
      <c r="CY21" s="62">
        <f ca="1">AVERAGE(OFFSET($CX$3,0,0,'Données projet'!$E$13+1,1))-AVERAGE(OFFSET($H$3,0,0,'Données projet'!$E$13+1,1))</f>
        <v>300.36889324671682</v>
      </c>
      <c r="CZ21" s="62">
        <f t="shared" si="42"/>
        <v>214.36051699039683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2">
        <f t="shared" si="0"/>
        <v>360.14509112992164</v>
      </c>
      <c r="S22" s="62">
        <f ca="1">AVERAGE(OFFSET($R$3,0,0,'Données projet'!$E$9+1,1))-AVERAGE(OFFSET($H$3,0,0,'Données projet'!$E$9+1,1))</f>
        <v>477.00263959594946</v>
      </c>
      <c r="T22" s="62">
        <f t="shared" si="34"/>
        <v>254.25036207346591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3.4425641025641025</v>
      </c>
      <c r="AI22" s="14">
        <f>IF('Données projet'!$A$62&gt;35,AI21+AH22-AQ21,IF(A22&lt;'Données projet'!$A$62,$AF$205^A22,IF(A22='Données projet'!$A$62,'Données projet'!$B$62,AI21+AH22-AQ21)))</f>
        <v>18.859727670267663</v>
      </c>
      <c r="AJ22" s="14">
        <f>AI22*VLOOKUP('Données projet'!$B$10,Paramètres!$A$1:$I$89,3,0)*VLOOKUP('Données projet'!$B$10,Paramètres!$A$1:$I$89,5,0)</f>
        <v>8.8263525496852662</v>
      </c>
      <c r="AK22" s="14">
        <f t="shared" si="35"/>
        <v>3.1567805742066648</v>
      </c>
      <c r="AL22" s="22">
        <f t="shared" si="4"/>
        <v>20.870623524111782</v>
      </c>
      <c r="AM22" s="62">
        <f t="shared" si="5"/>
        <v>300.75951241300066</v>
      </c>
      <c r="AN22" s="62">
        <f ca="1">AVERAGE(OFFSET($AM$3,0,0,'Données projet'!$E$10+1,1))-AVERAGE(OFFSET($H$3,0,0,'Données projet'!$E$10+1,1))</f>
        <v>245.47494516762282</v>
      </c>
      <c r="AO22" s="62">
        <f t="shared" si="36"/>
        <v>145.54897745089966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31.52386201022027</v>
      </c>
      <c r="BF22" s="14">
        <f t="shared" si="37"/>
        <v>9.7218710074397983</v>
      </c>
      <c r="BG22" s="22">
        <f t="shared" si="7"/>
        <v>71.836318339091292</v>
      </c>
      <c r="BH22" s="62">
        <f t="shared" si="8"/>
        <v>351.72520722798015</v>
      </c>
      <c r="BI22" s="62">
        <f ca="1">AVERAGE(OFFSET($BH$3,0,0,'Données projet'!$E$11+1,1))-AVERAGE(OFFSET($H$3,0,0,'Données projet'!$E$11+1,1))</f>
        <v>430.21146937947236</v>
      </c>
      <c r="BJ22" s="62">
        <f t="shared" si="38"/>
        <v>231.36959598460686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78.399999999999991</v>
      </c>
      <c r="BZ22" s="14">
        <f>BY22*VLOOKUP('Données projet'!$B$12,Paramètres!$A$1:$I$89,3,0)*VLOOKUP('Données projet'!$B$12,Paramètres!$A$1:$I$89,5,0)</f>
        <v>61.151999999999994</v>
      </c>
      <c r="CA22" s="14">
        <f t="shared" si="39"/>
        <v>17.459207591071255</v>
      </c>
      <c r="CB22" s="22">
        <f t="shared" si="10"/>
        <v>136.9145198877824</v>
      </c>
      <c r="CC22" s="62">
        <f t="shared" si="11"/>
        <v>416.80340877667129</v>
      </c>
      <c r="CD22" s="62">
        <f ca="1">AVERAGE(OFFSET($CC$3,0,0,'Données projet'!$E$12+1,1))-AVERAGE(OFFSET($H$3,0,0,'Données projet'!$E$12+1,1))</f>
        <v>299.07024205218266</v>
      </c>
      <c r="CE22" s="62">
        <f t="shared" si="40"/>
        <v>328.70296497136366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4.4871794871794872</v>
      </c>
      <c r="CT22" s="13">
        <f>IF('Données projet'!$A$140&gt;35,CT21+CS22-DB21,IF(A22&lt;'Données projet'!$A$140,$CQ$205^A22,IF(A22='Données projet'!$A$140,'Données projet'!$B$140,CT21+CS22-DB21)))</f>
        <v>40.384615384615387</v>
      </c>
      <c r="CU22" s="18">
        <f>CT22*VLOOKUP('Données projet'!$B$13,Paramètres!$A$1:$I$89,3,0)*VLOOKUP('Données projet'!$B$13,Paramètres!$A$1:$I$89,5,0)</f>
        <v>38.430000000000007</v>
      </c>
      <c r="CV22" s="14">
        <f t="shared" si="41"/>
        <v>11.581553470162158</v>
      </c>
      <c r="CW22" s="22">
        <f t="shared" si="13"/>
        <v>87.103455627199097</v>
      </c>
      <c r="CX22" s="62">
        <f t="shared" si="14"/>
        <v>366.99234451608794</v>
      </c>
      <c r="CY22" s="62">
        <f ca="1">AVERAGE(OFFSET($CX$3,0,0,'Données projet'!$E$13+1,1))-AVERAGE(OFFSET($H$3,0,0,'Données projet'!$E$13+1,1))</f>
        <v>300.36889324671682</v>
      </c>
      <c r="CZ22" s="62">
        <f t="shared" si="42"/>
        <v>214.36051699039683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2">
        <f t="shared" si="0"/>
        <v>377.37315625071483</v>
      </c>
      <c r="S23" s="62">
        <f ca="1">AVERAGE(OFFSET($R$3,0,0,'Données projet'!$E$9+1,1))-AVERAGE(OFFSET($H$3,0,0,'Données projet'!$E$9+1,1))</f>
        <v>477.00263959594946</v>
      </c>
      <c r="T23" s="62">
        <f t="shared" si="34"/>
        <v>254.25036207346591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3.4425641025641025</v>
      </c>
      <c r="AI23" s="14">
        <f>IF('Données projet'!$A$62&gt;35,AI22+AH23-AQ22,IF(A23&lt;'Données projet'!$A$62,$AF$205^A23,IF(A23='Données projet'!$A$62,'Données projet'!$B$62,AI22+AH23-AQ22)))</f>
        <v>22.012474220583886</v>
      </c>
      <c r="AJ23" s="14">
        <f>AI23*VLOOKUP('Données projet'!$B$10,Paramètres!$A$1:$I$89,3,0)*VLOOKUP('Données projet'!$B$10,Paramètres!$A$1:$I$89,5,0)</f>
        <v>10.301837935233259</v>
      </c>
      <c r="AK23" s="14">
        <f t="shared" si="35"/>
        <v>3.6187910342764393</v>
      </c>
      <c r="AL23" s="22">
        <f t="shared" si="4"/>
        <v>24.245095455229389</v>
      </c>
      <c r="AM23" s="62">
        <f t="shared" si="5"/>
        <v>305.35620656634052</v>
      </c>
      <c r="AN23" s="62">
        <f ca="1">AVERAGE(OFFSET($AM$3,0,0,'Données projet'!$E$10+1,1))-AVERAGE(OFFSET($H$3,0,0,'Données projet'!$E$10+1,1))</f>
        <v>245.47494516762282</v>
      </c>
      <c r="AO23" s="62">
        <f t="shared" si="36"/>
        <v>145.54897745089966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38.001600000000003</v>
      </c>
      <c r="BF23" s="14">
        <f t="shared" si="37"/>
        <v>11.467401227090512</v>
      </c>
      <c r="BG23" s="22">
        <f t="shared" si="7"/>
        <v>86.158510470515978</v>
      </c>
      <c r="BH23" s="62">
        <f t="shared" si="8"/>
        <v>367.26962158162712</v>
      </c>
      <c r="BI23" s="62">
        <f ca="1">AVERAGE(OFFSET($BH$3,0,0,'Données projet'!$E$11+1,1))-AVERAGE(OFFSET($H$3,0,0,'Données projet'!$E$11+1,1))</f>
        <v>430.21146937947236</v>
      </c>
      <c r="BJ23" s="62">
        <f t="shared" si="38"/>
        <v>231.36959598460686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88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87.999999999999986</v>
      </c>
      <c r="BZ23" s="14">
        <f>BY23*VLOOKUP('Données projet'!$B$12,Paramètres!$A$1:$I$89,3,0)*VLOOKUP('Données projet'!$B$12,Paramètres!$A$1:$I$89,5,0)</f>
        <v>68.639999999999986</v>
      </c>
      <c r="CA23" s="14">
        <f t="shared" si="39"/>
        <v>19.335336956640202</v>
      </c>
      <c r="CB23" s="22">
        <f t="shared" si="10"/>
        <v>153.22371186614834</v>
      </c>
      <c r="CC23" s="62">
        <f t="shared" si="11"/>
        <v>434.33482297725948</v>
      </c>
      <c r="CD23" s="62">
        <f ca="1">AVERAGE(OFFSET($CC$3,0,0,'Données projet'!$E$12+1,1))-AVERAGE(OFFSET($H$3,0,0,'Données projet'!$E$12+1,1))</f>
        <v>299.07024205218266</v>
      </c>
      <c r="CE23" s="62">
        <f t="shared" si="40"/>
        <v>328.70296497136366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28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44.871794871794869</v>
      </c>
      <c r="CR23" s="13">
        <f>VLOOKUP(A23,'Données projet'!$A$139:$I$159,9,0)</f>
        <v>4.4871794871794872</v>
      </c>
      <c r="CS23" s="13">
        <f t="array" ref="CS23">INDEX(CR:CR,MIN(IF(ISNUMBER(CR23:CR219),ROW(CR23:CR219),"")))</f>
        <v>4.4871794871794872</v>
      </c>
      <c r="CT23" s="13">
        <f>IF('Données projet'!$A$140&gt;35,CT22+CS23-DB22,IF(A23&lt;'Données projet'!$A$140,$CQ$205^A23,IF(A23='Données projet'!$A$140,'Données projet'!$B$140,CT22+CS23-DB22)))</f>
        <v>44.871794871794876</v>
      </c>
      <c r="CU23" s="18">
        <f>CT23*VLOOKUP('Données projet'!$B$13,Paramètres!$A$1:$I$89,3,0)*VLOOKUP('Données projet'!$B$13,Paramètres!$A$1:$I$89,5,0)</f>
        <v>42.7</v>
      </c>
      <c r="CV23" s="14">
        <f t="shared" si="41"/>
        <v>12.711539029096146</v>
      </c>
      <c r="CW23" s="22">
        <f t="shared" si="13"/>
        <v>96.50843047567578</v>
      </c>
      <c r="CX23" s="62">
        <f t="shared" si="14"/>
        <v>377.61954158678691</v>
      </c>
      <c r="CY23" s="62">
        <f ca="1">AVERAGE(OFFSET($CX$3,0,0,'Données projet'!$E$13+1,1))-AVERAGE(OFFSET($H$3,0,0,'Données projet'!$E$13+1,1))</f>
        <v>300.36889324671682</v>
      </c>
      <c r="CZ23" s="62">
        <f t="shared" si="42"/>
        <v>214.36051699039683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10.897435897435898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2">
        <f t="shared" si="0"/>
        <v>391.06825607785231</v>
      </c>
      <c r="S24" s="62">
        <f ca="1">AVERAGE(OFFSET($R$3,0,0,'Données projet'!$E$9+1,1))-AVERAGE(OFFSET($H$3,0,0,'Données projet'!$E$9+1,1))</f>
        <v>477.00263959594946</v>
      </c>
      <c r="T24" s="62">
        <f t="shared" si="34"/>
        <v>254.25036207346591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3.4425641025641025</v>
      </c>
      <c r="AI24" s="14">
        <f>IF('Données projet'!$A$62&gt;35,AI23+AH24-AQ23,IF(A24&lt;'Données projet'!$A$62,$AF$205^A24,IF(A24='Données projet'!$A$62,'Données projet'!$B$62,AI23+AH24-AQ23)))</f>
        <v>25.692259707215236</v>
      </c>
      <c r="AJ24" s="14">
        <f>AI24*VLOOKUP('Données projet'!$B$10,Paramètres!$A$1:$I$89,3,0)*VLOOKUP('Données projet'!$B$10,Paramètres!$A$1:$I$89,5,0)</f>
        <v>12.023977542976729</v>
      </c>
      <c r="AK24" s="14">
        <f t="shared" si="35"/>
        <v>4.1484190116858626</v>
      </c>
      <c r="AL24" s="22">
        <f t="shared" si="4"/>
        <v>28.166923999370677</v>
      </c>
      <c r="AM24" s="62">
        <f t="shared" si="5"/>
        <v>310.500257332704</v>
      </c>
      <c r="AN24" s="62">
        <f ca="1">AVERAGE(OFFSET($AM$3,0,0,'Données projet'!$E$10+1,1))-AVERAGE(OFFSET($H$3,0,0,'Données projet'!$E$10+1,1))</f>
        <v>245.47494516762282</v>
      </c>
      <c r="AO24" s="62">
        <f t="shared" si="36"/>
        <v>145.54897745089966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43.068480000000001</v>
      </c>
      <c r="BF24" s="14">
        <f t="shared" si="37"/>
        <v>12.808416415102187</v>
      </c>
      <c r="BG24" s="22">
        <f t="shared" si="7"/>
        <v>97.318927922969635</v>
      </c>
      <c r="BH24" s="62">
        <f t="shared" si="8"/>
        <v>379.65226125630295</v>
      </c>
      <c r="BI24" s="62">
        <f ca="1">AVERAGE(OFFSET($BH$3,0,0,'Données projet'!$E$11+1,1))-AVERAGE(OFFSET($H$3,0,0,'Données projet'!$E$11+1,1))</f>
        <v>430.21146937947236</v>
      </c>
      <c r="BJ24" s="62">
        <f t="shared" si="38"/>
        <v>231.36959598460686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70.59999999999998</v>
      </c>
      <c r="BZ24" s="14">
        <f>BY24*VLOOKUP('Données projet'!$B$12,Paramètres!$A$1:$I$89,3,0)*VLOOKUP('Données projet'!$B$12,Paramètres!$A$1:$I$89,5,0)</f>
        <v>55.067999999999984</v>
      </c>
      <c r="CA24" s="14">
        <f t="shared" si="39"/>
        <v>15.915148294580479</v>
      </c>
      <c r="CB24" s="22">
        <f t="shared" si="10"/>
        <v>123.62898327972762</v>
      </c>
      <c r="CC24" s="62">
        <f t="shared" si="11"/>
        <v>405.96231661306092</v>
      </c>
      <c r="CD24" s="62">
        <f ca="1">AVERAGE(OFFSET($CC$3,0,0,'Données projet'!$E$12+1,1))-AVERAGE(OFFSET($H$3,0,0,'Données projet'!$E$12+1,1))</f>
        <v>299.07024205218266</v>
      </c>
      <c r="CE24" s="62">
        <f t="shared" si="40"/>
        <v>328.70296497136366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4.8717948717948714</v>
      </c>
      <c r="CT24" s="13">
        <f>IF('Données projet'!$A$140&gt;35,CT23+CS24-DB23,IF(A24&lt;'Données projet'!$A$140,$CQ$205^A24,IF(A24='Données projet'!$A$140,'Données projet'!$B$140,CT23+CS24-DB23)))</f>
        <v>38.846153846153847</v>
      </c>
      <c r="CU24" s="18">
        <f>CT24*VLOOKUP('Données projet'!$B$13,Paramètres!$A$1:$I$89,3,0)*VLOOKUP('Données projet'!$B$13,Paramètres!$A$1:$I$89,5,0)</f>
        <v>36.966000000000001</v>
      </c>
      <c r="CV24" s="14">
        <f t="shared" si="41"/>
        <v>11.190830499374716</v>
      </c>
      <c r="CW24" s="22">
        <f t="shared" si="13"/>
        <v>83.873146453077638</v>
      </c>
      <c r="CX24" s="62">
        <f t="shared" si="14"/>
        <v>366.20647978641097</v>
      </c>
      <c r="CY24" s="62">
        <f ca="1">AVERAGE(OFFSET($CX$3,0,0,'Données projet'!$E$13+1,1))-AVERAGE(OFFSET($H$3,0,0,'Données projet'!$E$13+1,1))</f>
        <v>300.36889324671682</v>
      </c>
      <c r="CZ24" s="62">
        <f t="shared" si="42"/>
        <v>214.36051699039683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2">
        <f t="shared" si="0"/>
        <v>404.72813945687091</v>
      </c>
      <c r="S25" s="62">
        <f ca="1">AVERAGE(OFFSET($R$3,0,0,'Données projet'!$E$9+1,1))-AVERAGE(OFFSET($H$3,0,0,'Données projet'!$E$9+1,1))</f>
        <v>477.00263959594946</v>
      </c>
      <c r="T25" s="62">
        <f t="shared" si="34"/>
        <v>254.25036207346591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3.4425641025641025</v>
      </c>
      <c r="AI25" s="14">
        <f>IF('Données projet'!$A$62&gt;35,AI24+AH25-AQ24,IF(A25&lt;'Données projet'!$A$62,$AF$205^A25,IF(A25='Données projet'!$A$62,'Données projet'!$B$62,AI24+AH25-AQ24)))</f>
        <v>29.987188275534368</v>
      </c>
      <c r="AJ25" s="14">
        <f>AI25*VLOOKUP('Données projet'!$B$10,Paramètres!$A$1:$I$89,3,0)*VLOOKUP('Données projet'!$B$10,Paramètres!$A$1:$I$89,5,0)</f>
        <v>14.034004112950084</v>
      </c>
      <c r="AK25" s="14">
        <f t="shared" si="35"/>
        <v>4.7555606647394173</v>
      </c>
      <c r="AL25" s="22">
        <f t="shared" si="4"/>
        <v>32.725158654475884</v>
      </c>
      <c r="AM25" s="62">
        <f t="shared" si="5"/>
        <v>316.28071421003142</v>
      </c>
      <c r="AN25" s="62">
        <f ca="1">AVERAGE(OFFSET($AM$3,0,0,'Données projet'!$E$10+1,1))-AVERAGE(OFFSET($H$3,0,0,'Données projet'!$E$10+1,1))</f>
        <v>245.47494516762282</v>
      </c>
      <c r="AO25" s="62">
        <f t="shared" si="36"/>
        <v>145.54897745089966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48.135359999999999</v>
      </c>
      <c r="BF25" s="14">
        <f t="shared" si="37"/>
        <v>14.131148275361113</v>
      </c>
      <c r="BG25" s="22">
        <f t="shared" si="7"/>
        <v>108.4475019129206</v>
      </c>
      <c r="BH25" s="62">
        <f t="shared" si="8"/>
        <v>392.00305746847613</v>
      </c>
      <c r="BI25" s="62">
        <f ca="1">AVERAGE(OFFSET($BH$3,0,0,'Données projet'!$E$11+1,1))-AVERAGE(OFFSET($H$3,0,0,'Données projet'!$E$11+1,1))</f>
        <v>430.21146937947236</v>
      </c>
      <c r="BJ25" s="62">
        <f t="shared" si="38"/>
        <v>231.36959598460686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81.199999999999974</v>
      </c>
      <c r="BZ25" s="14">
        <f>BY25*VLOOKUP('Données projet'!$B$12,Paramètres!$A$1:$I$89,3,0)*VLOOKUP('Données projet'!$B$12,Paramètres!$A$1:$I$89,5,0)</f>
        <v>63.335999999999984</v>
      </c>
      <c r="CA25" s="14">
        <f t="shared" si="39"/>
        <v>18.009040022946227</v>
      </c>
      <c r="CB25" s="22">
        <f t="shared" si="10"/>
        <v>141.67594470663133</v>
      </c>
      <c r="CC25" s="62">
        <f t="shared" si="11"/>
        <v>425.23150026218684</v>
      </c>
      <c r="CD25" s="62">
        <f ca="1">AVERAGE(OFFSET($CC$3,0,0,'Données projet'!$E$12+1,1))-AVERAGE(OFFSET($H$3,0,0,'Données projet'!$E$12+1,1))</f>
        <v>299.07024205218266</v>
      </c>
      <c r="CE25" s="62">
        <f t="shared" si="40"/>
        <v>328.70296497136366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4.8717948717948714</v>
      </c>
      <c r="CT25" s="13">
        <f>IF('Données projet'!$A$140&gt;35,CT24+CS25-DB24,IF(A25&lt;'Données projet'!$A$140,$CQ$205^A25,IF(A25='Données projet'!$A$140,'Données projet'!$B$140,CT24+CS25-DB24)))</f>
        <v>43.717948717948715</v>
      </c>
      <c r="CU25" s="18">
        <f>CT25*VLOOKUP('Données projet'!$B$13,Paramètres!$A$1:$I$89,3,0)*VLOOKUP('Données projet'!$B$13,Paramètres!$A$1:$I$89,5,0)</f>
        <v>41.601999999999997</v>
      </c>
      <c r="CV25" s="14">
        <f t="shared" si="41"/>
        <v>12.422281900716454</v>
      </c>
      <c r="CW25" s="22">
        <f t="shared" si="13"/>
        <v>94.092290977081163</v>
      </c>
      <c r="CX25" s="62">
        <f t="shared" si="14"/>
        <v>377.64784653263672</v>
      </c>
      <c r="CY25" s="62">
        <f ca="1">AVERAGE(OFFSET($CX$3,0,0,'Données projet'!$E$13+1,1))-AVERAGE(OFFSET($H$3,0,0,'Données projet'!$E$13+1,1))</f>
        <v>300.36889324671682</v>
      </c>
      <c r="CZ25" s="62">
        <f t="shared" si="42"/>
        <v>214.36051699039683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2">
        <f t="shared" si="0"/>
        <v>418.35693573662502</v>
      </c>
      <c r="S26" s="62">
        <f ca="1">AVERAGE(OFFSET($R$3,0,0,'Données projet'!$E$9+1,1))-AVERAGE(OFFSET($H$3,0,0,'Données projet'!$E$9+1,1))</f>
        <v>477.00263959594946</v>
      </c>
      <c r="T26" s="62">
        <f t="shared" si="34"/>
        <v>254.25036207346591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3.4425641025641025</v>
      </c>
      <c r="AI26" s="14">
        <f>IF('Données projet'!$A$62&gt;35,AI25+AH26-AQ25,IF(A26&lt;'Données projet'!$A$62,$AF$205^A26,IF(A26='Données projet'!$A$62,'Données projet'!$B$62,AI25+AH26-AQ25)))</f>
        <v>35.000092281482424</v>
      </c>
      <c r="AJ26" s="14">
        <f>AI26*VLOOKUP('Données projet'!$B$10,Paramètres!$A$1:$I$89,3,0)*VLOOKUP('Données projet'!$B$10,Paramètres!$A$1:$I$89,5,0)</f>
        <v>16.380043187733772</v>
      </c>
      <c r="AK26" s="14">
        <f t="shared" si="35"/>
        <v>5.4515605034859353</v>
      </c>
      <c r="AL26" s="22">
        <f t="shared" si="4"/>
        <v>38.023376428874322</v>
      </c>
      <c r="AM26" s="62">
        <f t="shared" si="5"/>
        <v>322.80115420665209</v>
      </c>
      <c r="AN26" s="62">
        <f ca="1">AVERAGE(OFFSET($AM$3,0,0,'Données projet'!$E$10+1,1))-AVERAGE(OFFSET($H$3,0,0,'Données projet'!$E$10+1,1))</f>
        <v>245.47494516762282</v>
      </c>
      <c r="AO26" s="62">
        <f t="shared" si="36"/>
        <v>145.54897745089966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53.202240000000003</v>
      </c>
      <c r="BF26" s="14">
        <f t="shared" si="37"/>
        <v>15.437740642425908</v>
      </c>
      <c r="BG26" s="22">
        <f t="shared" si="7"/>
        <v>119.54796628555846</v>
      </c>
      <c r="BH26" s="62">
        <f t="shared" si="8"/>
        <v>404.32574406333623</v>
      </c>
      <c r="BI26" s="62">
        <f ca="1">AVERAGE(OFFSET($BH$3,0,0,'Données projet'!$E$11+1,1))-AVERAGE(OFFSET($H$3,0,0,'Données projet'!$E$11+1,1))</f>
        <v>430.21146937947236</v>
      </c>
      <c r="BJ26" s="62">
        <f t="shared" si="38"/>
        <v>231.36959598460686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91.799999999999969</v>
      </c>
      <c r="BZ26" s="14">
        <f>BY26*VLOOKUP('Données projet'!$B$12,Paramètres!$A$1:$I$89,3,0)*VLOOKUP('Données projet'!$B$12,Paramètres!$A$1:$I$89,5,0)</f>
        <v>71.603999999999985</v>
      </c>
      <c r="CA26" s="14">
        <f t="shared" si="39"/>
        <v>20.071260561992585</v>
      </c>
      <c r="CB26" s="22">
        <f t="shared" si="10"/>
        <v>159.66774547880371</v>
      </c>
      <c r="CC26" s="62">
        <f t="shared" si="11"/>
        <v>444.44552325658151</v>
      </c>
      <c r="CD26" s="62">
        <f ca="1">AVERAGE(OFFSET($CC$3,0,0,'Données projet'!$E$12+1,1))-AVERAGE(OFFSET($H$3,0,0,'Données projet'!$E$12+1,1))</f>
        <v>299.07024205218266</v>
      </c>
      <c r="CE26" s="62">
        <f t="shared" si="40"/>
        <v>328.70296497136366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4.8717948717948714</v>
      </c>
      <c r="CT26" s="13">
        <f>IF('Données projet'!$A$140&gt;35,CT25+CS26-DB25,IF(A26&lt;'Données projet'!$A$140,$CQ$205^A26,IF(A26='Données projet'!$A$140,'Données projet'!$B$140,CT25+CS26-DB25)))</f>
        <v>48.589743589743584</v>
      </c>
      <c r="CU26" s="18">
        <f>CT26*VLOOKUP('Données projet'!$B$13,Paramètres!$A$1:$I$89,3,0)*VLOOKUP('Données projet'!$B$13,Paramètres!$A$1:$I$89,5,0)</f>
        <v>46.237999999999992</v>
      </c>
      <c r="CV26" s="14">
        <f t="shared" si="41"/>
        <v>13.637828262248675</v>
      </c>
      <c r="CW26" s="22">
        <f t="shared" si="13"/>
        <v>104.28373422341643</v>
      </c>
      <c r="CX26" s="62">
        <f t="shared" si="14"/>
        <v>389.06151200119422</v>
      </c>
      <c r="CY26" s="62">
        <f ca="1">AVERAGE(OFFSET($CX$3,0,0,'Données projet'!$E$13+1,1))-AVERAGE(OFFSET($H$3,0,0,'Données projet'!$E$13+1,1))</f>
        <v>300.36889324671682</v>
      </c>
      <c r="CZ26" s="62">
        <f t="shared" si="42"/>
        <v>214.36051699039683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2">
        <f t="shared" si="0"/>
        <v>431.95794243077449</v>
      </c>
      <c r="S27" s="62">
        <f ca="1">AVERAGE(OFFSET($R$3,0,0,'Données projet'!$E$9+1,1))-AVERAGE(OFFSET($H$3,0,0,'Données projet'!$E$9+1,1))</f>
        <v>477.00263959594946</v>
      </c>
      <c r="T27" s="62">
        <f t="shared" si="34"/>
        <v>254.25036207346591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3.4425641025641025</v>
      </c>
      <c r="AI27" s="14">
        <f>IF('Données projet'!$A$62&gt;35,AI26+AH27-AQ26,IF(A27&lt;'Données projet'!$A$62,$AF$205^A27,IF(A27='Données projet'!$A$62,'Données projet'!$B$62,AI26+AH27-AQ26)))</f>
        <v>40.850994379880916</v>
      </c>
      <c r="AJ27" s="14">
        <f>AI27*VLOOKUP('Données projet'!$B$10,Paramètres!$A$1:$I$89,3,0)*VLOOKUP('Données projet'!$B$10,Paramètres!$A$1:$I$89,5,0)</f>
        <v>19.118265369784268</v>
      </c>
      <c r="AK27" s="14">
        <f t="shared" si="35"/>
        <v>6.2494233631643379</v>
      </c>
      <c r="AL27" s="22">
        <f t="shared" si="4"/>
        <v>44.182057876552157</v>
      </c>
      <c r="AM27" s="62">
        <f t="shared" si="5"/>
        <v>330.18205787655216</v>
      </c>
      <c r="AN27" s="62">
        <f ca="1">AVERAGE(OFFSET($AM$3,0,0,'Données projet'!$E$10+1,1))-AVERAGE(OFFSET($H$3,0,0,'Données projet'!$E$10+1,1))</f>
        <v>245.47494516762282</v>
      </c>
      <c r="AO27" s="62">
        <f t="shared" si="36"/>
        <v>145.54897745089966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58.269120000000008</v>
      </c>
      <c r="BF27" s="14">
        <f t="shared" si="37"/>
        <v>16.729905486873804</v>
      </c>
      <c r="BG27" s="22">
        <f t="shared" si="7"/>
        <v>130.62330272297189</v>
      </c>
      <c r="BH27" s="62">
        <f t="shared" si="8"/>
        <v>416.62330272297186</v>
      </c>
      <c r="BI27" s="62">
        <f ca="1">AVERAGE(OFFSET($BH$3,0,0,'Données projet'!$E$11+1,1))-AVERAGE(OFFSET($H$3,0,0,'Données projet'!$E$11+1,1))</f>
        <v>430.21146937947236</v>
      </c>
      <c r="BJ27" s="62">
        <f t="shared" si="38"/>
        <v>231.36959598460686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projet'!$B$12,Paramètres!$A$1:$I$89,3,0)*VLOOKUP('Données projet'!$B$12,Paramètres!$A$1:$I$89,5,0)</f>
        <v>79.871999999999971</v>
      </c>
      <c r="CA27" s="14">
        <f t="shared" si="39"/>
        <v>22.105884547145401</v>
      </c>
      <c r="CB27" s="22">
        <f t="shared" si="10"/>
        <v>177.61148225294485</v>
      </c>
      <c r="CC27" s="62">
        <f t="shared" si="11"/>
        <v>463.61148225294482</v>
      </c>
      <c r="CD27" s="62">
        <f ca="1">AVERAGE(OFFSET($CC$3,0,0,'Données projet'!$E$12+1,1))-AVERAGE(OFFSET($H$3,0,0,'Données projet'!$E$12+1,1))</f>
        <v>299.07024205218266</v>
      </c>
      <c r="CE27" s="62">
        <f t="shared" si="40"/>
        <v>328.70296497136366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4.8717948717948714</v>
      </c>
      <c r="CT27" s="13">
        <f>IF('Données projet'!$A$140&gt;35,CT26+CS27-DB26,IF(A27&lt;'Données projet'!$A$140,$CQ$205^A27,IF(A27='Données projet'!$A$140,'Données projet'!$B$140,CT26+CS27-DB26)))</f>
        <v>53.461538461538453</v>
      </c>
      <c r="CU27" s="18">
        <f>CT27*VLOOKUP('Données projet'!$B$13,Paramètres!$A$1:$I$89,3,0)*VLOOKUP('Données projet'!$B$13,Paramètres!$A$1:$I$89,5,0)</f>
        <v>50.873999999999995</v>
      </c>
      <c r="CV27" s="14">
        <f t="shared" si="41"/>
        <v>14.839245827508822</v>
      </c>
      <c r="CW27" s="22">
        <f t="shared" si="13"/>
        <v>114.45056981624451</v>
      </c>
      <c r="CX27" s="62">
        <f t="shared" si="14"/>
        <v>400.45056981624452</v>
      </c>
      <c r="CY27" s="62">
        <f ca="1">AVERAGE(OFFSET($CX$3,0,0,'Données projet'!$E$13+1,1))-AVERAGE(OFFSET($H$3,0,0,'Données projet'!$E$13+1,1))</f>
        <v>300.36889324671682</v>
      </c>
      <c r="CZ27" s="62">
        <f t="shared" si="42"/>
        <v>214.36051699039683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2">
        <f t="shared" si="0"/>
        <v>445.53385078478129</v>
      </c>
      <c r="S28" s="62">
        <f ca="1">AVERAGE(OFFSET($R$3,0,0,'Données projet'!$E$9+1,1))-AVERAGE(OFFSET($H$3,0,0,'Données projet'!$E$9+1,1))</f>
        <v>477.00263959594946</v>
      </c>
      <c r="T28" s="62">
        <f t="shared" si="34"/>
        <v>254.25036207346591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3.4425641025641025</v>
      </c>
      <c r="AI28" s="14">
        <f>IF('Données projet'!$A$62&gt;35,AI27+AH28-AQ27,IF(A28&lt;'Données projet'!$A$62,$AF$205^A28,IF(A28='Données projet'!$A$62,'Données projet'!$B$62,AI27+AH28-AQ27)))</f>
        <v>47.679981195591871</v>
      </c>
      <c r="AJ28" s="14">
        <f>AI28*VLOOKUP('Données projet'!$B$10,Paramètres!$A$1:$I$89,3,0)*VLOOKUP('Données projet'!$B$10,Paramètres!$A$1:$I$89,5,0)</f>
        <v>22.314231199536998</v>
      </c>
      <c r="AK28" s="14">
        <f t="shared" si="35"/>
        <v>7.1640574010122027</v>
      </c>
      <c r="AL28" s="22">
        <f t="shared" si="4"/>
        <v>51.341352645956526</v>
      </c>
      <c r="AM28" s="62">
        <f t="shared" si="5"/>
        <v>338.56357486817876</v>
      </c>
      <c r="AN28" s="62">
        <f ca="1">AVERAGE(OFFSET($AM$3,0,0,'Données projet'!$E$10+1,1))-AVERAGE(OFFSET($H$3,0,0,'Données projet'!$E$10+1,1))</f>
        <v>245.47494516762282</v>
      </c>
      <c r="AO28" s="62">
        <f t="shared" si="36"/>
        <v>145.54897745089966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63.335999999999991</v>
      </c>
      <c r="BF28" s="14">
        <f t="shared" si="37"/>
        <v>18.009040022946227</v>
      </c>
      <c r="BG28" s="22">
        <f t="shared" si="7"/>
        <v>141.67594470663133</v>
      </c>
      <c r="BH28" s="62">
        <f t="shared" si="8"/>
        <v>428.89816692885358</v>
      </c>
      <c r="BI28" s="62">
        <f ca="1">AVERAGE(OFFSET($BH$3,0,0,'Données projet'!$E$11+1,1))-AVERAGE(OFFSET($H$3,0,0,'Données projet'!$E$11+1,1))</f>
        <v>430.21146937947236</v>
      </c>
      <c r="BJ28" s="62">
        <f t="shared" si="38"/>
        <v>231.36959598460686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113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112.99999999999996</v>
      </c>
      <c r="BZ28" s="14">
        <f>BY28*VLOOKUP('Données projet'!$B$12,Paramètres!$A$1:$I$89,3,0)*VLOOKUP('Données projet'!$B$12,Paramètres!$A$1:$I$89,5,0)</f>
        <v>88.139999999999972</v>
      </c>
      <c r="CA28" s="14">
        <f t="shared" si="39"/>
        <v>24.116094026318823</v>
      </c>
      <c r="CB28" s="22">
        <f t="shared" si="10"/>
        <v>195.51269709583855</v>
      </c>
      <c r="CC28" s="62">
        <f t="shared" si="11"/>
        <v>482.73491931806075</v>
      </c>
      <c r="CD28" s="62">
        <f ca="1">AVERAGE(OFFSET($CC$3,0,0,'Données projet'!$E$12+1,1))-AVERAGE(OFFSET($H$3,0,0,'Données projet'!$E$12+1,1))</f>
        <v>299.07024205218266</v>
      </c>
      <c r="CE28" s="62">
        <f t="shared" si="40"/>
        <v>328.70296497136366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58.333333333333329</v>
      </c>
      <c r="CR28" s="13">
        <f>VLOOKUP(A28,'Données projet'!$A$139:$I$159,9,0)</f>
        <v>4.8717948717948714</v>
      </c>
      <c r="CS28" s="13">
        <f t="array" ref="CS28">INDEX(CR:CR,MIN(IF(ISNUMBER(CR28:CR224),ROW(CR28:CR224),"")))</f>
        <v>4.8717948717948714</v>
      </c>
      <c r="CT28" s="13">
        <f>IF('Données projet'!$A$140&gt;35,CT27+CS28-DB27,IF(A28&lt;'Données projet'!$A$140,$CQ$205^A28,IF(A28='Données projet'!$A$140,'Données projet'!$B$140,CT27+CS28-DB27)))</f>
        <v>58.333333333333321</v>
      </c>
      <c r="CU28" s="18">
        <f>CT28*VLOOKUP('Données projet'!$B$13,Paramètres!$A$1:$I$89,3,0)*VLOOKUP('Données projet'!$B$13,Paramètres!$A$1:$I$89,5,0)</f>
        <v>55.51</v>
      </c>
      <c r="CV28" s="14">
        <f t="shared" si="41"/>
        <v>16.027968540734896</v>
      </c>
      <c r="CW28" s="22">
        <f t="shared" si="13"/>
        <v>124.5952952084466</v>
      </c>
      <c r="CX28" s="62">
        <f t="shared" si="14"/>
        <v>411.81751743066883</v>
      </c>
      <c r="CY28" s="62">
        <f ca="1">AVERAGE(OFFSET($CX$3,0,0,'Données projet'!$E$13+1,1))-AVERAGE(OFFSET($H$3,0,0,'Données projet'!$E$13+1,1))</f>
        <v>300.36889324671682</v>
      </c>
      <c r="CZ28" s="62">
        <f t="shared" si="42"/>
        <v>214.36051699039683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69.966000000000008</v>
      </c>
      <c r="P29" s="14">
        <f t="shared" si="33"/>
        <v>19.665013934342461</v>
      </c>
      <c r="Q29" s="22">
        <f t="shared" si="2"/>
        <v>156.10734926897979</v>
      </c>
      <c r="R29" s="62">
        <f t="shared" si="0"/>
        <v>444.55179371342422</v>
      </c>
      <c r="S29" s="62">
        <f ca="1">AVERAGE(OFFSET($R$3,0,0,'Données projet'!$E$9+1,1))-AVERAGE(OFFSET($H$3,0,0,'Données projet'!$E$9+1,1))</f>
        <v>477.00263959594946</v>
      </c>
      <c r="T29" s="62">
        <f t="shared" si="34"/>
        <v>254.25036207346591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3.4425641025641025</v>
      </c>
      <c r="AI29" s="14">
        <f>IF('Données projet'!$A$62&gt;35,AI28+AH29-AQ28,IF(A29&lt;'Données projet'!$A$62,$AF$205^A29,IF(A29='Données projet'!$A$62,'Données projet'!$B$62,AI28+AH29-AQ28)))</f>
        <v>55.650557381086244</v>
      </c>
      <c r="AJ29" s="14">
        <f>AI29*VLOOKUP('Données projet'!$B$10,Paramètres!$A$1:$I$89,3,0)*VLOOKUP('Données projet'!$B$10,Paramètres!$A$1:$I$89,5,0)</f>
        <v>26.044460854348362</v>
      </c>
      <c r="AK29" s="14">
        <f t="shared" si="35"/>
        <v>8.2125526568599181</v>
      </c>
      <c r="AL29" s="22">
        <f t="shared" si="4"/>
        <v>59.664298532021071</v>
      </c>
      <c r="AM29" s="62">
        <f t="shared" si="5"/>
        <v>348.10874297646552</v>
      </c>
      <c r="AN29" s="62">
        <f ca="1">AVERAGE(OFFSET($AM$3,0,0,'Données projet'!$E$10+1,1))-AVERAGE(OFFSET($H$3,0,0,'Données projet'!$E$10+1,1))</f>
        <v>245.47494516762282</v>
      </c>
      <c r="AO29" s="62">
        <f t="shared" si="36"/>
        <v>145.54897745089966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62.431199999999997</v>
      </c>
      <c r="BF29" s="14">
        <f t="shared" si="37"/>
        <v>17.781524466058684</v>
      </c>
      <c r="BG29" s="22">
        <f t="shared" si="7"/>
        <v>139.70382844505221</v>
      </c>
      <c r="BH29" s="62">
        <f t="shared" si="8"/>
        <v>428.14827288949664</v>
      </c>
      <c r="BI29" s="62">
        <f ca="1">AVERAGE(OFFSET($BH$3,0,0,'Données projet'!$E$11+1,1))-AVERAGE(OFFSET($H$3,0,0,'Données projet'!$E$11+1,1))</f>
        <v>430.21146937947236</v>
      </c>
      <c r="BJ29" s="62">
        <f t="shared" si="38"/>
        <v>231.36959598460686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124.49999999999996</v>
      </c>
      <c r="BZ29" s="14">
        <f>BY29*VLOOKUP('Données projet'!$B$12,Paramètres!$A$1:$I$89,3,0)*VLOOKUP('Données projet'!$B$12,Paramètres!$A$1:$I$89,5,0)</f>
        <v>97.109999999999971</v>
      </c>
      <c r="CA29" s="14">
        <f t="shared" si="39"/>
        <v>26.272324204451365</v>
      </c>
      <c r="CB29" s="22">
        <f t="shared" si="10"/>
        <v>214.89088132275273</v>
      </c>
      <c r="CC29" s="62">
        <f t="shared" si="11"/>
        <v>503.33532576719722</v>
      </c>
      <c r="CD29" s="62">
        <f ca="1">AVERAGE(OFFSET($CC$3,0,0,'Données projet'!$E$12+1,1))-AVERAGE(OFFSET($H$3,0,0,'Données projet'!$E$12+1,1))</f>
        <v>299.07024205218266</v>
      </c>
      <c r="CE29" s="62">
        <f t="shared" si="40"/>
        <v>328.70296497136366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5.1282051282051295</v>
      </c>
      <c r="CT29" s="13">
        <f>IF('Données projet'!$A$140&gt;35,CT28+CS29-DB28,IF(A29&lt;'Données projet'!$A$140,$CQ$205^A29,IF(A29='Données projet'!$A$140,'Données projet'!$B$140,CT28+CS29-DB28)))</f>
        <v>63.461538461538453</v>
      </c>
      <c r="CU29" s="18">
        <f>CT29*VLOOKUP('Données projet'!$B$13,Paramètres!$A$1:$I$89,3,0)*VLOOKUP('Données projet'!$B$13,Paramètres!$A$1:$I$89,5,0)</f>
        <v>60.389999999999986</v>
      </c>
      <c r="CV29" s="14">
        <f t="shared" si="41"/>
        <v>17.266836036680576</v>
      </c>
      <c r="CW29" s="22">
        <f t="shared" si="13"/>
        <v>135.2523227638853</v>
      </c>
      <c r="CX29" s="62">
        <f t="shared" si="14"/>
        <v>423.69676720832979</v>
      </c>
      <c r="CY29" s="62">
        <f ca="1">AVERAGE(OFFSET($CX$3,0,0,'Données projet'!$E$13+1,1))-AVERAGE(OFFSET($H$3,0,0,'Données projet'!$E$13+1,1))</f>
        <v>300.36889324671682</v>
      </c>
      <c r="CZ29" s="62">
        <f t="shared" si="42"/>
        <v>214.36051699039683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77.064000000000007</v>
      </c>
      <c r="P30" s="14">
        <f t="shared" si="33"/>
        <v>21.417762186678065</v>
      </c>
      <c r="Q30" s="22">
        <f t="shared" si="2"/>
        <v>171.52240247513097</v>
      </c>
      <c r="R30" s="62">
        <f t="shared" si="0"/>
        <v>461.18906914179763</v>
      </c>
      <c r="S30" s="62">
        <f ca="1">AVERAGE(OFFSET($R$3,0,0,'Données projet'!$E$9+1,1))-AVERAGE(OFFSET($H$3,0,0,'Données projet'!$E$9+1,1))</f>
        <v>477.00263959594946</v>
      </c>
      <c r="T30" s="62">
        <f t="shared" si="34"/>
        <v>254.25036207346591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3.4425641025641025</v>
      </c>
      <c r="AI30" s="14">
        <f>IF('Données projet'!$A$62&gt;35,AI29+AH30-AQ29,IF(A30&lt;'Données projet'!$A$62,$AF$205^A30,IF(A30='Données projet'!$A$62,'Données projet'!$B$62,AI29+AH30-AQ29)))</f>
        <v>64.953560365747308</v>
      </c>
      <c r="AJ30" s="14">
        <f>AI30*VLOOKUP('Données projet'!$B$10,Paramètres!$A$1:$I$89,3,0)*VLOOKUP('Données projet'!$B$10,Paramètres!$A$1:$I$89,5,0)</f>
        <v>30.398266251169741</v>
      </c>
      <c r="AK30" s="14">
        <f t="shared" si="35"/>
        <v>9.4145003824463398</v>
      </c>
      <c r="AL30" s="22">
        <f t="shared" si="4"/>
        <v>69.340568553547996</v>
      </c>
      <c r="AM30" s="62">
        <f t="shared" si="5"/>
        <v>359.00723522021468</v>
      </c>
      <c r="AN30" s="62">
        <f ca="1">AVERAGE(OFFSET($AM$3,0,0,'Données projet'!$E$10+1,1))-AVERAGE(OFFSET($H$3,0,0,'Données projet'!$E$10+1,1))</f>
        <v>245.47494516762282</v>
      </c>
      <c r="AO30" s="62">
        <f t="shared" si="36"/>
        <v>145.54897745089966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68.764799999999994</v>
      </c>
      <c r="BF30" s="14">
        <f t="shared" si="37"/>
        <v>19.366396769521369</v>
      </c>
      <c r="BG30" s="22">
        <f t="shared" si="7"/>
        <v>153.49516770691636</v>
      </c>
      <c r="BH30" s="62">
        <f t="shared" si="8"/>
        <v>443.16183437358302</v>
      </c>
      <c r="BI30" s="62">
        <f ca="1">AVERAGE(OFFSET($BH$3,0,0,'Données projet'!$E$11+1,1))-AVERAGE(OFFSET($H$3,0,0,'Données projet'!$E$11+1,1))</f>
        <v>430.21146937947236</v>
      </c>
      <c r="BJ30" s="62">
        <f t="shared" si="38"/>
        <v>231.36959598460686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135.99999999999994</v>
      </c>
      <c r="BZ30" s="14">
        <f>BY30*VLOOKUP('Données projet'!$B$12,Paramètres!$A$1:$I$89,3,0)*VLOOKUP('Données projet'!$B$12,Paramètres!$A$1:$I$89,5,0)</f>
        <v>106.07999999999996</v>
      </c>
      <c r="CA30" s="14">
        <f t="shared" si="39"/>
        <v>28.405460561015616</v>
      </c>
      <c r="CB30" s="22">
        <f t="shared" si="10"/>
        <v>234.22884381043545</v>
      </c>
      <c r="CC30" s="62">
        <f t="shared" si="11"/>
        <v>523.89551047710211</v>
      </c>
      <c r="CD30" s="62">
        <f ca="1">AVERAGE(OFFSET($CC$3,0,0,'Données projet'!$E$12+1,1))-AVERAGE(OFFSET($H$3,0,0,'Données projet'!$E$12+1,1))</f>
        <v>299.07024205218266</v>
      </c>
      <c r="CE30" s="62">
        <f t="shared" si="40"/>
        <v>328.70296497136366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5.1282051282051295</v>
      </c>
      <c r="CT30" s="13">
        <f>IF('Données projet'!$A$140&gt;35,CT29+CS30-DB29,IF(A30&lt;'Données projet'!$A$140,$CQ$205^A30,IF(A30='Données projet'!$A$140,'Données projet'!$B$140,CT29+CS30-DB29)))</f>
        <v>68.589743589743577</v>
      </c>
      <c r="CU30" s="18">
        <f>CT30*VLOOKUP('Données projet'!$B$13,Paramètres!$A$1:$I$89,3,0)*VLOOKUP('Données projet'!$B$13,Paramètres!$A$1:$I$89,5,0)</f>
        <v>65.27</v>
      </c>
      <c r="CV30" s="14">
        <f t="shared" si="41"/>
        <v>18.494091971252317</v>
      </c>
      <c r="CW30" s="22">
        <f t="shared" si="13"/>
        <v>145.8891268499311</v>
      </c>
      <c r="CX30" s="62">
        <f t="shared" si="14"/>
        <v>435.55579351659776</v>
      </c>
      <c r="CY30" s="62">
        <f ca="1">AVERAGE(OFFSET($CX$3,0,0,'Données projet'!$E$13+1,1))-AVERAGE(OFFSET($H$3,0,0,'Données projet'!$E$13+1,1))</f>
        <v>300.36889324671682</v>
      </c>
      <c r="CZ30" s="62">
        <f t="shared" si="42"/>
        <v>214.36051699039683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84.162000000000006</v>
      </c>
      <c r="P31" s="14">
        <f t="shared" si="33"/>
        <v>23.151791590506594</v>
      </c>
      <c r="Q31" s="22">
        <f t="shared" si="2"/>
        <v>186.90485368679899</v>
      </c>
      <c r="R31" s="62">
        <f t="shared" si="0"/>
        <v>477.79374257568782</v>
      </c>
      <c r="S31" s="62">
        <f ca="1">AVERAGE(OFFSET($R$3,0,0,'Données projet'!$E$9+1,1))-AVERAGE(OFFSET($H$3,0,0,'Données projet'!$E$9+1,1))</f>
        <v>477.00263959594946</v>
      </c>
      <c r="T31" s="62">
        <f t="shared" si="34"/>
        <v>254.25036207346591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3.4425641025641025</v>
      </c>
      <c r="AI31" s="14">
        <f>IF('Données projet'!$A$62&gt;35,AI30+AH31-AQ30,IF(A31&lt;'Données projet'!$A$62,$AF$205^A31,IF(A31='Données projet'!$A$62,'Données projet'!$B$62,AI30+AH31-AQ30)))</f>
        <v>75.81172952673181</v>
      </c>
      <c r="AJ31" s="14">
        <f>AI31*VLOOKUP('Données projet'!$B$10,Paramètres!$A$1:$I$89,3,0)*VLOOKUP('Données projet'!$B$10,Paramètres!$A$1:$I$89,5,0)</f>
        <v>35.479889418510488</v>
      </c>
      <c r="AK31" s="14">
        <f t="shared" si="35"/>
        <v>10.7923591061602</v>
      </c>
      <c r="AL31" s="22">
        <f t="shared" si="4"/>
        <v>80.590832847134777</v>
      </c>
      <c r="AM31" s="62">
        <f t="shared" si="5"/>
        <v>371.47972173602363</v>
      </c>
      <c r="AN31" s="62">
        <f ca="1">AVERAGE(OFFSET($AM$3,0,0,'Données projet'!$E$10+1,1))-AVERAGE(OFFSET($H$3,0,0,'Données projet'!$E$10+1,1))</f>
        <v>245.47494516762282</v>
      </c>
      <c r="AO31" s="62">
        <f t="shared" si="36"/>
        <v>145.54897745089966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75.098399999999998</v>
      </c>
      <c r="BF31" s="14">
        <f t="shared" si="37"/>
        <v>20.934343091450742</v>
      </c>
      <c r="BG31" s="22">
        <f t="shared" si="7"/>
        <v>167.25702755094335</v>
      </c>
      <c r="BH31" s="62">
        <f t="shared" si="8"/>
        <v>458.14591643983221</v>
      </c>
      <c r="BI31" s="62">
        <f ca="1">AVERAGE(OFFSET($BH$3,0,0,'Données projet'!$E$11+1,1))-AVERAGE(OFFSET($H$3,0,0,'Données projet'!$E$11+1,1))</f>
        <v>430.21146937947236</v>
      </c>
      <c r="BJ31" s="62">
        <f t="shared" si="38"/>
        <v>231.36959598460686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147.49999999999994</v>
      </c>
      <c r="BZ31" s="14">
        <f>BY31*VLOOKUP('Données projet'!$B$12,Paramètres!$A$1:$I$89,3,0)*VLOOKUP('Données projet'!$B$12,Paramètres!$A$1:$I$89,5,0)</f>
        <v>115.04999999999995</v>
      </c>
      <c r="CA31" s="14">
        <f t="shared" si="39"/>
        <v>30.517677901708776</v>
      </c>
      <c r="CB31" s="22">
        <f t="shared" si="10"/>
        <v>253.53037234547597</v>
      </c>
      <c r="CC31" s="62">
        <f t="shared" si="11"/>
        <v>544.41926123436485</v>
      </c>
      <c r="CD31" s="62">
        <f ca="1">AVERAGE(OFFSET($CC$3,0,0,'Données projet'!$E$12+1,1))-AVERAGE(OFFSET($H$3,0,0,'Données projet'!$E$12+1,1))</f>
        <v>299.07024205218266</v>
      </c>
      <c r="CE31" s="62">
        <f t="shared" si="40"/>
        <v>328.70296497136366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5.1282051282051295</v>
      </c>
      <c r="CT31" s="13">
        <f>IF('Données projet'!$A$140&gt;35,CT30+CS31-DB30,IF(A31&lt;'Données projet'!$A$140,$CQ$205^A31,IF(A31='Données projet'!$A$140,'Données projet'!$B$140,CT30+CS31-DB30)))</f>
        <v>73.717948717948701</v>
      </c>
      <c r="CU31" s="18">
        <f>CT31*VLOOKUP('Données projet'!$B$13,Paramètres!$A$1:$I$89,3,0)*VLOOKUP('Données projet'!$B$13,Paramètres!$A$1:$I$89,5,0)</f>
        <v>70.149999999999991</v>
      </c>
      <c r="CV31" s="14">
        <f t="shared" si="41"/>
        <v>19.710703216100942</v>
      </c>
      <c r="CW31" s="22">
        <f t="shared" si="13"/>
        <v>156.50739143470912</v>
      </c>
      <c r="CX31" s="62">
        <f t="shared" si="14"/>
        <v>447.39628032359798</v>
      </c>
      <c r="CY31" s="62">
        <f ca="1">AVERAGE(OFFSET($CX$3,0,0,'Données projet'!$E$13+1,1))-AVERAGE(OFFSET($H$3,0,0,'Données projet'!$E$13+1,1))</f>
        <v>300.36889324671682</v>
      </c>
      <c r="CZ31" s="62">
        <f t="shared" si="42"/>
        <v>214.36051699039683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91.26</v>
      </c>
      <c r="P32" s="14">
        <f t="shared" si="33"/>
        <v>24.868860330902777</v>
      </c>
      <c r="Q32" s="22">
        <f t="shared" si="2"/>
        <v>202.25776507632233</v>
      </c>
      <c r="R32" s="62">
        <f t="shared" si="0"/>
        <v>494.36887618743344</v>
      </c>
      <c r="S32" s="62">
        <f ca="1">AVERAGE(OFFSET($R$3,0,0,'Données projet'!$E$9+1,1))-AVERAGE(OFFSET($H$3,0,0,'Données projet'!$E$9+1,1))</f>
        <v>477.00263959594946</v>
      </c>
      <c r="T32" s="62">
        <f t="shared" si="34"/>
        <v>254.25036207346591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3.4425641025641025</v>
      </c>
      <c r="AI32" s="14">
        <f>IF('Données projet'!$A$62&gt;35,AI31+AH32-AQ31,IF(A32&lt;'Données projet'!$A$62,$AF$205^A32,IF(A32='Données projet'!$A$62,'Données projet'!$B$62,AI31+AH32-AQ31)))</f>
        <v>88.485039179856727</v>
      </c>
      <c r="AJ32" s="14">
        <f>AI32*VLOOKUP('Données projet'!$B$10,Paramètres!$A$1:$I$89,3,0)*VLOOKUP('Données projet'!$B$10,Paramètres!$A$1:$I$89,5,0)</f>
        <v>41.410998336172952</v>
      </c>
      <c r="AK32" s="14">
        <f t="shared" si="35"/>
        <v>12.371874273168087</v>
      </c>
      <c r="AL32" s="22">
        <f t="shared" si="4"/>
        <v>93.671836461268967</v>
      </c>
      <c r="AM32" s="62">
        <f t="shared" si="5"/>
        <v>385.78294757238012</v>
      </c>
      <c r="AN32" s="62">
        <f ca="1">AVERAGE(OFFSET($AM$3,0,0,'Données projet'!$E$10+1,1))-AVERAGE(OFFSET($H$3,0,0,'Données projet'!$E$10+1,1))</f>
        <v>245.47494516762282</v>
      </c>
      <c r="AO32" s="62">
        <f t="shared" si="36"/>
        <v>145.54897745089966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81.432000000000002</v>
      </c>
      <c r="BF32" s="14">
        <f t="shared" si="37"/>
        <v>22.486953220240881</v>
      </c>
      <c r="BG32" s="22">
        <f t="shared" si="7"/>
        <v>180.99217685858619</v>
      </c>
      <c r="BH32" s="62">
        <f t="shared" si="8"/>
        <v>473.10328796969736</v>
      </c>
      <c r="BI32" s="62">
        <f ca="1">AVERAGE(OFFSET($BH$3,0,0,'Données projet'!$E$11+1,1))-AVERAGE(OFFSET($H$3,0,0,'Données projet'!$E$11+1,1))</f>
        <v>430.21146937947236</v>
      </c>
      <c r="BJ32" s="62">
        <f t="shared" si="38"/>
        <v>231.36959598460686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158.99999999999994</v>
      </c>
      <c r="BZ32" s="14">
        <f>BY32*VLOOKUP('Données projet'!$B$12,Paramètres!$A$1:$I$89,3,0)*VLOOKUP('Données projet'!$B$12,Paramètres!$A$1:$I$89,5,0)</f>
        <v>124.01999999999995</v>
      </c>
      <c r="CA32" s="14">
        <f t="shared" si="39"/>
        <v>32.610792634958898</v>
      </c>
      <c r="CB32" s="22">
        <f t="shared" si="10"/>
        <v>272.79863050588665</v>
      </c>
      <c r="CC32" s="62">
        <f t="shared" si="11"/>
        <v>564.90974161699774</v>
      </c>
      <c r="CD32" s="62">
        <f ca="1">AVERAGE(OFFSET($CC$3,0,0,'Données projet'!$E$12+1,1))-AVERAGE(OFFSET($H$3,0,0,'Données projet'!$E$12+1,1))</f>
        <v>299.07024205218266</v>
      </c>
      <c r="CE32" s="62">
        <f t="shared" si="40"/>
        <v>328.70296497136366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5.1282051282051295</v>
      </c>
      <c r="CT32" s="13">
        <f>IF('Données projet'!$A$140&gt;35,CT31+CS32-DB31,IF(A32&lt;'Données projet'!$A$140,$CQ$205^A32,IF(A32='Données projet'!$A$140,'Données projet'!$B$140,CT31+CS32-DB31)))</f>
        <v>78.846153846153825</v>
      </c>
      <c r="CU32" s="18">
        <f>CT32*VLOOKUP('Données projet'!$B$13,Paramètres!$A$1:$I$89,3,0)*VLOOKUP('Données projet'!$B$13,Paramètres!$A$1:$I$89,5,0)</f>
        <v>75.029999999999987</v>
      </c>
      <c r="CV32" s="14">
        <f t="shared" si="41"/>
        <v>20.917494504218595</v>
      </c>
      <c r="CW32" s="22">
        <f t="shared" si="13"/>
        <v>167.1085529281807</v>
      </c>
      <c r="CX32" s="62">
        <f t="shared" si="14"/>
        <v>459.21966403929184</v>
      </c>
      <c r="CY32" s="62">
        <f ca="1">AVERAGE(OFFSET($CX$3,0,0,'Données projet'!$E$13+1,1))-AVERAGE(OFFSET($H$3,0,0,'Données projet'!$E$13+1,1))</f>
        <v>300.36889324671682</v>
      </c>
      <c r="CZ32" s="62">
        <f t="shared" si="42"/>
        <v>214.36051699039683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98.358000000000004</v>
      </c>
      <c r="P33" s="14">
        <f t="shared" si="33"/>
        <v>26.570437554143126</v>
      </c>
      <c r="Q33" s="22">
        <f t="shared" si="2"/>
        <v>217.58369540679928</v>
      </c>
      <c r="R33" s="62">
        <f t="shared" si="0"/>
        <v>510.91702874013259</v>
      </c>
      <c r="S33" s="62">
        <f ca="1">AVERAGE(OFFSET($R$3,0,0,'Données projet'!$E$9+1,1))-AVERAGE(OFFSET($H$3,0,0,'Données projet'!$E$9+1,1))</f>
        <v>477.00263959594946</v>
      </c>
      <c r="T33" s="62">
        <f t="shared" si="34"/>
        <v>254.25036207346591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103.27692307692307</v>
      </c>
      <c r="AG33" s="13">
        <f>VLOOKUP(A33,'Données projet'!$A$61:$I$81,9,0)</f>
        <v>3.4425641025641025</v>
      </c>
      <c r="AH33" s="13">
        <f t="array" ref="AH33">INDEX(AG:AG,MIN(IF(ISNUMBER(AG33:AG229),ROW(AG33:AG229),"")))</f>
        <v>3.4425641025641025</v>
      </c>
      <c r="AI33" s="14">
        <f>IF('Données projet'!$A$62&gt;35,AI32+AH33-AQ32,IF(A33&lt;'Données projet'!$A$62,$AF$205^A33,IF(A33='Données projet'!$A$62,'Données projet'!$B$62,AI32+AH33-AQ32)))</f>
        <v>103.27692307692307</v>
      </c>
      <c r="AJ33" s="14">
        <f>AI33*VLOOKUP('Données projet'!$B$10,Paramètres!$A$1:$I$89,3,0)*VLOOKUP('Données projet'!$B$10,Paramètres!$A$1:$I$89,5,0)</f>
        <v>48.333599999999997</v>
      </c>
      <c r="AK33" s="14">
        <f t="shared" si="35"/>
        <v>14.182559301951969</v>
      </c>
      <c r="AL33" s="22">
        <f t="shared" si="4"/>
        <v>108.88231078423301</v>
      </c>
      <c r="AM33" s="62">
        <f t="shared" si="5"/>
        <v>402.21564411756634</v>
      </c>
      <c r="AN33" s="62">
        <f ca="1">AVERAGE(OFFSET($AM$3,0,0,'Données projet'!$E$10+1,1))-AVERAGE(OFFSET($H$3,0,0,'Données projet'!$E$10+1,1))</f>
        <v>245.47494516762282</v>
      </c>
      <c r="AO33" s="62">
        <f t="shared" si="36"/>
        <v>145.54897745089966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87.765600000000006</v>
      </c>
      <c r="BF33" s="14">
        <f t="shared" si="37"/>
        <v>24.025555589247954</v>
      </c>
      <c r="BG33" s="22">
        <f t="shared" si="7"/>
        <v>194.7029293179402</v>
      </c>
      <c r="BH33" s="62">
        <f t="shared" si="8"/>
        <v>488.03626265127355</v>
      </c>
      <c r="BI33" s="62">
        <f ca="1">AVERAGE(OFFSET($BH$3,0,0,'Données projet'!$E$11+1,1))-AVERAGE(OFFSET($H$3,0,0,'Données projet'!$E$11+1,1))</f>
        <v>430.21146937947236</v>
      </c>
      <c r="BJ33" s="62">
        <f t="shared" si="38"/>
        <v>231.36959598460686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170.49999999999994</v>
      </c>
      <c r="BZ33" s="14">
        <f>BY33*VLOOKUP('Données projet'!$B$12,Paramètres!$A$1:$I$89,3,0)*VLOOKUP('Données projet'!$B$12,Paramètres!$A$1:$I$89,5,0)</f>
        <v>132.98999999999995</v>
      </c>
      <c r="CA33" s="14">
        <f t="shared" si="39"/>
        <v>34.686343524228022</v>
      </c>
      <c r="CB33" s="22">
        <f t="shared" si="10"/>
        <v>292.03629830469703</v>
      </c>
      <c r="CC33" s="62">
        <f t="shared" si="11"/>
        <v>585.36963163803034</v>
      </c>
      <c r="CD33" s="62">
        <f ca="1">AVERAGE(OFFSET($CC$3,0,0,'Données projet'!$E$12+1,1))-AVERAGE(OFFSET($H$3,0,0,'Données projet'!$E$12+1,1))</f>
        <v>299.07024205218266</v>
      </c>
      <c r="CE33" s="62">
        <f t="shared" si="40"/>
        <v>328.70296497136366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83.974358974358978</v>
      </c>
      <c r="CR33" s="13">
        <f>VLOOKUP(A33,'Données projet'!$A$139:$I$159,9,0)</f>
        <v>5.1282051282051295</v>
      </c>
      <c r="CS33" s="13">
        <f t="array" ref="CS33">INDEX(CR:CR,MIN(IF(ISNUMBER(CR33:CR229),ROW(CR33:CR229),"")))</f>
        <v>5.1282051282051295</v>
      </c>
      <c r="CT33" s="13">
        <f>IF('Données projet'!$A$140&gt;35,CT32+CS33-DB32,IF(A33&lt;'Données projet'!$A$140,$CQ$205^A33,IF(A33='Données projet'!$A$140,'Données projet'!$B$140,CT32+CS33-DB32)))</f>
        <v>83.97435897435895</v>
      </c>
      <c r="CU33" s="18">
        <f>CT33*VLOOKUP('Données projet'!$B$13,Paramètres!$A$1:$I$89,3,0)*VLOOKUP('Données projet'!$B$13,Paramètres!$A$1:$I$89,5,0)</f>
        <v>79.909999999999968</v>
      </c>
      <c r="CV33" s="14">
        <f t="shared" si="41"/>
        <v>22.115177219366668</v>
      </c>
      <c r="CW33" s="22">
        <f t="shared" si="13"/>
        <v>177.6938503237302</v>
      </c>
      <c r="CX33" s="62">
        <f t="shared" si="14"/>
        <v>471.02718365706352</v>
      </c>
      <c r="CY33" s="62">
        <f ca="1">AVERAGE(OFFSET($CX$3,0,0,'Données projet'!$E$13+1,1))-AVERAGE(OFFSET($H$3,0,0,'Données projet'!$E$13+1,1))</f>
        <v>300.36889324671682</v>
      </c>
      <c r="CZ33" s="62">
        <f t="shared" si="42"/>
        <v>214.36051699039683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17.948717948717949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106.47</v>
      </c>
      <c r="P34" s="14">
        <f t="shared" si="33"/>
        <v>28.49771681771891</v>
      </c>
      <c r="Q34" s="22">
        <f t="shared" si="2"/>
        <v>235.06877345752704</v>
      </c>
      <c r="R34" s="62">
        <f t="shared" si="0"/>
        <v>528.40210679086033</v>
      </c>
      <c r="S34" s="62">
        <f ca="1">AVERAGE(OFFSET($R$3,0,0,'Données projet'!$E$9+1,1))-AVERAGE(OFFSET($H$3,0,0,'Données projet'!$E$9+1,1))</f>
        <v>477.00263959594946</v>
      </c>
      <c r="T34" s="62">
        <f t="shared" si="34"/>
        <v>254.25036207346591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8.9230769230769198</v>
      </c>
      <c r="AI34" s="14">
        <f>IF('Données projet'!$A$62&gt;35,AI33+AH34-AQ33,IF(A34&lt;'Données projet'!$A$62,$AF$205^A34,IF(A34='Données projet'!$A$62,'Données projet'!$B$62,AI33+AH34-AQ33)))</f>
        <v>112.19999999999999</v>
      </c>
      <c r="AJ34" s="14">
        <f>AI34*VLOOKUP('Données projet'!$B$10,Paramètres!$A$1:$I$89,3,0)*VLOOKUP('Données projet'!$B$10,Paramètres!$A$1:$I$89,5,0)</f>
        <v>52.509599999999999</v>
      </c>
      <c r="AK34" s="14">
        <f t="shared" si="35"/>
        <v>15.260016001659478</v>
      </c>
      <c r="AL34" s="22">
        <f t="shared" si="4"/>
        <v>118.03208120289025</v>
      </c>
      <c r="AM34" s="62">
        <f t="shared" si="5"/>
        <v>411.36541453622357</v>
      </c>
      <c r="AN34" s="62">
        <f ca="1">AVERAGE(OFFSET($AM$3,0,0,'Données projet'!$E$10+1,1))-AVERAGE(OFFSET($H$3,0,0,'Données projet'!$E$10+1,1))</f>
        <v>245.47494516762282</v>
      </c>
      <c r="AO34" s="62">
        <f t="shared" si="36"/>
        <v>145.54897745089966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105</v>
      </c>
      <c r="BE34" s="14">
        <f>BD34*VLOOKUP('Données projet'!$B$11,Paramètres!$A$1:$I$89,3,0)*VLOOKUP('Données projet'!$B$11,Paramètres!$A$1:$I$89,5,0)</f>
        <v>95.004000000000005</v>
      </c>
      <c r="BF34" s="14">
        <f t="shared" si="37"/>
        <v>25.768242550600785</v>
      </c>
      <c r="BG34" s="22">
        <f t="shared" si="7"/>
        <v>210.34498910896306</v>
      </c>
      <c r="BH34" s="62">
        <f t="shared" si="8"/>
        <v>503.67832244229635</v>
      </c>
      <c r="BI34" s="62">
        <f ca="1">AVERAGE(OFFSET($BH$3,0,0,'Données projet'!$E$11+1,1))-AVERAGE(OFFSET($H$3,0,0,'Données projet'!$E$11+1,1))</f>
        <v>430.21146937947236</v>
      </c>
      <c r="BJ34" s="62">
        <f t="shared" si="38"/>
        <v>231.36959598460686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182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181.99999999999994</v>
      </c>
      <c r="BZ34" s="14">
        <f>BY34*VLOOKUP('Données projet'!$B$12,Paramètres!$A$1:$I$89,3,0)*VLOOKUP('Données projet'!$B$12,Paramètres!$A$1:$I$89,5,0)</f>
        <v>141.95999999999995</v>
      </c>
      <c r="CA34" s="14">
        <f t="shared" si="39"/>
        <v>36.745650011720457</v>
      </c>
      <c r="CB34" s="22">
        <f t="shared" si="10"/>
        <v>311.24567377041308</v>
      </c>
      <c r="CC34" s="62">
        <f t="shared" si="11"/>
        <v>604.57900710374633</v>
      </c>
      <c r="CD34" s="62">
        <f ca="1">AVERAGE(OFFSET($CC$3,0,0,'Données projet'!$E$12+1,1))-AVERAGE(OFFSET($H$3,0,0,'Données projet'!$E$12+1,1))</f>
        <v>299.07024205218266</v>
      </c>
      <c r="CE34" s="62">
        <f t="shared" si="40"/>
        <v>328.70296497136366</v>
      </c>
      <c r="CF34" s="16">
        <f>IF(ISNA(VLOOKUP(A34,'Données projet'!$A$113:$I$133,3,0)),0,VLOOKUP(A34,'Données projet'!$A$113:$I$133,3,0))</f>
        <v>2</v>
      </c>
      <c r="CG34" s="16">
        <f>IF(ISNA(VLOOKUP(A34,'Données projet'!$A$113:$I$133,4,0)),0,VLOOKUP(A34,'Données projet'!$A$113:$I$133,4,0))</f>
        <v>63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5.1282051282051269</v>
      </c>
      <c r="CT34" s="13">
        <f>IF('Données projet'!$A$140&gt;35,CT33+CS34-DB33,IF(A34&lt;'Données projet'!$A$140,$CQ$205^A34,IF(A34='Données projet'!$A$140,'Données projet'!$B$140,CT33+CS34-DB33)))</f>
        <v>71.153846153846132</v>
      </c>
      <c r="CU34" s="18">
        <f>CT34*VLOOKUP('Données projet'!$B$13,Paramètres!$A$1:$I$89,3,0)*VLOOKUP('Données projet'!$B$13,Paramètres!$A$1:$I$89,5,0)</f>
        <v>67.70999999999998</v>
      </c>
      <c r="CV34" s="14">
        <f t="shared" si="41"/>
        <v>19.103673681896307</v>
      </c>
      <c r="CW34" s="22">
        <f t="shared" si="13"/>
        <v>151.20048166263604</v>
      </c>
      <c r="CX34" s="62">
        <f t="shared" si="14"/>
        <v>444.53381499596935</v>
      </c>
      <c r="CY34" s="62">
        <f ca="1">AVERAGE(OFFSET($CX$3,0,0,'Données projet'!$E$13+1,1))-AVERAGE(OFFSET($H$3,0,0,'Données projet'!$E$13+1,1))</f>
        <v>300.36889324671682</v>
      </c>
      <c r="CZ34" s="62">
        <f t="shared" si="42"/>
        <v>214.36051699039683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114.58200000000001</v>
      </c>
      <c r="P35" s="14">
        <f t="shared" si="33"/>
        <v>30.407962048850919</v>
      </c>
      <c r="Q35" s="22">
        <f t="shared" ref="Q35:Q66" si="53">(O35+P35)*0.475*44/12</f>
        <v>252.52418390174873</v>
      </c>
      <c r="R35" s="62">
        <f t="shared" si="0"/>
        <v>545.85751723508201</v>
      </c>
      <c r="S35" s="62">
        <f ca="1">AVERAGE(OFFSET($R$3,0,0,'Données projet'!$E$9+1,1))-AVERAGE(OFFSET($H$3,0,0,'Données projet'!$E$9+1,1))</f>
        <v>477.00263959594946</v>
      </c>
      <c r="T35" s="62">
        <f t="shared" si="34"/>
        <v>254.25036207346591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8.9230769230769198</v>
      </c>
      <c r="AI35" s="14">
        <f>IF('Données projet'!$A$62&gt;35,AI34+AH35-AQ34,IF(A35&lt;'Données projet'!$A$62,$AF$205^A35,IF(A35='Données projet'!$A$62,'Données projet'!$B$62,AI34+AH35-AQ34)))</f>
        <v>121.12307692307691</v>
      </c>
      <c r="AJ35" s="14">
        <f>AI35*VLOOKUP('Données projet'!$B$10,Paramètres!$A$1:$I$89,3,0)*VLOOKUP('Données projet'!$B$10,Paramètres!$A$1:$I$89,5,0)</f>
        <v>56.685599999999994</v>
      </c>
      <c r="AK35" s="14">
        <f t="shared" si="35"/>
        <v>16.327533552386551</v>
      </c>
      <c r="AL35" s="22">
        <f t="shared" si="4"/>
        <v>127.16454093707324</v>
      </c>
      <c r="AM35" s="62">
        <f t="shared" si="5"/>
        <v>420.49787427040656</v>
      </c>
      <c r="AN35" s="62">
        <f ca="1">AVERAGE(OFFSET($AM$3,0,0,'Données projet'!$E$10+1,1))-AVERAGE(OFFSET($H$3,0,0,'Données projet'!$E$10+1,1))</f>
        <v>245.47494516762282</v>
      </c>
      <c r="AO35" s="62">
        <f t="shared" si="36"/>
        <v>145.54897745089966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113</v>
      </c>
      <c r="BE35" s="14">
        <f>BD35*VLOOKUP('Données projet'!$B$11,Paramètres!$A$1:$I$89,3,0)*VLOOKUP('Données projet'!$B$11,Paramètres!$A$1:$I$89,5,0)</f>
        <v>102.24239999999999</v>
      </c>
      <c r="BF35" s="14">
        <f t="shared" si="37"/>
        <v>27.495526976991481</v>
      </c>
      <c r="BG35" s="22">
        <f t="shared" si="7"/>
        <v>225.96022281826015</v>
      </c>
      <c r="BH35" s="62">
        <f t="shared" si="8"/>
        <v>519.29355615159352</v>
      </c>
      <c r="BI35" s="62">
        <f ca="1">AVERAGE(OFFSET($BH$3,0,0,'Données projet'!$E$11+1,1))-AVERAGE(OFFSET($H$3,0,0,'Données projet'!$E$11+1,1))</f>
        <v>430.21146937947236</v>
      </c>
      <c r="BJ35" s="62">
        <f t="shared" si="38"/>
        <v>231.36959598460686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130.49999999999994</v>
      </c>
      <c r="BZ35" s="14">
        <f>BY35*VLOOKUP('Données projet'!$B$12,Paramètres!$A$1:$I$89,3,0)*VLOOKUP('Données projet'!$B$12,Paramètres!$A$1:$I$89,5,0)</f>
        <v>101.78999999999996</v>
      </c>
      <c r="CA35" s="14">
        <f t="shared" si="39"/>
        <v>27.38799903683508</v>
      </c>
      <c r="CB35" s="22">
        <f t="shared" si="10"/>
        <v>224.98501498915437</v>
      </c>
      <c r="CC35" s="62">
        <f t="shared" si="11"/>
        <v>518.31834832248774</v>
      </c>
      <c r="CD35" s="62">
        <f ca="1">AVERAGE(OFFSET($CC$3,0,0,'Données projet'!$E$12+1,1))-AVERAGE(OFFSET($H$3,0,0,'Données projet'!$E$12+1,1))</f>
        <v>299.07024205218266</v>
      </c>
      <c r="CE35" s="62">
        <f t="shared" si="40"/>
        <v>328.70296497136366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5.1282051282051269</v>
      </c>
      <c r="CT35" s="13">
        <f>IF('Données projet'!$A$140&gt;35,CT34+CS35-DB34,IF(A35&lt;'Données projet'!$A$140,$CQ$205^A35,IF(A35='Données projet'!$A$140,'Données projet'!$B$140,CT34+CS35-DB34)))</f>
        <v>76.282051282051256</v>
      </c>
      <c r="CU35" s="18">
        <f>CT35*VLOOKUP('Données projet'!$B$13,Paramètres!$A$1:$I$89,3,0)*VLOOKUP('Données projet'!$B$13,Paramètres!$A$1:$I$89,5,0)</f>
        <v>72.589999999999975</v>
      </c>
      <c r="CV35" s="14">
        <f t="shared" si="41"/>
        <v>20.315279518407518</v>
      </c>
      <c r="CW35" s="22">
        <f t="shared" si="13"/>
        <v>161.81002849455973</v>
      </c>
      <c r="CX35" s="62">
        <f t="shared" si="14"/>
        <v>455.14336182789305</v>
      </c>
      <c r="CY35" s="62">
        <f ca="1">AVERAGE(OFFSET($CX$3,0,0,'Données projet'!$E$13+1,1))-AVERAGE(OFFSET($H$3,0,0,'Données projet'!$E$13+1,1))</f>
        <v>300.36889324671682</v>
      </c>
      <c r="CZ35" s="62">
        <f t="shared" si="42"/>
        <v>214.36051699039683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122.69400000000002</v>
      </c>
      <c r="P36" s="14">
        <f t="shared" si="33"/>
        <v>32.302516360650685</v>
      </c>
      <c r="Q36" s="22">
        <f t="shared" si="53"/>
        <v>269.95226599479992</v>
      </c>
      <c r="R36" s="62">
        <f t="shared" si="0"/>
        <v>563.28559932813323</v>
      </c>
      <c r="S36" s="62">
        <f ca="1">AVERAGE(OFFSET($R$3,0,0,'Données projet'!$E$9+1,1))-AVERAGE(OFFSET($H$3,0,0,'Données projet'!$E$9+1,1))</f>
        <v>477.00263959594946</v>
      </c>
      <c r="T36" s="62">
        <f t="shared" si="34"/>
        <v>254.25036207346591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8.9230769230769198</v>
      </c>
      <c r="AI36" s="14">
        <f>IF('Données projet'!$A$62&gt;35,AI35+AH36-AQ35,IF(A36&lt;'Données projet'!$A$62,$AF$205^A36,IF(A36='Données projet'!$A$62,'Données projet'!$B$62,AI35+AH36-AQ35)))</f>
        <v>130.04615384615383</v>
      </c>
      <c r="AJ36" s="14">
        <f>AI36*VLOOKUP('Données projet'!$B$10,Paramètres!$A$1:$I$89,3,0)*VLOOKUP('Données projet'!$B$10,Paramètres!$A$1:$I$89,5,0)</f>
        <v>60.861599999999989</v>
      </c>
      <c r="AK36" s="14">
        <f t="shared" si="35"/>
        <v>17.385927430951966</v>
      </c>
      <c r="AL36" s="22">
        <f t="shared" si="4"/>
        <v>136.28111027557466</v>
      </c>
      <c r="AM36" s="62">
        <f t="shared" si="5"/>
        <v>429.614443608908</v>
      </c>
      <c r="AN36" s="62">
        <f ca="1">AVERAGE(OFFSET($AM$3,0,0,'Données projet'!$E$10+1,1))-AVERAGE(OFFSET($H$3,0,0,'Données projet'!$E$10+1,1))</f>
        <v>245.47494516762282</v>
      </c>
      <c r="AO36" s="62">
        <f t="shared" si="36"/>
        <v>145.54897745089966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121</v>
      </c>
      <c r="BE36" s="14">
        <f>BD36*VLOOKUP('Données projet'!$B$11,Paramètres!$A$1:$I$89,3,0)*VLOOKUP('Données projet'!$B$11,Paramètres!$A$1:$I$89,5,0)</f>
        <v>109.48079999999999</v>
      </c>
      <c r="BF36" s="14">
        <f t="shared" si="37"/>
        <v>29.208623339903898</v>
      </c>
      <c r="BG36" s="22">
        <f t="shared" si="7"/>
        <v>241.5507456503326</v>
      </c>
      <c r="BH36" s="62">
        <f t="shared" si="8"/>
        <v>534.88407898366586</v>
      </c>
      <c r="BI36" s="62">
        <f ca="1">AVERAGE(OFFSET($BH$3,0,0,'Données projet'!$E$11+1,1))-AVERAGE(OFFSET($H$3,0,0,'Données projet'!$E$11+1,1))</f>
        <v>430.21146937947236</v>
      </c>
      <c r="BJ36" s="62">
        <f t="shared" si="38"/>
        <v>231.36959598460686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141.99999999999994</v>
      </c>
      <c r="BZ36" s="14">
        <f>BY36*VLOOKUP('Données projet'!$B$12,Paramètres!$A$1:$I$89,3,0)*VLOOKUP('Données projet'!$B$12,Paramètres!$A$1:$I$89,5,0)</f>
        <v>110.75999999999996</v>
      </c>
      <c r="CA36" s="14">
        <f t="shared" si="39"/>
        <v>29.509974682362923</v>
      </c>
      <c r="CB36" s="22">
        <f t="shared" si="10"/>
        <v>244.30353923844871</v>
      </c>
      <c r="CC36" s="62">
        <f t="shared" si="11"/>
        <v>537.63687257178208</v>
      </c>
      <c r="CD36" s="62">
        <f ca="1">AVERAGE(OFFSET($CC$3,0,0,'Données projet'!$E$12+1,1))-AVERAGE(OFFSET($H$3,0,0,'Données projet'!$E$12+1,1))</f>
        <v>299.07024205218266</v>
      </c>
      <c r="CE36" s="62">
        <f t="shared" si="40"/>
        <v>328.70296497136366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5.1282051282051269</v>
      </c>
      <c r="CT36" s="13">
        <f>IF('Données projet'!$A$140&gt;35,CT35+CS36-DB35,IF(A36&lt;'Données projet'!$A$140,$CQ$205^A36,IF(A36='Données projet'!$A$140,'Données projet'!$B$140,CT35+CS36-DB35)))</f>
        <v>81.41025641025638</v>
      </c>
      <c r="CU36" s="18">
        <f>CT36*VLOOKUP('Données projet'!$B$13,Paramètres!$A$1:$I$89,3,0)*VLOOKUP('Données projet'!$B$13,Paramètres!$A$1:$I$89,5,0)</f>
        <v>77.46999999999997</v>
      </c>
      <c r="CV36" s="14">
        <f t="shared" si="41"/>
        <v>21.51743377134088</v>
      </c>
      <c r="CW36" s="22">
        <f t="shared" si="13"/>
        <v>172.40311381841866</v>
      </c>
      <c r="CX36" s="62">
        <f t="shared" si="14"/>
        <v>465.73644715175197</v>
      </c>
      <c r="CY36" s="62">
        <f ca="1">AVERAGE(OFFSET($CX$3,0,0,'Données projet'!$E$13+1,1))-AVERAGE(OFFSET($H$3,0,0,'Données projet'!$E$13+1,1))</f>
        <v>300.36889324671682</v>
      </c>
      <c r="CZ36" s="62">
        <f t="shared" si="42"/>
        <v>214.36051699039683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130.80600000000001</v>
      </c>
      <c r="P37" s="14">
        <f t="shared" si="33"/>
        <v>34.182535218254564</v>
      </c>
      <c r="Q37" s="22">
        <f t="shared" si="53"/>
        <v>287.35503217179337</v>
      </c>
      <c r="R37" s="62">
        <f t="shared" si="0"/>
        <v>580.68836550512674</v>
      </c>
      <c r="S37" s="62">
        <f ca="1">AVERAGE(OFFSET($R$3,0,0,'Données projet'!$E$9+1,1))-AVERAGE(OFFSET($H$3,0,0,'Données projet'!$E$9+1,1))</f>
        <v>477.00263959594946</v>
      </c>
      <c r="T37" s="62">
        <f t="shared" si="34"/>
        <v>254.25036207346591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8.9230769230769198</v>
      </c>
      <c r="AI37" s="14">
        <f>IF('Données projet'!$A$62&gt;35,AI36+AH37-AQ36,IF(A37&lt;'Données projet'!$A$62,$AF$205^A37,IF(A37='Données projet'!$A$62,'Données projet'!$B$62,AI36+AH37-AQ36)))</f>
        <v>138.96923076923076</v>
      </c>
      <c r="AJ37" s="14">
        <f>AI37*VLOOKUP('Données projet'!$B$10,Paramètres!$A$1:$I$89,3,0)*VLOOKUP('Données projet'!$B$10,Paramètres!$A$1:$I$89,5,0)</f>
        <v>65.037599999999998</v>
      </c>
      <c r="AK37" s="14">
        <f t="shared" si="35"/>
        <v>18.435894871955274</v>
      </c>
      <c r="AL37" s="22">
        <f t="shared" si="4"/>
        <v>145.38300356865543</v>
      </c>
      <c r="AM37" s="62">
        <f t="shared" si="5"/>
        <v>438.71633690198871</v>
      </c>
      <c r="AN37" s="62">
        <f ca="1">AVERAGE(OFFSET($AM$3,0,0,'Données projet'!$E$10+1,1))-AVERAGE(OFFSET($H$3,0,0,'Données projet'!$E$10+1,1))</f>
        <v>245.47494516762282</v>
      </c>
      <c r="AO37" s="62">
        <f t="shared" si="36"/>
        <v>145.54897745089966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129</v>
      </c>
      <c r="BE37" s="14">
        <f>BD37*VLOOKUP('Données projet'!$B$11,Paramètres!$A$1:$I$89,3,0)*VLOOKUP('Données projet'!$B$11,Paramètres!$A$1:$I$89,5,0)</f>
        <v>116.71919999999999</v>
      </c>
      <c r="BF37" s="14">
        <f t="shared" si="37"/>
        <v>30.908576435525887</v>
      </c>
      <c r="BG37" s="22">
        <f t="shared" si="7"/>
        <v>257.1183772918742</v>
      </c>
      <c r="BH37" s="62">
        <f t="shared" si="8"/>
        <v>550.45171062520751</v>
      </c>
      <c r="BI37" s="62">
        <f ca="1">AVERAGE(OFFSET($BH$3,0,0,'Données projet'!$E$11+1,1))-AVERAGE(OFFSET($H$3,0,0,'Données projet'!$E$11+1,1))</f>
        <v>430.21146937947236</v>
      </c>
      <c r="BJ37" s="62">
        <f t="shared" si="38"/>
        <v>231.36959598460686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153.49999999999994</v>
      </c>
      <c r="BZ37" s="14">
        <f>BY37*VLOOKUP('Données projet'!$B$12,Paramètres!$A$1:$I$89,3,0)*VLOOKUP('Données projet'!$B$12,Paramètres!$A$1:$I$89,5,0)</f>
        <v>119.72999999999996</v>
      </c>
      <c r="CA37" s="14">
        <f t="shared" si="39"/>
        <v>31.612017974790529</v>
      </c>
      <c r="CB37" s="22">
        <f t="shared" si="10"/>
        <v>263.58734797276003</v>
      </c>
      <c r="CC37" s="62">
        <f t="shared" si="11"/>
        <v>556.92068130609334</v>
      </c>
      <c r="CD37" s="62">
        <f ca="1">AVERAGE(OFFSET($CC$3,0,0,'Données projet'!$E$12+1,1))-AVERAGE(OFFSET($H$3,0,0,'Données projet'!$E$12+1,1))</f>
        <v>299.07024205218266</v>
      </c>
      <c r="CE37" s="62">
        <f t="shared" si="40"/>
        <v>328.70296497136366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5.1282051282051269</v>
      </c>
      <c r="CT37" s="13">
        <f>IF('Données projet'!$A$140&gt;35,CT36+CS37-DB36,IF(A37&lt;'Données projet'!$A$140,$CQ$205^A37,IF(A37='Données projet'!$A$140,'Données projet'!$B$140,CT36+CS37-DB36)))</f>
        <v>86.538461538461505</v>
      </c>
      <c r="CU37" s="18">
        <f>CT37*VLOOKUP('Données projet'!$B$13,Paramètres!$A$1:$I$89,3,0)*VLOOKUP('Données projet'!$B$13,Paramètres!$A$1:$I$89,5,0)</f>
        <v>82.349999999999966</v>
      </c>
      <c r="CV37" s="14">
        <f t="shared" si="41"/>
        <v>22.710799591280338</v>
      </c>
      <c r="CW37" s="22">
        <f t="shared" si="13"/>
        <v>182.98089262147982</v>
      </c>
      <c r="CX37" s="62">
        <f t="shared" si="14"/>
        <v>476.31422595481314</v>
      </c>
      <c r="CY37" s="62">
        <f ca="1">AVERAGE(OFFSET($CX$3,0,0,'Données projet'!$E$13+1,1))-AVERAGE(OFFSET($H$3,0,0,'Données projet'!$E$13+1,1))</f>
        <v>300.36889324671682</v>
      </c>
      <c r="CZ37" s="62">
        <f t="shared" si="42"/>
        <v>214.36051699039683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138.91800000000001</v>
      </c>
      <c r="P38" s="14">
        <f t="shared" si="33"/>
        <v>36.049022673886341</v>
      </c>
      <c r="Q38" s="22">
        <f t="shared" si="53"/>
        <v>304.73423115701871</v>
      </c>
      <c r="R38" s="62">
        <f t="shared" si="0"/>
        <v>598.06756449035197</v>
      </c>
      <c r="S38" s="62">
        <f ca="1">AVERAGE(OFFSET($R$3,0,0,'Données projet'!$E$9+1,1))-AVERAGE(OFFSET($H$3,0,0,'Données projet'!$E$9+1,1))</f>
        <v>477.00263959594946</v>
      </c>
      <c r="T38" s="62">
        <f t="shared" si="34"/>
        <v>254.25036207346591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147.89230769230767</v>
      </c>
      <c r="AG38" s="13">
        <f>VLOOKUP(A38,'Données projet'!$A$61:$I$81,9,0)</f>
        <v>8.9230769230769198</v>
      </c>
      <c r="AH38" s="13">
        <f t="array" ref="AH38">INDEX(AG:AG,MIN(IF(ISNUMBER(AG38:AG234),ROW(AG38:AG234),"")))</f>
        <v>8.9230769230769198</v>
      </c>
      <c r="AI38" s="14">
        <f>IF('Données projet'!$A$62&gt;35,AI37+AH38-AQ37,IF(A38&lt;'Données projet'!$A$62,$AF$205^A38,IF(A38='Données projet'!$A$62,'Données projet'!$B$62,AI37+AH38-AQ37)))</f>
        <v>147.89230769230767</v>
      </c>
      <c r="AJ38" s="14">
        <f>AI38*VLOOKUP('Données projet'!$B$10,Paramètres!$A$1:$I$89,3,0)*VLOOKUP('Données projet'!$B$10,Paramètres!$A$1:$I$89,5,0)</f>
        <v>69.213599999999985</v>
      </c>
      <c r="AK38" s="14">
        <f t="shared" si="35"/>
        <v>19.478038510077166</v>
      </c>
      <c r="AL38" s="22">
        <f t="shared" si="4"/>
        <v>154.47127040505103</v>
      </c>
      <c r="AM38" s="62">
        <f t="shared" si="5"/>
        <v>447.80460373838434</v>
      </c>
      <c r="AN38" s="62">
        <f ca="1">AVERAGE(OFFSET($AM$3,0,0,'Données projet'!$E$10+1,1))-AVERAGE(OFFSET($H$3,0,0,'Données projet'!$E$10+1,1))</f>
        <v>245.47494516762282</v>
      </c>
      <c r="AO38" s="62">
        <f t="shared" si="36"/>
        <v>145.54897745089966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137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137</v>
      </c>
      <c r="BE38" s="14">
        <f>BD38*VLOOKUP('Données projet'!$B$11,Paramètres!$A$1:$I$89,3,0)*VLOOKUP('Données projet'!$B$11,Paramètres!$A$1:$I$89,5,0)</f>
        <v>123.9576</v>
      </c>
      <c r="BF38" s="14">
        <f t="shared" si="37"/>
        <v>32.59629414926458</v>
      </c>
      <c r="BG38" s="22">
        <f t="shared" si="7"/>
        <v>272.6646989766358</v>
      </c>
      <c r="BH38" s="62">
        <f t="shared" si="8"/>
        <v>565.99803230996918</v>
      </c>
      <c r="BI38" s="62">
        <f ca="1">AVERAGE(OFFSET($BH$3,0,0,'Données projet'!$E$11+1,1))-AVERAGE(OFFSET($H$3,0,0,'Données projet'!$E$11+1,1))</f>
        <v>430.21146937947236</v>
      </c>
      <c r="BJ38" s="62">
        <f t="shared" si="38"/>
        <v>231.36959598460686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164.99999999999994</v>
      </c>
      <c r="BZ38" s="14">
        <f>BY38*VLOOKUP('Données projet'!$B$12,Paramètres!$A$1:$I$89,3,0)*VLOOKUP('Données projet'!$B$12,Paramètres!$A$1:$I$89,5,0)</f>
        <v>128.69999999999996</v>
      </c>
      <c r="CA38" s="14">
        <f t="shared" si="39"/>
        <v>33.695792019186115</v>
      </c>
      <c r="CB38" s="22">
        <f t="shared" si="10"/>
        <v>282.83933776674911</v>
      </c>
      <c r="CC38" s="62">
        <f t="shared" si="11"/>
        <v>576.17267110008243</v>
      </c>
      <c r="CD38" s="62">
        <f ca="1">AVERAGE(OFFSET($CC$3,0,0,'Données projet'!$E$12+1,1))-AVERAGE(OFFSET($H$3,0,0,'Données projet'!$E$12+1,1))</f>
        <v>299.07024205218266</v>
      </c>
      <c r="CE38" s="62">
        <f t="shared" si="40"/>
        <v>328.70296497136366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91.666666666666657</v>
      </c>
      <c r="CR38" s="13">
        <f>VLOOKUP(A38,'Données projet'!$A$139:$I$159,9,0)</f>
        <v>5.1282051282051269</v>
      </c>
      <c r="CS38" s="13">
        <f t="array" ref="CS38">INDEX(CR:CR,MIN(IF(ISNUMBER(CR38:CR234),ROW(CR38:CR234),"")))</f>
        <v>5.1282051282051269</v>
      </c>
      <c r="CT38" s="13">
        <f>IF('Données projet'!$A$140&gt;35,CT37+CS38-DB37,IF(A38&lt;'Données projet'!$A$140,$CQ$205^A38,IF(A38='Données projet'!$A$140,'Données projet'!$B$140,CT37+CS38-DB37)))</f>
        <v>91.666666666666629</v>
      </c>
      <c r="CU38" s="18">
        <f>CT38*VLOOKUP('Données projet'!$B$13,Paramètres!$A$1:$I$89,3,0)*VLOOKUP('Données projet'!$B$13,Paramètres!$A$1:$I$89,5,0)</f>
        <v>87.229999999999961</v>
      </c>
      <c r="CV38" s="14">
        <f t="shared" si="41"/>
        <v>23.895957093057305</v>
      </c>
      <c r="CW38" s="22">
        <f t="shared" si="13"/>
        <v>193.54437527040807</v>
      </c>
      <c r="CX38" s="62">
        <f t="shared" si="14"/>
        <v>486.87770860374138</v>
      </c>
      <c r="CY38" s="62">
        <f ca="1">AVERAGE(OFFSET($CX$3,0,0,'Données projet'!$E$13+1,1))-AVERAGE(OFFSET($H$3,0,0,'Données projet'!$E$13+1,1))</f>
        <v>300.36889324671682</v>
      </c>
      <c r="CZ38" s="62">
        <f t="shared" si="42"/>
        <v>214.36051699039683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104.84760000000001</v>
      </c>
      <c r="P39" s="14">
        <f t="shared" si="33"/>
        <v>28.113670466115643</v>
      </c>
      <c r="Q39" s="22">
        <f t="shared" si="53"/>
        <v>231.57421272848475</v>
      </c>
      <c r="R39" s="62">
        <f t="shared" si="0"/>
        <v>524.90754606181804</v>
      </c>
      <c r="S39" s="62">
        <f ca="1">AVERAGE(OFFSET($R$3,0,0,'Données projet'!$E$9+1,1))-AVERAGE(OFFSET($H$3,0,0,'Données projet'!$E$9+1,1))</f>
        <v>477.00263959594946</v>
      </c>
      <c r="T39" s="62">
        <f t="shared" si="34"/>
        <v>254.25036207346591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9.981538461538463</v>
      </c>
      <c r="AI39" s="14">
        <f>IF('Données projet'!$A$62&gt;35,AI38+AH39-AQ38,IF(A39&lt;'Données projet'!$A$62,$AF$205^A39,IF(A39='Données projet'!$A$62,'Données projet'!$B$62,AI38+AH39-AQ38)))</f>
        <v>157.87384615384613</v>
      </c>
      <c r="AJ39" s="14">
        <f>AI39*VLOOKUP('Données projet'!$B$10,Paramètres!$A$1:$I$89,3,0)*VLOOKUP('Données projet'!$B$10,Paramètres!$A$1:$I$89,5,0)</f>
        <v>73.884959999999992</v>
      </c>
      <c r="AK39" s="14">
        <f t="shared" si="35"/>
        <v>20.635176317181511</v>
      </c>
      <c r="AL39" s="22">
        <f t="shared" si="4"/>
        <v>164.62257075242445</v>
      </c>
      <c r="AM39" s="62">
        <f t="shared" si="5"/>
        <v>457.95590408575777</v>
      </c>
      <c r="AN39" s="62">
        <f ca="1">AVERAGE(OFFSET($AM$3,0,0,'Données projet'!$E$10+1,1))-AVERAGE(OFFSET($H$3,0,0,'Données projet'!$E$10+1,1))</f>
        <v>245.47494516762282</v>
      </c>
      <c r="AO39" s="62">
        <f t="shared" si="36"/>
        <v>145.54897745089966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projet'!$B$11,Paramètres!$A$1:$I$89,3,0)*VLOOKUP('Données projet'!$B$11,Paramètres!$A$1:$I$89,5,0)</f>
        <v>93.556319999999999</v>
      </c>
      <c r="BF39" s="14">
        <f t="shared" si="37"/>
        <v>25.420979659258073</v>
      </c>
      <c r="BG39" s="22">
        <f t="shared" si="7"/>
        <v>207.21879690654114</v>
      </c>
      <c r="BH39" s="62">
        <f t="shared" si="8"/>
        <v>500.55213023987449</v>
      </c>
      <c r="BI39" s="62">
        <f ca="1">AVERAGE(OFFSET($BH$3,0,0,'Données projet'!$E$11+1,1))-AVERAGE(OFFSET($H$3,0,0,'Données projet'!$E$11+1,1))</f>
        <v>430.21146937947236</v>
      </c>
      <c r="BJ39" s="62">
        <f t="shared" si="38"/>
        <v>231.36959598460686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176.49999999999994</v>
      </c>
      <c r="BZ39" s="14">
        <f>BY39*VLOOKUP('Données projet'!$B$12,Paramètres!$A$1:$I$89,3,0)*VLOOKUP('Données projet'!$B$12,Paramètres!$A$1:$I$89,5,0)</f>
        <v>137.66999999999996</v>
      </c>
      <c r="CA39" s="14">
        <f t="shared" si="39"/>
        <v>35.762714965854656</v>
      </c>
      <c r="CB39" s="22">
        <f t="shared" si="10"/>
        <v>302.06197856553007</v>
      </c>
      <c r="CC39" s="62">
        <f t="shared" si="11"/>
        <v>595.39531189886338</v>
      </c>
      <c r="CD39" s="62">
        <f ca="1">AVERAGE(OFFSET($CC$3,0,0,'Données projet'!$E$12+1,1))-AVERAGE(OFFSET($H$3,0,0,'Données projet'!$E$12+1,1))</f>
        <v>299.07024205218266</v>
      </c>
      <c r="CE39" s="62">
        <f t="shared" si="40"/>
        <v>328.70296497136366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4.8717948717948731</v>
      </c>
      <c r="CT39" s="13">
        <f>IF('Données projet'!$A$140&gt;35,CT38+CS39-DB38,IF(A39&lt;'Données projet'!$A$140,$CQ$205^A39,IF(A39='Données projet'!$A$140,'Données projet'!$B$140,CT38+CS39-DB38)))</f>
        <v>96.538461538461505</v>
      </c>
      <c r="CU39" s="18">
        <f>CT39*VLOOKUP('Données projet'!$B$13,Paramètres!$A$1:$I$89,3,0)*VLOOKUP('Données projet'!$B$13,Paramètres!$A$1:$I$89,5,0)</f>
        <v>91.865999999999957</v>
      </c>
      <c r="CV39" s="14">
        <f t="shared" si="41"/>
        <v>25.014720357915152</v>
      </c>
      <c r="CW39" s="22">
        <f t="shared" si="13"/>
        <v>203.56725462336883</v>
      </c>
      <c r="CX39" s="62">
        <f t="shared" si="14"/>
        <v>496.90058795670211</v>
      </c>
      <c r="CY39" s="62">
        <f ca="1">AVERAGE(OFFSET($CX$3,0,0,'Données projet'!$E$13+1,1))-AVERAGE(OFFSET($H$3,0,0,'Données projet'!$E$13+1,1))</f>
        <v>300.36889324671682</v>
      </c>
      <c r="CZ39" s="62">
        <f t="shared" si="42"/>
        <v>214.36051699039683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113.36520000000003</v>
      </c>
      <c r="P40" s="14">
        <f t="shared" si="33"/>
        <v>30.122456058687614</v>
      </c>
      <c r="Q40" s="22">
        <f t="shared" si="53"/>
        <v>249.9076676355476</v>
      </c>
      <c r="R40" s="62">
        <f t="shared" si="0"/>
        <v>543.24100096888094</v>
      </c>
      <c r="S40" s="62">
        <f ca="1">AVERAGE(OFFSET($R$3,0,0,'Données projet'!$E$9+1,1))-AVERAGE(OFFSET($H$3,0,0,'Données projet'!$E$9+1,1))</f>
        <v>477.00263959594946</v>
      </c>
      <c r="T40" s="62">
        <f t="shared" si="34"/>
        <v>254.25036207346591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9.981538461538463</v>
      </c>
      <c r="AI40" s="14">
        <f>IF('Données projet'!$A$62&gt;35,AI39+AH40-AQ39,IF(A40&lt;'Données projet'!$A$62,$AF$205^A40,IF(A40='Données projet'!$A$62,'Données projet'!$B$62,AI39+AH40-AQ39)))</f>
        <v>167.85538461538459</v>
      </c>
      <c r="AJ40" s="14">
        <f>AI40*VLOOKUP('Données projet'!$B$10,Paramètres!$A$1:$I$89,3,0)*VLOOKUP('Données projet'!$B$10,Paramètres!$A$1:$I$89,5,0)</f>
        <v>78.556319999999985</v>
      </c>
      <c r="AK40" s="14">
        <f t="shared" si="35"/>
        <v>21.783823615207403</v>
      </c>
      <c r="AL40" s="22">
        <f t="shared" si="4"/>
        <v>174.75908346315285</v>
      </c>
      <c r="AM40" s="62">
        <f t="shared" si="5"/>
        <v>468.09241679648619</v>
      </c>
      <c r="AN40" s="62">
        <f ca="1">AVERAGE(OFFSET($AM$3,0,0,'Données projet'!$E$10+1,1))-AVERAGE(OFFSET($H$3,0,0,'Données projet'!$E$10+1,1))</f>
        <v>245.47494516762282</v>
      </c>
      <c r="AO40" s="62">
        <f t="shared" si="36"/>
        <v>145.54897745089966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projet'!$B$11,Paramètres!$A$1:$I$89,3,0)*VLOOKUP('Données projet'!$B$11,Paramètres!$A$1:$I$89,5,0)</f>
        <v>101.15664000000001</v>
      </c>
      <c r="BF40" s="14">
        <f t="shared" si="37"/>
        <v>27.237366379381644</v>
      </c>
      <c r="BG40" s="22">
        <f t="shared" si="7"/>
        <v>223.61956111075639</v>
      </c>
      <c r="BH40" s="62">
        <f t="shared" si="8"/>
        <v>516.95289444408968</v>
      </c>
      <c r="BI40" s="62">
        <f ca="1">AVERAGE(OFFSET($BH$3,0,0,'Données projet'!$E$11+1,1))-AVERAGE(OFFSET($H$3,0,0,'Données projet'!$E$11+1,1))</f>
        <v>430.21146937947236</v>
      </c>
      <c r="BJ40" s="62">
        <f t="shared" si="38"/>
        <v>231.36959598460686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187.99999999999994</v>
      </c>
      <c r="BZ40" s="14">
        <f>BY40*VLOOKUP('Données projet'!$B$12,Paramètres!$A$1:$I$89,3,0)*VLOOKUP('Données projet'!$B$12,Paramètres!$A$1:$I$89,5,0)</f>
        <v>146.63999999999996</v>
      </c>
      <c r="CA40" s="14">
        <f t="shared" si="39"/>
        <v>37.814009712703026</v>
      </c>
      <c r="CB40" s="22">
        <f t="shared" si="10"/>
        <v>321.25740024962437</v>
      </c>
      <c r="CC40" s="62">
        <f t="shared" si="11"/>
        <v>614.59073358295768</v>
      </c>
      <c r="CD40" s="62">
        <f ca="1">AVERAGE(OFFSET($CC$3,0,0,'Données projet'!$E$12+1,1))-AVERAGE(OFFSET($H$3,0,0,'Données projet'!$E$12+1,1))</f>
        <v>299.07024205218266</v>
      </c>
      <c r="CE40" s="62">
        <f t="shared" si="40"/>
        <v>328.70296497136366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4.8717948717948731</v>
      </c>
      <c r="CT40" s="13">
        <f>IF('Données projet'!$A$140&gt;35,CT39+CS40-DB39,IF(A40&lt;'Données projet'!$A$140,$CQ$205^A40,IF(A40='Données projet'!$A$140,'Données projet'!$B$140,CT39+CS40-DB39)))</f>
        <v>101.41025641025638</v>
      </c>
      <c r="CU40" s="18">
        <f>CT40*VLOOKUP('Données projet'!$B$13,Paramètres!$A$1:$I$89,3,0)*VLOOKUP('Données projet'!$B$13,Paramètres!$A$1:$I$89,5,0)</f>
        <v>96.501999999999967</v>
      </c>
      <c r="CV40" s="14">
        <f t="shared" si="41"/>
        <v>26.126928217693919</v>
      </c>
      <c r="CW40" s="22">
        <f t="shared" si="13"/>
        <v>213.57871664581683</v>
      </c>
      <c r="CX40" s="62">
        <f t="shared" si="14"/>
        <v>506.91204997915014</v>
      </c>
      <c r="CY40" s="62">
        <f ca="1">AVERAGE(OFFSET($CX$3,0,0,'Données projet'!$E$13+1,1))-AVERAGE(OFFSET($H$3,0,0,'Données projet'!$E$13+1,1))</f>
        <v>300.36889324671682</v>
      </c>
      <c r="CZ40" s="62">
        <f t="shared" si="42"/>
        <v>214.36051699039683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2">
        <f t="shared" si="0"/>
        <v>561.54396129342854</v>
      </c>
      <c r="S41" s="62">
        <f ca="1">AVERAGE(OFFSET($R$3,0,0,'Données projet'!$E$9+1,1))-AVERAGE(OFFSET($H$3,0,0,'Données projet'!$E$9+1,1))</f>
        <v>477.00263959594946</v>
      </c>
      <c r="T41" s="62">
        <f t="shared" si="34"/>
        <v>254.25036207346591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9.981538461538463</v>
      </c>
      <c r="AI41" s="14">
        <f>IF('Données projet'!$A$62&gt;35,AI40+AH41-AQ40,IF(A41&lt;'Données projet'!$A$62,$AF$205^A41,IF(A41='Données projet'!$A$62,'Données projet'!$B$62,AI40+AH41-AQ40)))</f>
        <v>177.83692307692306</v>
      </c>
      <c r="AJ41" s="14">
        <f>AI41*VLOOKUP('Données projet'!$B$10,Paramètres!$A$1:$I$89,3,0)*VLOOKUP('Données projet'!$B$10,Paramètres!$A$1:$I$89,5,0)</f>
        <v>83.227679999999978</v>
      </c>
      <c r="AK41" s="14">
        <f t="shared" si="35"/>
        <v>22.924542798244513</v>
      </c>
      <c r="AL41" s="22">
        <f t="shared" si="4"/>
        <v>184.88178804027584</v>
      </c>
      <c r="AM41" s="62">
        <f t="shared" si="5"/>
        <v>478.21512137360912</v>
      </c>
      <c r="AN41" s="62">
        <f ca="1">AVERAGE(OFFSET($AM$3,0,0,'Données projet'!$E$10+1,1))-AVERAGE(OFFSET($H$3,0,0,'Données projet'!$E$10+1,1))</f>
        <v>245.47494516762282</v>
      </c>
      <c r="AO41" s="62">
        <f t="shared" si="36"/>
        <v>145.54897745089966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projet'!$B$11,Paramètres!$A$1:$I$89,3,0)*VLOOKUP('Données projet'!$B$11,Paramètres!$A$1:$I$89,5,0)</f>
        <v>108.75696000000002</v>
      </c>
      <c r="BF41" s="14">
        <f t="shared" si="37"/>
        <v>29.037921223305609</v>
      </c>
      <c r="BG41" s="22">
        <f t="shared" si="7"/>
        <v>239.99275146392395</v>
      </c>
      <c r="BH41" s="62">
        <f t="shared" si="8"/>
        <v>533.32608479725729</v>
      </c>
      <c r="BI41" s="62">
        <f ca="1">AVERAGE(OFFSET($BH$3,0,0,'Données projet'!$E$11+1,1))-AVERAGE(OFFSET($H$3,0,0,'Données projet'!$E$11+1,1))</f>
        <v>430.21146937947236</v>
      </c>
      <c r="BJ41" s="62">
        <f t="shared" si="38"/>
        <v>231.36959598460686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199.14285714285708</v>
      </c>
      <c r="BZ41" s="14">
        <f>BY41*VLOOKUP('Données projet'!$B$12,Paramètres!$A$1:$I$89,3,0)*VLOOKUP('Données projet'!$B$12,Paramètres!$A$1:$I$89,5,0)</f>
        <v>155.33142857142852</v>
      </c>
      <c r="CA41" s="14">
        <f t="shared" si="39"/>
        <v>39.787698154224472</v>
      </c>
      <c r="CB41" s="22">
        <f t="shared" si="10"/>
        <v>339.83247904717899</v>
      </c>
      <c r="CC41" s="62">
        <f t="shared" si="11"/>
        <v>633.16581238051231</v>
      </c>
      <c r="CD41" s="62">
        <f ca="1">AVERAGE(OFFSET($CC$3,0,0,'Données projet'!$E$12+1,1))-AVERAGE(OFFSET($H$3,0,0,'Données projet'!$E$12+1,1))</f>
        <v>299.07024205218266</v>
      </c>
      <c r="CE41" s="62">
        <f t="shared" si="40"/>
        <v>328.70296497136366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4.8717948717948731</v>
      </c>
      <c r="CT41" s="13">
        <f>IF('Données projet'!$A$140&gt;35,CT40+CS41-DB40,IF(A41&lt;'Données projet'!$A$140,$CQ$205^A41,IF(A41='Données projet'!$A$140,'Données projet'!$B$140,CT40+CS41-DB40)))</f>
        <v>106.28205128205126</v>
      </c>
      <c r="CU41" s="18">
        <f>CT41*VLOOKUP('Données projet'!$B$13,Paramètres!$A$1:$I$89,3,0)*VLOOKUP('Données projet'!$B$13,Paramètres!$A$1:$I$89,5,0)</f>
        <v>101.13799999999998</v>
      </c>
      <c r="CV41" s="14">
        <f t="shared" si="41"/>
        <v>27.232931549242739</v>
      </c>
      <c r="CW41" s="22">
        <f t="shared" si="13"/>
        <v>223.57937244826439</v>
      </c>
      <c r="CX41" s="62">
        <f t="shared" si="14"/>
        <v>516.91270578159765</v>
      </c>
      <c r="CY41" s="62">
        <f ca="1">AVERAGE(OFFSET($CX$3,0,0,'Données projet'!$E$13+1,1))-AVERAGE(OFFSET($H$3,0,0,'Données projet'!$E$13+1,1))</f>
        <v>300.36889324671682</v>
      </c>
      <c r="CZ41" s="62">
        <f t="shared" si="42"/>
        <v>214.36051699039683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2">
        <f t="shared" si="0"/>
        <v>579.8188005094587</v>
      </c>
      <c r="S42" s="62">
        <f ca="1">AVERAGE(OFFSET($R$3,0,0,'Données projet'!$E$9+1,1))-AVERAGE(OFFSET($H$3,0,0,'Données projet'!$E$9+1,1))</f>
        <v>477.00263959594946</v>
      </c>
      <c r="T42" s="62">
        <f t="shared" si="34"/>
        <v>254.25036207346591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9.981538461538463</v>
      </c>
      <c r="AI42" s="14">
        <f>IF('Données projet'!$A$62&gt;35,AI41+AH42-AQ41,IF(A42&lt;'Données projet'!$A$62,$AF$205^A42,IF(A42='Données projet'!$A$62,'Données projet'!$B$62,AI41+AH42-AQ41)))</f>
        <v>187.81846153846152</v>
      </c>
      <c r="AJ42" s="14">
        <f>AI42*VLOOKUP('Données projet'!$B$10,Paramètres!$A$1:$I$89,3,0)*VLOOKUP('Données projet'!$B$10,Paramètres!$A$1:$I$89,5,0)</f>
        <v>87.899039999999985</v>
      </c>
      <c r="AK42" s="14">
        <f t="shared" si="35"/>
        <v>24.05782956318463</v>
      </c>
      <c r="AL42" s="22">
        <f t="shared" si="4"/>
        <v>194.99154782254652</v>
      </c>
      <c r="AM42" s="62">
        <f t="shared" si="5"/>
        <v>488.32488115587984</v>
      </c>
      <c r="AN42" s="62">
        <f ca="1">AVERAGE(OFFSET($AM$3,0,0,'Données projet'!$E$10+1,1))-AVERAGE(OFFSET($H$3,0,0,'Données projet'!$E$10+1,1))</f>
        <v>245.47494516762282</v>
      </c>
      <c r="AO42" s="62">
        <f t="shared" si="36"/>
        <v>145.54897745089966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projet'!$B$11,Paramètres!$A$1:$I$89,3,0)*VLOOKUP('Données projet'!$B$11,Paramètres!$A$1:$I$89,5,0)</f>
        <v>116.35728000000002</v>
      </c>
      <c r="BF42" s="14">
        <f t="shared" si="37"/>
        <v>30.823876427820704</v>
      </c>
      <c r="BG42" s="22">
        <f t="shared" si="7"/>
        <v>256.34051411178774</v>
      </c>
      <c r="BH42" s="62">
        <f t="shared" si="8"/>
        <v>549.67384744512105</v>
      </c>
      <c r="BI42" s="62">
        <f ca="1">AVERAGE(OFFSET($BH$3,0,0,'Données projet'!$E$11+1,1))-AVERAGE(OFFSET($H$3,0,0,'Données projet'!$E$11+1,1))</f>
        <v>430.21146937947236</v>
      </c>
      <c r="BJ42" s="62">
        <f t="shared" si="38"/>
        <v>231.36959598460686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210.28571428571422</v>
      </c>
      <c r="BZ42" s="14">
        <f>BY42*VLOOKUP('Données projet'!$B$12,Paramètres!$A$1:$I$89,3,0)*VLOOKUP('Données projet'!$B$12,Paramètres!$A$1:$I$89,5,0)</f>
        <v>164.02285714285711</v>
      </c>
      <c r="CA42" s="14">
        <f t="shared" si="39"/>
        <v>41.748566562293924</v>
      </c>
      <c r="CB42" s="22">
        <f t="shared" si="10"/>
        <v>358.3852296198047</v>
      </c>
      <c r="CC42" s="62">
        <f t="shared" si="11"/>
        <v>651.71856295313796</v>
      </c>
      <c r="CD42" s="62">
        <f ca="1">AVERAGE(OFFSET($CC$3,0,0,'Données projet'!$E$12+1,1))-AVERAGE(OFFSET($H$3,0,0,'Données projet'!$E$12+1,1))</f>
        <v>299.07024205218266</v>
      </c>
      <c r="CE42" s="62">
        <f t="shared" si="40"/>
        <v>328.70296497136366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4.8717948717948731</v>
      </c>
      <c r="CT42" s="13">
        <f>IF('Données projet'!$A$140&gt;35,CT41+CS42-DB41,IF(A42&lt;'Données projet'!$A$140,$CQ$205^A42,IF(A42='Données projet'!$A$140,'Données projet'!$B$140,CT41+CS42-DB41)))</f>
        <v>111.15384615384613</v>
      </c>
      <c r="CU42" s="18">
        <f>CT42*VLOOKUP('Données projet'!$B$13,Paramètres!$A$1:$I$89,3,0)*VLOOKUP('Données projet'!$B$13,Paramètres!$A$1:$I$89,5,0)</f>
        <v>105.77399999999997</v>
      </c>
      <c r="CV42" s="14">
        <f t="shared" si="41"/>
        <v>28.333047244009499</v>
      </c>
      <c r="CW42" s="22">
        <f t="shared" si="13"/>
        <v>233.5697739499831</v>
      </c>
      <c r="CX42" s="62">
        <f t="shared" si="14"/>
        <v>526.90310728331644</v>
      </c>
      <c r="CY42" s="62">
        <f ca="1">AVERAGE(OFFSET($CX$3,0,0,'Données projet'!$E$13+1,1))-AVERAGE(OFFSET($H$3,0,0,'Données projet'!$E$13+1,1))</f>
        <v>300.36889324671682</v>
      </c>
      <c r="CZ42" s="62">
        <f t="shared" si="42"/>
        <v>214.36051699039683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138.91800000000003</v>
      </c>
      <c r="P43" s="14">
        <f t="shared" si="33"/>
        <v>36.049022673886341</v>
      </c>
      <c r="Q43" s="22">
        <f t="shared" si="53"/>
        <v>304.73423115701877</v>
      </c>
      <c r="R43" s="62">
        <f t="shared" si="0"/>
        <v>598.06756449035208</v>
      </c>
      <c r="S43" s="62">
        <f ca="1">AVERAGE(OFFSET($R$3,0,0,'Données projet'!$E$9+1,1))-AVERAGE(OFFSET($H$3,0,0,'Données projet'!$E$9+1,1))</f>
        <v>477.00263959594946</v>
      </c>
      <c r="T43" s="62">
        <f t="shared" si="34"/>
        <v>254.25036207346591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197.79999999999998</v>
      </c>
      <c r="AG43" s="13">
        <f>VLOOKUP(A43,'Données projet'!$A$61:$I$81,9,0)</f>
        <v>9.981538461538463</v>
      </c>
      <c r="AH43" s="13">
        <f t="array" ref="AH43">INDEX(AG:AG,MIN(IF(ISNUMBER(AG43:AG239),ROW(AG43:AG239),"")))</f>
        <v>9.981538461538463</v>
      </c>
      <c r="AI43" s="14">
        <f>IF('Données projet'!$A$62&gt;35,AI42+AH43-AQ42,IF(A43&lt;'Données projet'!$A$62,$AF$205^A43,IF(A43='Données projet'!$A$62,'Données projet'!$B$62,AI42+AH43-AQ42)))</f>
        <v>197.79999999999998</v>
      </c>
      <c r="AJ43" s="14">
        <f>AI43*VLOOKUP('Données projet'!$B$10,Paramètres!$A$1:$I$89,3,0)*VLOOKUP('Données projet'!$B$10,Paramètres!$A$1:$I$89,5,0)</f>
        <v>92.570399999999978</v>
      </c>
      <c r="AK43" s="14">
        <f t="shared" si="35"/>
        <v>25.184123943972491</v>
      </c>
      <c r="AL43" s="22">
        <f t="shared" si="4"/>
        <v>205.08912920241869</v>
      </c>
      <c r="AM43" s="62">
        <f t="shared" si="5"/>
        <v>498.422462535752</v>
      </c>
      <c r="AN43" s="62">
        <f ca="1">AVERAGE(OFFSET($AM$3,0,0,'Données projet'!$E$10+1,1))-AVERAGE(OFFSET($H$3,0,0,'Données projet'!$E$10+1,1))</f>
        <v>245.47494516762282</v>
      </c>
      <c r="AO43" s="62">
        <f t="shared" si="36"/>
        <v>145.54897745089966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projet'!$B$11,Paramètres!$A$1:$I$89,3,0)*VLOOKUP('Données projet'!$B$11,Paramètres!$A$1:$I$89,5,0)</f>
        <v>123.95760000000001</v>
      </c>
      <c r="BF43" s="14">
        <f t="shared" si="37"/>
        <v>32.59629414926458</v>
      </c>
      <c r="BG43" s="22">
        <f t="shared" si="7"/>
        <v>272.6646989766358</v>
      </c>
      <c r="BH43" s="62">
        <f t="shared" si="8"/>
        <v>565.99803230996918</v>
      </c>
      <c r="BI43" s="62">
        <f ca="1">AVERAGE(OFFSET($BH$3,0,0,'Données projet'!$E$11+1,1))-AVERAGE(OFFSET($H$3,0,0,'Données projet'!$E$11+1,1))</f>
        <v>430.21146937947236</v>
      </c>
      <c r="BJ43" s="62">
        <f t="shared" si="38"/>
        <v>231.36959598460686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221.42857142857136</v>
      </c>
      <c r="BZ43" s="14">
        <f>BY43*VLOOKUP('Données projet'!$B$12,Paramètres!$A$1:$I$89,3,0)*VLOOKUP('Données projet'!$B$12,Paramètres!$A$1:$I$89,5,0)</f>
        <v>172.71428571428567</v>
      </c>
      <c r="CA43" s="14">
        <f t="shared" si="39"/>
        <v>43.697371724903299</v>
      </c>
      <c r="CB43" s="22">
        <f t="shared" si="10"/>
        <v>376.91697003992073</v>
      </c>
      <c r="CC43" s="62">
        <f t="shared" si="11"/>
        <v>670.25030337325404</v>
      </c>
      <c r="CD43" s="62">
        <f ca="1">AVERAGE(OFFSET($CC$3,0,0,'Données projet'!$E$12+1,1))-AVERAGE(OFFSET($H$3,0,0,'Données projet'!$E$12+1,1))</f>
        <v>299.07024205218266</v>
      </c>
      <c r="CE43" s="62">
        <f t="shared" si="40"/>
        <v>328.70296497136366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116.02564102564102</v>
      </c>
      <c r="CR43" s="13">
        <f>VLOOKUP(A43,'Données projet'!$A$139:$I$159,9,0)</f>
        <v>4.8717948717948731</v>
      </c>
      <c r="CS43" s="13">
        <f t="array" ref="CS43">INDEX(CR:CR,MIN(IF(ISNUMBER(CR43:CR239),ROW(CR43:CR239),"")))</f>
        <v>4.8717948717948731</v>
      </c>
      <c r="CT43" s="13">
        <f>IF('Données projet'!$A$140&gt;35,CT42+CS43-DB42,IF(A43&lt;'Données projet'!$A$140,$CQ$205^A43,IF(A43='Données projet'!$A$140,'Données projet'!$B$140,CT42+CS43-DB42)))</f>
        <v>116.02564102564101</v>
      </c>
      <c r="CU43" s="18">
        <f>CT43*VLOOKUP('Données projet'!$B$13,Paramètres!$A$1:$I$89,3,0)*VLOOKUP('Données projet'!$B$13,Paramètres!$A$1:$I$89,5,0)</f>
        <v>110.40999999999998</v>
      </c>
      <c r="CV43" s="14">
        <f t="shared" si="41"/>
        <v>29.427562844448662</v>
      </c>
      <c r="CW43" s="22">
        <f t="shared" si="13"/>
        <v>243.55042195408137</v>
      </c>
      <c r="CX43" s="62">
        <f t="shared" si="14"/>
        <v>536.88375528741471</v>
      </c>
      <c r="CY43" s="62">
        <f ca="1">AVERAGE(OFFSET($CX$3,0,0,'Données projet'!$E$13+1,1))-AVERAGE(OFFSET($H$3,0,0,'Données projet'!$E$13+1,1))</f>
        <v>300.36889324671682</v>
      </c>
      <c r="CZ43" s="62">
        <f t="shared" si="42"/>
        <v>214.36051699039683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21.153846153846153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147.43560000000002</v>
      </c>
      <c r="P44" s="14">
        <f t="shared" si="33"/>
        <v>37.99523294834102</v>
      </c>
      <c r="Q44" s="22">
        <f t="shared" si="53"/>
        <v>322.95870071836066</v>
      </c>
      <c r="R44" s="62">
        <f t="shared" si="0"/>
        <v>616.29203405169392</v>
      </c>
      <c r="S44" s="62">
        <f ca="1">AVERAGE(OFFSET($R$3,0,0,'Données projet'!$E$9+1,1))-AVERAGE(OFFSET($H$3,0,0,'Données projet'!$E$9+1,1))</f>
        <v>477.00263959594946</v>
      </c>
      <c r="T44" s="62">
        <f t="shared" si="34"/>
        <v>254.25036207346591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10.869230769230773</v>
      </c>
      <c r="AI44" s="14">
        <f>IF('Données projet'!$A$62&gt;35,AI43+AH44-AQ43,IF(A44&lt;'Données projet'!$A$62,$AF$205^A44,IF(A44='Données projet'!$A$62,'Données projet'!$B$62,AI43+AH44-AQ43)))</f>
        <v>208.66923076923075</v>
      </c>
      <c r="AJ44" s="14">
        <f>AI44*VLOOKUP('Données projet'!$B$10,Paramètres!$A$1:$I$89,3,0)*VLOOKUP('Données projet'!$B$10,Paramètres!$A$1:$I$89,5,0)</f>
        <v>97.657199999999989</v>
      </c>
      <c r="AK44" s="14">
        <f t="shared" si="35"/>
        <v>26.403090007431878</v>
      </c>
      <c r="AL44" s="22">
        <f t="shared" si="4"/>
        <v>216.07167176294379</v>
      </c>
      <c r="AM44" s="62">
        <f t="shared" si="5"/>
        <v>509.40500509627714</v>
      </c>
      <c r="AN44" s="62">
        <f ca="1">AVERAGE(OFFSET($AM$3,0,0,'Données projet'!$E$10+1,1))-AVERAGE(OFFSET($H$3,0,0,'Données projet'!$E$10+1,1))</f>
        <v>245.47494516762282</v>
      </c>
      <c r="AO44" s="62">
        <f t="shared" si="36"/>
        <v>145.54897745089966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145.40000000000003</v>
      </c>
      <c r="BE44" s="14">
        <f>BD44*VLOOKUP('Données projet'!$B$11,Paramètres!$A$1:$I$89,3,0)*VLOOKUP('Données projet'!$B$11,Paramètres!$A$1:$I$89,5,0)</f>
        <v>131.55792000000002</v>
      </c>
      <c r="BF44" s="14">
        <f t="shared" si="37"/>
        <v>34.3560989338864</v>
      </c>
      <c r="BG44" s="22">
        <f t="shared" si="7"/>
        <v>288.96691630985219</v>
      </c>
      <c r="BH44" s="62">
        <f t="shared" si="8"/>
        <v>582.30024964318545</v>
      </c>
      <c r="BI44" s="62">
        <f ca="1">AVERAGE(OFFSET($BH$3,0,0,'Données projet'!$E$11+1,1))-AVERAGE(OFFSET($H$3,0,0,'Données projet'!$E$11+1,1))</f>
        <v>430.21146937947236</v>
      </c>
      <c r="BJ44" s="62">
        <f t="shared" si="38"/>
        <v>231.36959598460686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232.5714285714285</v>
      </c>
      <c r="BZ44" s="14">
        <f>BY44*VLOOKUP('Données projet'!$B$12,Paramètres!$A$1:$I$89,3,0)*VLOOKUP('Données projet'!$B$12,Paramètres!$A$1:$I$89,5,0)</f>
        <v>181.40571428571423</v>
      </c>
      <c r="CA44" s="14">
        <f t="shared" si="39"/>
        <v>45.634789960482934</v>
      </c>
      <c r="CB44" s="22">
        <f t="shared" si="10"/>
        <v>395.42887822879334</v>
      </c>
      <c r="CC44" s="62">
        <f t="shared" si="11"/>
        <v>688.76221156212659</v>
      </c>
      <c r="CD44" s="62">
        <f ca="1">AVERAGE(OFFSET($CC$3,0,0,'Données projet'!$E$12+1,1))-AVERAGE(OFFSET($H$3,0,0,'Données projet'!$E$12+1,1))</f>
        <v>299.07024205218266</v>
      </c>
      <c r="CE44" s="62">
        <f t="shared" si="40"/>
        <v>328.70296497136366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4.6153846153846159</v>
      </c>
      <c r="CT44" s="13">
        <f>IF('Données projet'!$A$140&gt;35,CT43+CS44-DB43,IF(A44&lt;'Données projet'!$A$140,$CQ$205^A44,IF(A44='Données projet'!$A$140,'Données projet'!$B$140,CT43+CS44-DB43)))</f>
        <v>99.487179487179475</v>
      </c>
      <c r="CU44" s="18">
        <f>CT44*VLOOKUP('Données projet'!$B$13,Paramètres!$A$1:$I$89,3,0)*VLOOKUP('Données projet'!$B$13,Paramètres!$A$1:$I$89,5,0)</f>
        <v>94.671999999999983</v>
      </c>
      <c r="CV44" s="14">
        <f t="shared" si="41"/>
        <v>25.688658665830566</v>
      </c>
      <c r="CW44" s="22">
        <f t="shared" si="13"/>
        <v>209.62814717632156</v>
      </c>
      <c r="CX44" s="62">
        <f t="shared" si="14"/>
        <v>502.96148050965485</v>
      </c>
      <c r="CY44" s="62">
        <f ca="1">AVERAGE(OFFSET($CX$3,0,0,'Données projet'!$E$13+1,1))-AVERAGE(OFFSET($H$3,0,0,'Données projet'!$E$13+1,1))</f>
        <v>300.36889324671682</v>
      </c>
      <c r="CZ44" s="62">
        <f t="shared" si="42"/>
        <v>214.36051699039683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155.95320000000004</v>
      </c>
      <c r="P45" s="14">
        <f t="shared" si="33"/>
        <v>39.928391937903875</v>
      </c>
      <c r="Q45" s="22">
        <f t="shared" si="53"/>
        <v>341.16043929184929</v>
      </c>
      <c r="R45" s="62">
        <f t="shared" si="0"/>
        <v>634.4937726251826</v>
      </c>
      <c r="S45" s="62">
        <f ca="1">AVERAGE(OFFSET($R$3,0,0,'Données projet'!$E$9+1,1))-AVERAGE(OFFSET($H$3,0,0,'Données projet'!$E$9+1,1))</f>
        <v>477.00263959594946</v>
      </c>
      <c r="T45" s="62">
        <f t="shared" si="34"/>
        <v>254.25036207346591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10.869230769230773</v>
      </c>
      <c r="AI45" s="14">
        <f>IF('Données projet'!$A$62&gt;35,AI44+AH45-AQ44,IF(A45&lt;'Données projet'!$A$62,$AF$205^A45,IF(A45='Données projet'!$A$62,'Données projet'!$B$62,AI44+AH45-AQ44)))</f>
        <v>219.53846153846152</v>
      </c>
      <c r="AJ45" s="14">
        <f>AI45*VLOOKUP('Données projet'!$B$10,Paramètres!$A$1:$I$89,3,0)*VLOOKUP('Données projet'!$B$10,Paramètres!$A$1:$I$89,5,0)</f>
        <v>102.74399999999999</v>
      </c>
      <c r="AK45" s="14">
        <f t="shared" si="35"/>
        <v>27.614684221611544</v>
      </c>
      <c r="AL45" s="22">
        <f t="shared" si="4"/>
        <v>227.04137501930674</v>
      </c>
      <c r="AM45" s="62">
        <f t="shared" si="5"/>
        <v>520.37470835264003</v>
      </c>
      <c r="AN45" s="62">
        <f ca="1">AVERAGE(OFFSET($AM$3,0,0,'Données projet'!$E$10+1,1))-AVERAGE(OFFSET($H$3,0,0,'Données projet'!$E$10+1,1))</f>
        <v>245.47494516762282</v>
      </c>
      <c r="AO45" s="62">
        <f t="shared" si="36"/>
        <v>145.54897745089966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153.80000000000004</v>
      </c>
      <c r="BE45" s="14">
        <f>BD45*VLOOKUP('Données projet'!$B$11,Paramètres!$A$1:$I$89,3,0)*VLOOKUP('Données projet'!$B$11,Paramètres!$A$1:$I$89,5,0)</f>
        <v>139.15824000000003</v>
      </c>
      <c r="BF45" s="14">
        <f t="shared" si="37"/>
        <v>36.104102468715482</v>
      </c>
      <c r="BG45" s="22">
        <f t="shared" si="7"/>
        <v>305.24857979967953</v>
      </c>
      <c r="BH45" s="62">
        <f t="shared" si="8"/>
        <v>598.5819131330129</v>
      </c>
      <c r="BI45" s="62">
        <f ca="1">AVERAGE(OFFSET($BH$3,0,0,'Données projet'!$E$11+1,1))-AVERAGE(OFFSET($H$3,0,0,'Données projet'!$E$11+1,1))</f>
        <v>430.21146937947236</v>
      </c>
      <c r="BJ45" s="62">
        <f t="shared" si="38"/>
        <v>231.36959598460686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243.71428571428564</v>
      </c>
      <c r="BZ45" s="14">
        <f>BY45*VLOOKUP('Données projet'!$B$12,Paramètres!$A$1:$I$89,3,0)*VLOOKUP('Données projet'!$B$12,Paramètres!$A$1:$I$89,5,0)</f>
        <v>190.09714285714281</v>
      </c>
      <c r="CA45" s="14">
        <f t="shared" si="39"/>
        <v>47.561429118733571</v>
      </c>
      <c r="CB45" s="22">
        <f t="shared" si="10"/>
        <v>413.92201285798473</v>
      </c>
      <c r="CC45" s="62">
        <f t="shared" si="11"/>
        <v>707.25534619131804</v>
      </c>
      <c r="CD45" s="62">
        <f ca="1">AVERAGE(OFFSET($CC$3,0,0,'Données projet'!$E$12+1,1))-AVERAGE(OFFSET($H$3,0,0,'Données projet'!$E$12+1,1))</f>
        <v>299.07024205218266</v>
      </c>
      <c r="CE45" s="62">
        <f t="shared" si="40"/>
        <v>328.70296497136366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4.6153846153846159</v>
      </c>
      <c r="CT45" s="13">
        <f>IF('Données projet'!$A$140&gt;35,CT44+CS45-DB44,IF(A45&lt;'Données projet'!$A$140,$CQ$205^A45,IF(A45='Données projet'!$A$140,'Données projet'!$B$140,CT44+CS45-DB44)))</f>
        <v>104.10256410256409</v>
      </c>
      <c r="CU45" s="18">
        <f>CT45*VLOOKUP('Données projet'!$B$13,Paramètres!$A$1:$I$89,3,0)*VLOOKUP('Données projet'!$B$13,Paramètres!$A$1:$I$89,5,0)</f>
        <v>99.063999999999993</v>
      </c>
      <c r="CV45" s="14">
        <f t="shared" si="41"/>
        <v>26.738886556499789</v>
      </c>
      <c r="CW45" s="22">
        <f t="shared" si="13"/>
        <v>219.1066940859038</v>
      </c>
      <c r="CX45" s="62">
        <f t="shared" si="14"/>
        <v>512.44002741923714</v>
      </c>
      <c r="CY45" s="62">
        <f ca="1">AVERAGE(OFFSET($CX$3,0,0,'Données projet'!$E$13+1,1))-AVERAGE(OFFSET($H$3,0,0,'Données projet'!$E$13+1,1))</f>
        <v>300.36889324671682</v>
      </c>
      <c r="CZ45" s="62">
        <f t="shared" si="42"/>
        <v>214.36051699039683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164.47080000000005</v>
      </c>
      <c r="P46" s="14">
        <f t="shared" si="33"/>
        <v>41.849293714451377</v>
      </c>
      <c r="Q46" s="22">
        <f t="shared" si="53"/>
        <v>359.34082988600289</v>
      </c>
      <c r="R46" s="62">
        <f t="shared" si="0"/>
        <v>652.67416321933615</v>
      </c>
      <c r="S46" s="62">
        <f ca="1">AVERAGE(OFFSET($R$3,0,0,'Données projet'!$E$9+1,1))-AVERAGE(OFFSET($H$3,0,0,'Données projet'!$E$9+1,1))</f>
        <v>477.00263959594946</v>
      </c>
      <c r="T46" s="62">
        <f t="shared" si="34"/>
        <v>254.25036207346591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10.869230769230773</v>
      </c>
      <c r="AI46" s="14">
        <f>IF('Données projet'!$A$62&gt;35,AI45+AH46-AQ45,IF(A46&lt;'Données projet'!$A$62,$AF$205^A46,IF(A46='Données projet'!$A$62,'Données projet'!$B$62,AI45+AH46-AQ45)))</f>
        <v>230.40769230769229</v>
      </c>
      <c r="AJ46" s="14">
        <f>AI46*VLOOKUP('Données projet'!$B$10,Paramètres!$A$1:$I$89,3,0)*VLOOKUP('Données projet'!$B$10,Paramètres!$A$1:$I$89,5,0)</f>
        <v>107.8308</v>
      </c>
      <c r="AK46" s="14">
        <f t="shared" si="35"/>
        <v>28.819313214368158</v>
      </c>
      <c r="AL46" s="22">
        <f t="shared" si="4"/>
        <v>237.99894718169116</v>
      </c>
      <c r="AM46" s="62">
        <f t="shared" si="5"/>
        <v>531.33228051502442</v>
      </c>
      <c r="AN46" s="62">
        <f ca="1">AVERAGE(OFFSET($AM$3,0,0,'Données projet'!$E$10+1,1))-AVERAGE(OFFSET($H$3,0,0,'Données projet'!$E$10+1,1))</f>
        <v>245.47494516762282</v>
      </c>
      <c r="AO46" s="62">
        <f t="shared" si="36"/>
        <v>145.54897745089966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162.20000000000005</v>
      </c>
      <c r="BE46" s="14">
        <f>BD46*VLOOKUP('Données projet'!$B$11,Paramètres!$A$1:$I$89,3,0)*VLOOKUP('Données projet'!$B$11,Paramètres!$A$1:$I$89,5,0)</f>
        <v>146.75856000000005</v>
      </c>
      <c r="BF46" s="14">
        <f t="shared" si="37"/>
        <v>37.841022770456242</v>
      </c>
      <c r="BG46" s="22">
        <f t="shared" si="7"/>
        <v>321.51093999187805</v>
      </c>
      <c r="BH46" s="62">
        <f t="shared" si="8"/>
        <v>614.84427332521136</v>
      </c>
      <c r="BI46" s="62">
        <f ca="1">AVERAGE(OFFSET($BH$3,0,0,'Données projet'!$E$11+1,1))-AVERAGE(OFFSET($H$3,0,0,'Données projet'!$E$11+1,1))</f>
        <v>430.21146937947236</v>
      </c>
      <c r="BJ46" s="62">
        <f t="shared" si="38"/>
        <v>231.36959598460686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254.85714285714278</v>
      </c>
      <c r="BZ46" s="14">
        <f>BY46*VLOOKUP('Données projet'!$B$12,Paramètres!$A$1:$I$89,3,0)*VLOOKUP('Données projet'!$B$12,Paramètres!$A$1:$I$89,5,0)</f>
        <v>198.78857142857137</v>
      </c>
      <c r="CA46" s="14">
        <f t="shared" si="39"/>
        <v>49.477838324642171</v>
      </c>
      <c r="CB46" s="22">
        <f t="shared" si="10"/>
        <v>432.39733032018029</v>
      </c>
      <c r="CC46" s="62">
        <f t="shared" si="11"/>
        <v>725.7306636535136</v>
      </c>
      <c r="CD46" s="62">
        <f ca="1">AVERAGE(OFFSET($CC$3,0,0,'Données projet'!$E$12+1,1))-AVERAGE(OFFSET($H$3,0,0,'Données projet'!$E$12+1,1))</f>
        <v>299.07024205218266</v>
      </c>
      <c r="CE46" s="62">
        <f t="shared" si="40"/>
        <v>328.70296497136366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4.6153846153846159</v>
      </c>
      <c r="CT46" s="13">
        <f>IF('Données projet'!$A$140&gt;35,CT45+CS46-DB45,IF(A46&lt;'Données projet'!$A$140,$CQ$205^A46,IF(A46='Données projet'!$A$140,'Données projet'!$B$140,CT45+CS46-DB45)))</f>
        <v>108.7179487179487</v>
      </c>
      <c r="CU46" s="18">
        <f>CT46*VLOOKUP('Données projet'!$B$13,Paramètres!$A$1:$I$89,3,0)*VLOOKUP('Données projet'!$B$13,Paramètres!$A$1:$I$89,5,0)</f>
        <v>103.45599999999999</v>
      </c>
      <c r="CV46" s="14">
        <f t="shared" si="41"/>
        <v>27.783706740361936</v>
      </c>
      <c r="CW46" s="22">
        <f t="shared" si="13"/>
        <v>228.57582257279702</v>
      </c>
      <c r="CX46" s="62">
        <f t="shared" si="14"/>
        <v>521.90915590613031</v>
      </c>
      <c r="CY46" s="62">
        <f ca="1">AVERAGE(OFFSET($CX$3,0,0,'Données projet'!$E$13+1,1))-AVERAGE(OFFSET($H$3,0,0,'Données projet'!$E$13+1,1))</f>
        <v>300.36889324671682</v>
      </c>
      <c r="CZ46" s="62">
        <f t="shared" si="42"/>
        <v>214.36051699039683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172.98840000000007</v>
      </c>
      <c r="P47" s="14">
        <f t="shared" si="33"/>
        <v>43.758645457754092</v>
      </c>
      <c r="Q47" s="22">
        <f t="shared" si="53"/>
        <v>377.50110417225511</v>
      </c>
      <c r="R47" s="62">
        <f t="shared" si="0"/>
        <v>670.83443750558843</v>
      </c>
      <c r="S47" s="62">
        <f ca="1">AVERAGE(OFFSET($R$3,0,0,'Données projet'!$E$9+1,1))-AVERAGE(OFFSET($H$3,0,0,'Données projet'!$E$9+1,1))</f>
        <v>477.00263959594946</v>
      </c>
      <c r="T47" s="62">
        <f t="shared" si="34"/>
        <v>254.25036207346591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10.869230769230773</v>
      </c>
      <c r="AI47" s="14">
        <f>IF('Données projet'!$A$62&gt;35,AI46+AH47-AQ46,IF(A47&lt;'Données projet'!$A$62,$AF$205^A47,IF(A47='Données projet'!$A$62,'Données projet'!$B$62,AI46+AH47-AQ46)))</f>
        <v>241.27692307692305</v>
      </c>
      <c r="AJ47" s="14">
        <f>AI47*VLOOKUP('Données projet'!$B$10,Paramètres!$A$1:$I$89,3,0)*VLOOKUP('Données projet'!$B$10,Paramètres!$A$1:$I$89,5,0)</f>
        <v>112.91759999999999</v>
      </c>
      <c r="AK47" s="14">
        <f t="shared" si="35"/>
        <v>30.017343081157474</v>
      </c>
      <c r="AL47" s="22">
        <f t="shared" si="4"/>
        <v>248.9450258663492</v>
      </c>
      <c r="AM47" s="62">
        <f t="shared" si="5"/>
        <v>542.27835919968254</v>
      </c>
      <c r="AN47" s="62">
        <f ca="1">AVERAGE(OFFSET($AM$3,0,0,'Données projet'!$E$10+1,1))-AVERAGE(OFFSET($H$3,0,0,'Données projet'!$E$10+1,1))</f>
        <v>245.47494516762282</v>
      </c>
      <c r="AO47" s="62">
        <f t="shared" si="36"/>
        <v>145.54897745089966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170.60000000000005</v>
      </c>
      <c r="BE47" s="14">
        <f>BD47*VLOOKUP('Données projet'!$B$11,Paramètres!$A$1:$I$89,3,0)*VLOOKUP('Données projet'!$B$11,Paramètres!$A$1:$I$89,5,0)</f>
        <v>154.35888000000003</v>
      </c>
      <c r="BF47" s="14">
        <f t="shared" si="37"/>
        <v>39.567499286120309</v>
      </c>
      <c r="BG47" s="22">
        <f t="shared" si="7"/>
        <v>337.75511058999291</v>
      </c>
      <c r="BH47" s="62">
        <f t="shared" si="8"/>
        <v>631.08844392332617</v>
      </c>
      <c r="BI47" s="62">
        <f ca="1">AVERAGE(OFFSET($BH$3,0,0,'Données projet'!$E$11+1,1))-AVERAGE(OFFSET($H$3,0,0,'Données projet'!$E$11+1,1))</f>
        <v>430.21146937947236</v>
      </c>
      <c r="BJ47" s="62">
        <f t="shared" si="38"/>
        <v>231.36959598460686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266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265.99999999999994</v>
      </c>
      <c r="BZ47" s="14">
        <f>BY47*VLOOKUP('Données projet'!$B$12,Paramètres!$A$1:$I$89,3,0)*VLOOKUP('Données projet'!$B$12,Paramètres!$A$1:$I$89,5,0)</f>
        <v>207.47999999999996</v>
      </c>
      <c r="CA47" s="14">
        <f t="shared" si="39"/>
        <v>51.384515970292178</v>
      </c>
      <c r="CB47" s="22">
        <f t="shared" si="10"/>
        <v>450.85569864825879</v>
      </c>
      <c r="CC47" s="62">
        <f t="shared" si="11"/>
        <v>744.18903198159205</v>
      </c>
      <c r="CD47" s="62">
        <f ca="1">AVERAGE(OFFSET($CC$3,0,0,'Données projet'!$E$12+1,1))-AVERAGE(OFFSET($H$3,0,0,'Données projet'!$E$12+1,1))</f>
        <v>299.07024205218266</v>
      </c>
      <c r="CE47" s="62">
        <f t="shared" si="40"/>
        <v>328.70296497136366</v>
      </c>
      <c r="CF47" s="16">
        <f>IF(ISNA(VLOOKUP(A47,'Données projet'!$A$113:$I$133,3,0)),0,VLOOKUP(A47,'Données projet'!$A$113:$I$133,3,0))</f>
        <v>3</v>
      </c>
      <c r="CG47" s="16">
        <f>IF(ISNA(VLOOKUP(A47,'Données projet'!$A$113:$I$133,4,0)),0,VLOOKUP(A47,'Données projet'!$A$113:$I$133,4,0))</f>
        <v>79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4.6153846153846159</v>
      </c>
      <c r="CT47" s="13">
        <f>IF('Données projet'!$A$140&gt;35,CT46+CS47-DB46,IF(A47&lt;'Données projet'!$A$140,$CQ$205^A47,IF(A47='Données projet'!$A$140,'Données projet'!$B$140,CT46+CS47-DB46)))</f>
        <v>113.33333333333331</v>
      </c>
      <c r="CU47" s="18">
        <f>CT47*VLOOKUP('Données projet'!$B$13,Paramètres!$A$1:$I$89,3,0)*VLOOKUP('Données projet'!$B$13,Paramètres!$A$1:$I$89,5,0)</f>
        <v>107.84799999999998</v>
      </c>
      <c r="CV47" s="14">
        <f t="shared" si="41"/>
        <v>28.823375036693946</v>
      </c>
      <c r="CW47" s="22">
        <f t="shared" si="13"/>
        <v>238.03597818890856</v>
      </c>
      <c r="CX47" s="62">
        <f t="shared" si="14"/>
        <v>531.3693115222419</v>
      </c>
      <c r="CY47" s="62">
        <f ca="1">AVERAGE(OFFSET($CX$3,0,0,'Données projet'!$E$13+1,1))-AVERAGE(OFFSET($H$3,0,0,'Données projet'!$E$13+1,1))</f>
        <v>300.36889324671682</v>
      </c>
      <c r="CZ47" s="62">
        <f t="shared" si="42"/>
        <v>214.36051699039683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181.50600000000006</v>
      </c>
      <c r="P48" s="14">
        <f t="shared" si="33"/>
        <v>45.657080773122978</v>
      </c>
      <c r="Q48" s="22">
        <f t="shared" si="53"/>
        <v>395.64236567985591</v>
      </c>
      <c r="R48" s="62">
        <f t="shared" si="0"/>
        <v>688.97569901318923</v>
      </c>
      <c r="S48" s="62">
        <f ca="1">AVERAGE(OFFSET($R$3,0,0,'Données projet'!$E$9+1,1))-AVERAGE(OFFSET($H$3,0,0,'Données projet'!$E$9+1,1))</f>
        <v>477.00263959594946</v>
      </c>
      <c r="T48" s="62">
        <f t="shared" si="34"/>
        <v>254.25036207346591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252.14615384615385</v>
      </c>
      <c r="AG48" s="13">
        <f>VLOOKUP(A48,'Données projet'!$A$61:$I$81,9,0)</f>
        <v>10.869230769230773</v>
      </c>
      <c r="AH48" s="13">
        <f t="array" ref="AH48">INDEX(AG:AG,MIN(IF(ISNUMBER(AG48:AG244),ROW(AG48:AG244),"")))</f>
        <v>10.869230769230773</v>
      </c>
      <c r="AI48" s="14">
        <f>IF('Données projet'!$A$62&gt;35,AI47+AH48-AQ47,IF(A48&lt;'Données projet'!$A$62,$AF$205^A48,IF(A48='Données projet'!$A$62,'Données projet'!$B$62,AI47+AH48-AQ47)))</f>
        <v>252.14615384615382</v>
      </c>
      <c r="AJ48" s="14">
        <f>AI48*VLOOKUP('Données projet'!$B$10,Paramètres!$A$1:$I$89,3,0)*VLOOKUP('Données projet'!$B$10,Paramètres!$A$1:$I$89,5,0)</f>
        <v>118.00439999999999</v>
      </c>
      <c r="AK48" s="14">
        <f t="shared" si="35"/>
        <v>31.209105068500421</v>
      </c>
      <c r="AL48" s="22">
        <f t="shared" si="4"/>
        <v>259.88018799430489</v>
      </c>
      <c r="AM48" s="62">
        <f t="shared" si="5"/>
        <v>553.2135213276382</v>
      </c>
      <c r="AN48" s="62">
        <f ca="1">AVERAGE(OFFSET($AM$3,0,0,'Données projet'!$E$10+1,1))-AVERAGE(OFFSET($H$3,0,0,'Données projet'!$E$10+1,1))</f>
        <v>245.47494516762282</v>
      </c>
      <c r="AO48" s="62">
        <f t="shared" si="36"/>
        <v>145.54897745089966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179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179.00000000000006</v>
      </c>
      <c r="BE48" s="14">
        <f>BD48*VLOOKUP('Données projet'!$B$11,Paramètres!$A$1:$I$89,3,0)*VLOOKUP('Données projet'!$B$11,Paramètres!$A$1:$I$89,5,0)</f>
        <v>161.95920000000004</v>
      </c>
      <c r="BF48" s="14">
        <f t="shared" si="37"/>
        <v>41.284104935125725</v>
      </c>
      <c r="BG48" s="22">
        <f t="shared" si="7"/>
        <v>353.9820894286774</v>
      </c>
      <c r="BH48" s="62">
        <f t="shared" si="8"/>
        <v>647.31542276201071</v>
      </c>
      <c r="BI48" s="62">
        <f ca="1">AVERAGE(OFFSET($BH$3,0,0,'Données projet'!$E$11+1,1))-AVERAGE(OFFSET($H$3,0,0,'Données projet'!$E$11+1,1))</f>
        <v>430.21146937947236</v>
      </c>
      <c r="BJ48" s="62">
        <f t="shared" si="38"/>
        <v>231.36959598460686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42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197.37499999999994</v>
      </c>
      <c r="BZ48" s="14">
        <f>BY48*VLOOKUP('Données projet'!$B$12,Paramètres!$A$1:$I$89,3,0)*VLOOKUP('Données projet'!$B$12,Paramètres!$A$1:$I$89,5,0)</f>
        <v>153.95249999999996</v>
      </c>
      <c r="CA48" s="14">
        <f t="shared" si="39"/>
        <v>39.475441267837397</v>
      </c>
      <c r="CB48" s="22">
        <f t="shared" si="10"/>
        <v>336.88699770815003</v>
      </c>
      <c r="CC48" s="62">
        <f t="shared" si="11"/>
        <v>630.2203310414834</v>
      </c>
      <c r="CD48" s="62">
        <f ca="1">AVERAGE(OFFSET($CC$3,0,0,'Données projet'!$E$12+1,1))-AVERAGE(OFFSET($H$3,0,0,'Données projet'!$E$12+1,1))</f>
        <v>299.07024205218266</v>
      </c>
      <c r="CE48" s="62">
        <f t="shared" si="40"/>
        <v>328.70296497136366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117.94871794871794</v>
      </c>
      <c r="CR48" s="13">
        <f>VLOOKUP(A48,'Données projet'!$A$139:$I$159,9,0)</f>
        <v>4.6153846153846159</v>
      </c>
      <c r="CS48" s="13">
        <f t="array" ref="CS48">INDEX(CR:CR,MIN(IF(ISNUMBER(CR48:CR244),ROW(CR48:CR244),"")))</f>
        <v>4.6153846153846159</v>
      </c>
      <c r="CT48" s="13">
        <f>IF('Données projet'!$A$140&gt;35,CT47+CS48-DB47,IF(A48&lt;'Données projet'!$A$140,$CQ$205^A48,IF(A48='Données projet'!$A$140,'Données projet'!$B$140,CT47+CS48-DB47)))</f>
        <v>117.94871794871793</v>
      </c>
      <c r="CU48" s="18">
        <f>CT48*VLOOKUP('Données projet'!$B$13,Paramètres!$A$1:$I$89,3,0)*VLOOKUP('Données projet'!$B$13,Paramètres!$A$1:$I$89,5,0)</f>
        <v>112.23999999999997</v>
      </c>
      <c r="CV48" s="14">
        <f t="shared" si="41"/>
        <v>29.858125249686793</v>
      </c>
      <c r="CW48" s="22">
        <f t="shared" si="13"/>
        <v>247.48756814320438</v>
      </c>
      <c r="CX48" s="62">
        <f t="shared" si="14"/>
        <v>540.82090147653776</v>
      </c>
      <c r="CY48" s="62">
        <f ca="1">AVERAGE(OFFSET($CX$3,0,0,'Données projet'!$E$13+1,1))-AVERAGE(OFFSET($H$3,0,0,'Données projet'!$E$13+1,1))</f>
        <v>300.36889324671682</v>
      </c>
      <c r="CZ48" s="62">
        <f t="shared" si="42"/>
        <v>214.36051699039683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147.23280000000005</v>
      </c>
      <c r="P49" s="14">
        <f t="shared" si="33"/>
        <v>37.949049623906205</v>
      </c>
      <c r="Q49" s="22">
        <f t="shared" si="53"/>
        <v>322.52505476163668</v>
      </c>
      <c r="R49" s="62">
        <f t="shared" si="0"/>
        <v>615.85838809497</v>
      </c>
      <c r="S49" s="62">
        <f ca="1">AVERAGE(OFFSET($R$3,0,0,'Données projet'!$E$9+1,1))-AVERAGE(OFFSET($H$3,0,0,'Données projet'!$E$9+1,1))</f>
        <v>477.00263959594946</v>
      </c>
      <c r="T49" s="62">
        <f t="shared" si="34"/>
        <v>254.25036207346591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11.615384615384608</v>
      </c>
      <c r="AI49" s="14">
        <f>IF('Données projet'!$A$62&gt;35,AI48+AH49-AQ48,IF(A49&lt;'Données projet'!$A$62,$AF$205^A49,IF(A49='Données projet'!$A$62,'Données projet'!$B$62,AI48+AH49-AQ48)))</f>
        <v>263.76153846153841</v>
      </c>
      <c r="AJ49" s="14">
        <f>AI49*VLOOKUP('Données projet'!$B$10,Paramètres!$A$1:$I$89,3,0)*VLOOKUP('Données projet'!$B$10,Paramètres!$A$1:$I$89,5,0)</f>
        <v>123.44039999999998</v>
      </c>
      <c r="AK49" s="14">
        <f t="shared" si="35"/>
        <v>32.476091260477197</v>
      </c>
      <c r="AL49" s="22">
        <f t="shared" si="4"/>
        <v>271.55455561199773</v>
      </c>
      <c r="AM49" s="62">
        <f t="shared" si="5"/>
        <v>564.88788894533104</v>
      </c>
      <c r="AN49" s="62">
        <f ca="1">AVERAGE(OFFSET($AM$3,0,0,'Données projet'!$E$10+1,1))-AVERAGE(OFFSET($H$3,0,0,'Données projet'!$E$10+1,1))</f>
        <v>245.47494516762282</v>
      </c>
      <c r="AO49" s="62">
        <f t="shared" si="36"/>
        <v>145.54897745089966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projet'!$B$11,Paramètres!$A$1:$I$89,3,0)*VLOOKUP('Données projet'!$B$11,Paramètres!$A$1:$I$89,5,0)</f>
        <v>131.37696000000003</v>
      </c>
      <c r="BF49" s="14">
        <f t="shared" si="37"/>
        <v>34.314338988223334</v>
      </c>
      <c r="BG49" s="22">
        <f t="shared" si="7"/>
        <v>288.57901240448905</v>
      </c>
      <c r="BH49" s="62">
        <f t="shared" si="8"/>
        <v>581.91234573782231</v>
      </c>
      <c r="BI49" s="62">
        <f ca="1">AVERAGE(OFFSET($BH$3,0,0,'Données projet'!$E$11+1,1))-AVERAGE(OFFSET($H$3,0,0,'Données projet'!$E$11+1,1))</f>
        <v>430.21146937947236</v>
      </c>
      <c r="BJ49" s="62">
        <f t="shared" si="38"/>
        <v>231.36959598460686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207.74999999999994</v>
      </c>
      <c r="BZ49" s="14">
        <f>BY49*VLOOKUP('Données projet'!$B$12,Paramètres!$A$1:$I$89,3,0)*VLOOKUP('Données projet'!$B$12,Paramètres!$A$1:$I$89,5,0)</f>
        <v>162.04499999999996</v>
      </c>
      <c r="CA49" s="14">
        <f t="shared" si="39"/>
        <v>41.303429372463391</v>
      </c>
      <c r="CB49" s="22">
        <f t="shared" si="10"/>
        <v>354.16518115704031</v>
      </c>
      <c r="CC49" s="62">
        <f t="shared" si="11"/>
        <v>647.49851449037362</v>
      </c>
      <c r="CD49" s="62">
        <f ca="1">AVERAGE(OFFSET($CC$3,0,0,'Données projet'!$E$12+1,1))-AVERAGE(OFFSET($H$3,0,0,'Données projet'!$E$12+1,1))</f>
        <v>299.07024205218266</v>
      </c>
      <c r="CE49" s="62">
        <f t="shared" si="40"/>
        <v>328.70296497136366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4.6153846153846159</v>
      </c>
      <c r="CT49" s="13">
        <f>IF('Données projet'!$A$140&gt;35,CT48+CS49-DB48,IF(A49&lt;'Données projet'!$A$140,$CQ$205^A49,IF(A49='Données projet'!$A$140,'Données projet'!$B$140,CT48+CS49-DB48)))</f>
        <v>122.56410256410254</v>
      </c>
      <c r="CU49" s="18">
        <f>CT49*VLOOKUP('Données projet'!$B$13,Paramètres!$A$1:$I$89,3,0)*VLOOKUP('Données projet'!$B$13,Paramètres!$A$1:$I$89,5,0)</f>
        <v>116.63199999999998</v>
      </c>
      <c r="CV49" s="14">
        <f t="shared" si="41"/>
        <v>30.88817184981885</v>
      </c>
      <c r="CW49" s="22">
        <f t="shared" si="13"/>
        <v>256.93096597176776</v>
      </c>
      <c r="CX49" s="62">
        <f t="shared" si="14"/>
        <v>550.26429930510108</v>
      </c>
      <c r="CY49" s="62">
        <f ca="1">AVERAGE(OFFSET($CX$3,0,0,'Données projet'!$E$13+1,1))-AVERAGE(OFFSET($H$3,0,0,'Données projet'!$E$13+1,1))</f>
        <v>300.36889324671682</v>
      </c>
      <c r="CZ49" s="62">
        <f t="shared" si="42"/>
        <v>214.36051699039683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155.54760000000005</v>
      </c>
      <c r="P50" s="14">
        <f t="shared" si="33"/>
        <v>39.836620617816237</v>
      </c>
      <c r="Q50" s="22">
        <f t="shared" si="53"/>
        <v>340.29418424269664</v>
      </c>
      <c r="R50" s="62">
        <f t="shared" si="0"/>
        <v>633.62751757602996</v>
      </c>
      <c r="S50" s="62">
        <f ca="1">AVERAGE(OFFSET($R$3,0,0,'Données projet'!$E$9+1,1))-AVERAGE(OFFSET($H$3,0,0,'Données projet'!$E$9+1,1))</f>
        <v>477.00263959594946</v>
      </c>
      <c r="T50" s="62">
        <f t="shared" si="34"/>
        <v>254.25036207346591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11.615384615384608</v>
      </c>
      <c r="AI50" s="14">
        <f>IF('Données projet'!$A$62&gt;35,AI49+AH50-AQ49,IF(A50&lt;'Données projet'!$A$62,$AF$205^A50,IF(A50='Données projet'!$A$62,'Données projet'!$B$62,AI49+AH50-AQ49)))</f>
        <v>275.37692307692299</v>
      </c>
      <c r="AJ50" s="14">
        <f>AI50*VLOOKUP('Données projet'!$B$10,Paramètres!$A$1:$I$89,3,0)*VLOOKUP('Données projet'!$B$10,Paramètres!$A$1:$I$89,5,0)</f>
        <v>128.87639999999996</v>
      </c>
      <c r="AK50" s="14">
        <f t="shared" si="35"/>
        <v>33.736597338654839</v>
      </c>
      <c r="AL50" s="22">
        <f t="shared" si="4"/>
        <v>283.21763703149043</v>
      </c>
      <c r="AM50" s="62">
        <f t="shared" si="5"/>
        <v>576.5509703648238</v>
      </c>
      <c r="AN50" s="62">
        <f ca="1">AVERAGE(OFFSET($AM$3,0,0,'Données projet'!$E$10+1,1))-AVERAGE(OFFSET($H$3,0,0,'Données projet'!$E$10+1,1))</f>
        <v>245.47494516762282</v>
      </c>
      <c r="AO50" s="62">
        <f t="shared" si="36"/>
        <v>145.54897745089966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projet'!$B$11,Paramètres!$A$1:$I$89,3,0)*VLOOKUP('Données projet'!$B$11,Paramètres!$A$1:$I$89,5,0)</f>
        <v>138.79632000000001</v>
      </c>
      <c r="BF50" s="14">
        <f t="shared" si="37"/>
        <v>36.021120886354588</v>
      </c>
      <c r="BG50" s="22">
        <f t="shared" si="7"/>
        <v>304.47370954373423</v>
      </c>
      <c r="BH50" s="62">
        <f t="shared" si="8"/>
        <v>597.80704287706749</v>
      </c>
      <c r="BI50" s="62">
        <f ca="1">AVERAGE(OFFSET($BH$3,0,0,'Données projet'!$E$11+1,1))-AVERAGE(OFFSET($H$3,0,0,'Données projet'!$E$11+1,1))</f>
        <v>430.21146937947236</v>
      </c>
      <c r="BJ50" s="62">
        <f t="shared" si="38"/>
        <v>231.36959598460686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218.12499999999994</v>
      </c>
      <c r="BZ50" s="14">
        <f>BY50*VLOOKUP('Données projet'!$B$12,Paramètres!$A$1:$I$89,3,0)*VLOOKUP('Données projet'!$B$12,Paramètres!$A$1:$I$89,5,0)</f>
        <v>170.13749999999996</v>
      </c>
      <c r="CA50" s="14">
        <f t="shared" si="39"/>
        <v>43.120817562072411</v>
      </c>
      <c r="CB50" s="22">
        <f t="shared" si="10"/>
        <v>371.42490308727605</v>
      </c>
      <c r="CC50" s="62">
        <f t="shared" si="11"/>
        <v>664.75823642060936</v>
      </c>
      <c r="CD50" s="62">
        <f ca="1">AVERAGE(OFFSET($CC$3,0,0,'Données projet'!$E$12+1,1))-AVERAGE(OFFSET($H$3,0,0,'Données projet'!$E$12+1,1))</f>
        <v>299.07024205218266</v>
      </c>
      <c r="CE50" s="62">
        <f t="shared" si="40"/>
        <v>328.70296497136366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4.6153846153846159</v>
      </c>
      <c r="CT50" s="13">
        <f>IF('Données projet'!$A$140&gt;35,CT49+CS50-DB49,IF(A50&lt;'Données projet'!$A$140,$CQ$205^A50,IF(A50='Données projet'!$A$140,'Données projet'!$B$140,CT49+CS50-DB49)))</f>
        <v>127.17948717948715</v>
      </c>
      <c r="CU50" s="18">
        <f>CT50*VLOOKUP('Données projet'!$B$13,Paramètres!$A$1:$I$89,3,0)*VLOOKUP('Données projet'!$B$13,Paramètres!$A$1:$I$89,5,0)</f>
        <v>121.02399999999997</v>
      </c>
      <c r="CV50" s="14">
        <f t="shared" si="41"/>
        <v>31.913712239983617</v>
      </c>
      <c r="CW50" s="22">
        <f t="shared" si="13"/>
        <v>266.36651548463811</v>
      </c>
      <c r="CX50" s="62">
        <f t="shared" si="14"/>
        <v>559.69984881797143</v>
      </c>
      <c r="CY50" s="62">
        <f ca="1">AVERAGE(OFFSET($CX$3,0,0,'Données projet'!$E$13+1,1))-AVERAGE(OFFSET($H$3,0,0,'Données projet'!$E$13+1,1))</f>
        <v>300.36889324671682</v>
      </c>
      <c r="CZ50" s="62">
        <f t="shared" si="42"/>
        <v>214.36051699039683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163.86240000000004</v>
      </c>
      <c r="P51" s="14">
        <f t="shared" si="33"/>
        <v>41.712477409029084</v>
      </c>
      <c r="Q51" s="22">
        <f t="shared" si="53"/>
        <v>358.0429114873923</v>
      </c>
      <c r="R51" s="62">
        <f t="shared" si="0"/>
        <v>651.37624482072556</v>
      </c>
      <c r="S51" s="62">
        <f ca="1">AVERAGE(OFFSET($R$3,0,0,'Données projet'!$E$9+1,1))-AVERAGE(OFFSET($H$3,0,0,'Données projet'!$E$9+1,1))</f>
        <v>477.00263959594946</v>
      </c>
      <c r="T51" s="62">
        <f t="shared" si="34"/>
        <v>254.25036207346591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11.615384615384608</v>
      </c>
      <c r="AI51" s="14">
        <f>IF('Données projet'!$A$62&gt;35,AI50+AH51-AQ50,IF(A51&lt;'Données projet'!$A$62,$AF$205^A51,IF(A51='Données projet'!$A$62,'Données projet'!$B$62,AI50+AH51-AQ50)))</f>
        <v>286.99230769230758</v>
      </c>
      <c r="AJ51" s="14">
        <f>AI51*VLOOKUP('Données projet'!$B$10,Paramètres!$A$1:$I$89,3,0)*VLOOKUP('Données projet'!$B$10,Paramètres!$A$1:$I$89,5,0)</f>
        <v>134.31239999999994</v>
      </c>
      <c r="AK51" s="14">
        <f t="shared" si="35"/>
        <v>34.990927885997522</v>
      </c>
      <c r="AL51" s="22">
        <f t="shared" si="4"/>
        <v>294.86996273477894</v>
      </c>
      <c r="AM51" s="62">
        <f t="shared" si="5"/>
        <v>588.20329606811219</v>
      </c>
      <c r="AN51" s="62">
        <f ca="1">AVERAGE(OFFSET($AM$3,0,0,'Données projet'!$E$10+1,1))-AVERAGE(OFFSET($H$3,0,0,'Données projet'!$E$10+1,1))</f>
        <v>245.47494516762282</v>
      </c>
      <c r="AO51" s="62">
        <f t="shared" si="36"/>
        <v>145.54897745089966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projet'!$B$11,Paramètres!$A$1:$I$89,3,0)*VLOOKUP('Données projet'!$B$11,Paramètres!$A$1:$I$89,5,0)</f>
        <v>146.21568000000002</v>
      </c>
      <c r="BF51" s="14">
        <f t="shared" si="37"/>
        <v>37.717310552893402</v>
      </c>
      <c r="BG51" s="22">
        <f t="shared" si="7"/>
        <v>320.34995854628937</v>
      </c>
      <c r="BH51" s="62">
        <f t="shared" si="8"/>
        <v>613.68329187962263</v>
      </c>
      <c r="BI51" s="62">
        <f ca="1">AVERAGE(OFFSET($BH$3,0,0,'Données projet'!$E$11+1,1))-AVERAGE(OFFSET($H$3,0,0,'Données projet'!$E$11+1,1))</f>
        <v>430.21146937947236</v>
      </c>
      <c r="BJ51" s="62">
        <f t="shared" si="38"/>
        <v>231.36959598460686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228.49999999999994</v>
      </c>
      <c r="BZ51" s="14">
        <f>BY51*VLOOKUP('Données projet'!$B$12,Paramètres!$A$1:$I$89,3,0)*VLOOKUP('Données projet'!$B$12,Paramètres!$A$1:$I$89,5,0)</f>
        <v>178.22999999999996</v>
      </c>
      <c r="CA51" s="14">
        <f t="shared" si="39"/>
        <v>44.928167580487852</v>
      </c>
      <c r="CB51" s="22">
        <f t="shared" si="10"/>
        <v>388.66714186934956</v>
      </c>
      <c r="CC51" s="62">
        <f t="shared" si="11"/>
        <v>682.00047520268288</v>
      </c>
      <c r="CD51" s="62">
        <f ca="1">AVERAGE(OFFSET($CC$3,0,0,'Données projet'!$E$12+1,1))-AVERAGE(OFFSET($H$3,0,0,'Données projet'!$E$12+1,1))</f>
        <v>299.07024205218266</v>
      </c>
      <c r="CE51" s="62">
        <f t="shared" si="40"/>
        <v>328.70296497136366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4.6153846153846159</v>
      </c>
      <c r="CT51" s="13">
        <f>IF('Données projet'!$A$140&gt;35,CT50+CS51-DB50,IF(A51&lt;'Données projet'!$A$140,$CQ$205^A51,IF(A51='Données projet'!$A$140,'Données projet'!$B$140,CT50+CS51-DB50)))</f>
        <v>131.79487179487177</v>
      </c>
      <c r="CU51" s="18">
        <f>CT51*VLOOKUP('Données projet'!$B$13,Paramètres!$A$1:$I$89,3,0)*VLOOKUP('Données projet'!$B$13,Paramètres!$A$1:$I$89,5,0)</f>
        <v>125.41599999999997</v>
      </c>
      <c r="CV51" s="14">
        <f t="shared" si="41"/>
        <v>32.93492868341815</v>
      </c>
      <c r="CW51" s="22">
        <f t="shared" si="13"/>
        <v>275.79453412361988</v>
      </c>
      <c r="CX51" s="62">
        <f t="shared" si="14"/>
        <v>569.12786745695325</v>
      </c>
      <c r="CY51" s="62">
        <f ca="1">AVERAGE(OFFSET($CX$3,0,0,'Données projet'!$E$13+1,1))-AVERAGE(OFFSET($H$3,0,0,'Données projet'!$E$13+1,1))</f>
        <v>300.36889324671682</v>
      </c>
      <c r="CZ51" s="62">
        <f t="shared" si="42"/>
        <v>214.36051699039683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172.1772</v>
      </c>
      <c r="P52" s="14">
        <f t="shared" si="33"/>
        <v>43.577282221917017</v>
      </c>
      <c r="Q52" s="22">
        <f t="shared" si="53"/>
        <v>375.77238986983883</v>
      </c>
      <c r="R52" s="62">
        <f t="shared" si="0"/>
        <v>669.10572320317215</v>
      </c>
      <c r="S52" s="62">
        <f ca="1">AVERAGE(OFFSET($R$3,0,0,'Données projet'!$E$9+1,1))-AVERAGE(OFFSET($H$3,0,0,'Données projet'!$E$9+1,1))</f>
        <v>477.00263959594946</v>
      </c>
      <c r="T52" s="62">
        <f t="shared" si="34"/>
        <v>254.25036207346591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11.615384615384608</v>
      </c>
      <c r="AI52" s="14">
        <f>IF('Données projet'!$A$62&gt;35,AI51+AH52-AQ51,IF(A52&lt;'Données projet'!$A$62,$AF$205^A52,IF(A52='Données projet'!$A$62,'Données projet'!$B$62,AI51+AH52-AQ51)))</f>
        <v>298.60769230769216</v>
      </c>
      <c r="AJ52" s="14">
        <f>AI52*VLOOKUP('Données projet'!$B$10,Paramètres!$A$1:$I$89,3,0)*VLOOKUP('Données projet'!$B$10,Paramètres!$A$1:$I$89,5,0)</f>
        <v>139.74839999999992</v>
      </c>
      <c r="AK52" s="14">
        <f t="shared" si="35"/>
        <v>36.239361435480362</v>
      </c>
      <c r="AL52" s="22">
        <f t="shared" si="4"/>
        <v>306.51201783346147</v>
      </c>
      <c r="AM52" s="62">
        <f t="shared" si="5"/>
        <v>599.84535116679479</v>
      </c>
      <c r="AN52" s="62">
        <f ca="1">AVERAGE(OFFSET($AM$3,0,0,'Données projet'!$E$10+1,1))-AVERAGE(OFFSET($H$3,0,0,'Données projet'!$E$10+1,1))</f>
        <v>245.47494516762282</v>
      </c>
      <c r="AO52" s="62">
        <f t="shared" si="36"/>
        <v>145.54897745089966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projet'!$B$11,Paramètres!$A$1:$I$89,3,0)*VLOOKUP('Données projet'!$B$11,Paramètres!$A$1:$I$89,5,0)</f>
        <v>153.63504</v>
      </c>
      <c r="BF52" s="14">
        <f t="shared" si="37"/>
        <v>39.403506785222667</v>
      </c>
      <c r="BG52" s="22">
        <f t="shared" si="7"/>
        <v>336.20880231759617</v>
      </c>
      <c r="BH52" s="62">
        <f t="shared" si="8"/>
        <v>629.54213565092948</v>
      </c>
      <c r="BI52" s="62">
        <f ca="1">AVERAGE(OFFSET($BH$3,0,0,'Données projet'!$E$11+1,1))-AVERAGE(OFFSET($H$3,0,0,'Données projet'!$E$11+1,1))</f>
        <v>430.21146937947236</v>
      </c>
      <c r="BJ52" s="62">
        <f t="shared" si="38"/>
        <v>231.36959598460686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238.87499999999994</v>
      </c>
      <c r="BZ52" s="14">
        <f>BY52*VLOOKUP('Données projet'!$B$12,Paramètres!$A$1:$I$89,3,0)*VLOOKUP('Données projet'!$B$12,Paramètres!$A$1:$I$89,5,0)</f>
        <v>186.32249999999996</v>
      </c>
      <c r="CA52" s="14">
        <f t="shared" si="39"/>
        <v>46.725987276254116</v>
      </c>
      <c r="CB52" s="22">
        <f t="shared" si="10"/>
        <v>405.89278200614257</v>
      </c>
      <c r="CC52" s="62">
        <f t="shared" si="11"/>
        <v>699.22611533947588</v>
      </c>
      <c r="CD52" s="62">
        <f ca="1">AVERAGE(OFFSET($CC$3,0,0,'Données projet'!$E$12+1,1))-AVERAGE(OFFSET($H$3,0,0,'Données projet'!$E$12+1,1))</f>
        <v>299.07024205218266</v>
      </c>
      <c r="CE52" s="62">
        <f t="shared" si="40"/>
        <v>328.70296497136366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4.6153846153846159</v>
      </c>
      <c r="CT52" s="13">
        <f>IF('Données projet'!$A$140&gt;35,CT51+CS52-DB51,IF(A52&lt;'Données projet'!$A$140,$CQ$205^A52,IF(A52='Données projet'!$A$140,'Données projet'!$B$140,CT51+CS52-DB51)))</f>
        <v>136.41025641025638</v>
      </c>
      <c r="CU52" s="18">
        <f>CT52*VLOOKUP('Données projet'!$B$13,Paramètres!$A$1:$I$89,3,0)*VLOOKUP('Données projet'!$B$13,Paramètres!$A$1:$I$89,5,0)</f>
        <v>129.80799999999996</v>
      </c>
      <c r="CV52" s="14">
        <f t="shared" si="41"/>
        <v>33.951989953983613</v>
      </c>
      <c r="CW52" s="22">
        <f t="shared" si="13"/>
        <v>285.21531583652137</v>
      </c>
      <c r="CX52" s="62">
        <f t="shared" si="14"/>
        <v>578.54864916985468</v>
      </c>
      <c r="CY52" s="62">
        <f ca="1">AVERAGE(OFFSET($CX$3,0,0,'Données projet'!$E$13+1,1))-AVERAGE(OFFSET($H$3,0,0,'Données projet'!$E$13+1,1))</f>
        <v>300.36889324671682</v>
      </c>
      <c r="CZ52" s="62">
        <f t="shared" si="42"/>
        <v>214.36051699039683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180.49200000000002</v>
      </c>
      <c r="P53" s="14">
        <f t="shared" si="33"/>
        <v>45.431629706642653</v>
      </c>
      <c r="Q53" s="22">
        <f t="shared" si="53"/>
        <v>393.4836550724026</v>
      </c>
      <c r="R53" s="62">
        <f t="shared" si="0"/>
        <v>686.81698840573586</v>
      </c>
      <c r="S53" s="62">
        <f ca="1">AVERAGE(OFFSET($R$3,0,0,'Données projet'!$E$9+1,1))-AVERAGE(OFFSET($H$3,0,0,'Données projet'!$E$9+1,1))</f>
        <v>477.00263959594946</v>
      </c>
      <c r="T53" s="62">
        <f t="shared" si="34"/>
        <v>254.25036207346591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11.615384615384608</v>
      </c>
      <c r="AI53" s="14">
        <f>IF('Données projet'!$A$62&gt;35,AI52+AH53-AQ52,IF(A53&lt;'Données projet'!$A$62,$AF$205^A53,IF(A53='Données projet'!$A$62,'Données projet'!$B$62,AI52+AH53-AQ52)))</f>
        <v>310.22307692307675</v>
      </c>
      <c r="AJ53" s="14">
        <f>AI53*VLOOKUP('Données projet'!$B$10,Paramètres!$A$1:$I$89,3,0)*VLOOKUP('Données projet'!$B$10,Paramètres!$A$1:$I$89,5,0)</f>
        <v>145.18439999999993</v>
      </c>
      <c r="AK53" s="14">
        <f t="shared" si="35"/>
        <v>37.482153624096057</v>
      </c>
      <c r="AL53" s="22">
        <f t="shared" si="4"/>
        <v>318.14424756196712</v>
      </c>
      <c r="AM53" s="62">
        <f t="shared" si="5"/>
        <v>611.47758089530043</v>
      </c>
      <c r="AN53" s="62">
        <f ca="1">AVERAGE(OFFSET($AM$3,0,0,'Données projet'!$E$10+1,1))-AVERAGE(OFFSET($H$3,0,0,'Données projet'!$E$10+1,1))</f>
        <v>245.47494516762282</v>
      </c>
      <c r="AO53" s="62">
        <f t="shared" si="36"/>
        <v>145.54897745089966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projet'!$B$11,Paramètres!$A$1:$I$89,3,0)*VLOOKUP('Données projet'!$B$11,Paramètres!$A$1:$I$89,5,0)</f>
        <v>161.05439999999999</v>
      </c>
      <c r="BF53" s="14">
        <f t="shared" si="37"/>
        <v>41.080247278685491</v>
      </c>
      <c r="BG53" s="22">
        <f t="shared" si="7"/>
        <v>352.05117734371055</v>
      </c>
      <c r="BH53" s="62">
        <f t="shared" si="8"/>
        <v>645.38451067704386</v>
      </c>
      <c r="BI53" s="62">
        <f ca="1">AVERAGE(OFFSET($BH$3,0,0,'Données projet'!$E$11+1,1))-AVERAGE(OFFSET($H$3,0,0,'Données projet'!$E$11+1,1))</f>
        <v>430.21146937947236</v>
      </c>
      <c r="BJ53" s="62">
        <f t="shared" si="38"/>
        <v>231.36959598460686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249.24999999999994</v>
      </c>
      <c r="BZ53" s="14">
        <f>BY53*VLOOKUP('Données projet'!$B$12,Paramètres!$A$1:$I$89,3,0)*VLOOKUP('Données projet'!$B$12,Paramètres!$A$1:$I$89,5,0)</f>
        <v>194.41499999999996</v>
      </c>
      <c r="CA53" s="14">
        <f t="shared" si="39"/>
        <v>48.514737888684969</v>
      </c>
      <c r="CB53" s="22">
        <f t="shared" si="10"/>
        <v>423.1026268227929</v>
      </c>
      <c r="CC53" s="62">
        <f t="shared" si="11"/>
        <v>716.43596015612616</v>
      </c>
      <c r="CD53" s="62">
        <f ca="1">AVERAGE(OFFSET($CC$3,0,0,'Données projet'!$E$12+1,1))-AVERAGE(OFFSET($H$3,0,0,'Données projet'!$E$12+1,1))</f>
        <v>299.07024205218266</v>
      </c>
      <c r="CE53" s="62">
        <f t="shared" si="40"/>
        <v>328.70296497136366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141.02564102564102</v>
      </c>
      <c r="CR53" s="13">
        <f>VLOOKUP(A53,'Données projet'!$A$139:$I$159,9,0)</f>
        <v>4.6153846153846159</v>
      </c>
      <c r="CS53" s="13">
        <f t="array" ref="CS53">INDEX(CR:CR,MIN(IF(ISNUMBER(CR53:CR249),ROW(CR53:CR249),"")))</f>
        <v>4.6153846153846159</v>
      </c>
      <c r="CT53" s="13">
        <f>IF('Données projet'!$A$140&gt;35,CT52+CS53-DB52,IF(A53&lt;'Données projet'!$A$140,$CQ$205^A53,IF(A53='Données projet'!$A$140,'Données projet'!$B$140,CT52+CS53-DB52)))</f>
        <v>141.02564102564099</v>
      </c>
      <c r="CU53" s="18">
        <f>CT53*VLOOKUP('Données projet'!$B$13,Paramètres!$A$1:$I$89,3,0)*VLOOKUP('Données projet'!$B$13,Paramètres!$A$1:$I$89,5,0)</f>
        <v>134.19999999999999</v>
      </c>
      <c r="CV53" s="14">
        <f t="shared" si="41"/>
        <v>34.965052756825415</v>
      </c>
      <c r="CW53" s="22">
        <f t="shared" si="13"/>
        <v>294.62913355147089</v>
      </c>
      <c r="CX53" s="62">
        <f t="shared" si="14"/>
        <v>587.96246688480414</v>
      </c>
      <c r="CY53" s="62">
        <f ca="1">AVERAGE(OFFSET($CX$3,0,0,'Données projet'!$E$13+1,1))-AVERAGE(OFFSET($H$3,0,0,'Données projet'!$E$13+1,1))</f>
        <v>300.36889324671682</v>
      </c>
      <c r="CZ53" s="62">
        <f t="shared" si="42"/>
        <v>214.36051699039683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23.076923076923077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188.60400000000001</v>
      </c>
      <c r="P54" s="14">
        <f t="shared" si="33"/>
        <v>47.231184731814224</v>
      </c>
      <c r="Q54" s="22">
        <f t="shared" si="53"/>
        <v>410.74628007457642</v>
      </c>
      <c r="R54" s="62">
        <f t="shared" si="0"/>
        <v>704.07961340790973</v>
      </c>
      <c r="S54" s="62">
        <f ca="1">AVERAGE(OFFSET($R$3,0,0,'Données projet'!$E$9+1,1))-AVERAGE(OFFSET($H$3,0,0,'Données projet'!$E$9+1,1))</f>
        <v>477.00263959594946</v>
      </c>
      <c r="T54" s="62">
        <f t="shared" si="34"/>
        <v>254.25036207346591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321.8384615384615</v>
      </c>
      <c r="AG54" s="13">
        <f>VLOOKUP(A54,'Données projet'!$A$61:$I$81,9,0)</f>
        <v>11.615384615384608</v>
      </c>
      <c r="AH54" s="13">
        <f t="array" ref="AH54">INDEX(AG:AG,MIN(IF(ISNUMBER(AG54:AG250),ROW(AG54:AG250),"")))</f>
        <v>11.615384615384608</v>
      </c>
      <c r="AI54" s="14">
        <f>IF('Données projet'!$A$62&gt;35,AI53+AH54-AQ53,IF(A54&lt;'Données projet'!$A$62,$AF$205^A54,IF(A54='Données projet'!$A$62,'Données projet'!$B$62,AI53+AH54-AQ53)))</f>
        <v>321.83846153846133</v>
      </c>
      <c r="AJ54" s="14">
        <f>AI54*VLOOKUP('Données projet'!$B$10,Paramètres!$A$1:$I$89,3,0)*VLOOKUP('Données projet'!$B$10,Paramètres!$A$1:$I$89,5,0)</f>
        <v>150.6203999999999</v>
      </c>
      <c r="AK54" s="14">
        <f t="shared" si="35"/>
        <v>38.719539861211025</v>
      </c>
      <c r="AL54" s="22">
        <f t="shared" si="4"/>
        <v>329.76706192494237</v>
      </c>
      <c r="AM54" s="62">
        <f t="shared" si="5"/>
        <v>623.10039525827574</v>
      </c>
      <c r="AN54" s="62">
        <f ca="1">AVERAGE(OFFSET($AM$3,0,0,'Données projet'!$E$10+1,1))-AVERAGE(OFFSET($H$3,0,0,'Données projet'!$E$10+1,1))</f>
        <v>245.47494516762282</v>
      </c>
      <c r="AO54" s="62">
        <f t="shared" si="36"/>
        <v>145.54897745089966</v>
      </c>
      <c r="AP54" s="16">
        <f>IF(ISNA(VLOOKUP(A54,'Données projet'!$A$61:$I$81,3,0)),0,VLOOKUP(A54,'Données projet'!$A$61:$I$81,3,0))</f>
        <v>1</v>
      </c>
      <c r="AQ54" s="16">
        <f>IF(ISNA(VLOOKUP(A54,'Données projet'!$A$61:$I$81,4,0)),0,VLOOKUP(A54,'Données projet'!$A$61:$I$81,4,0))</f>
        <v>100.30769230769231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186</v>
      </c>
      <c r="BE54" s="14">
        <f>BD54*VLOOKUP('Données projet'!$B$11,Paramètres!$A$1:$I$89,3,0)*VLOOKUP('Données projet'!$B$11,Paramètres!$A$1:$I$89,5,0)</f>
        <v>168.2928</v>
      </c>
      <c r="BF54" s="14">
        <f t="shared" si="37"/>
        <v>42.707443263135104</v>
      </c>
      <c r="BG54" s="22">
        <f t="shared" si="7"/>
        <v>367.49209034996028</v>
      </c>
      <c r="BH54" s="62">
        <f t="shared" si="8"/>
        <v>660.82542368329359</v>
      </c>
      <c r="BI54" s="62">
        <f ca="1">AVERAGE(OFFSET($BH$3,0,0,'Données projet'!$E$11+1,1))-AVERAGE(OFFSET($H$3,0,0,'Données projet'!$E$11+1,1))</f>
        <v>430.21146937947236</v>
      </c>
      <c r="BJ54" s="62">
        <f t="shared" si="38"/>
        <v>231.36959598460686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259.62499999999994</v>
      </c>
      <c r="BZ54" s="14">
        <f>BY54*VLOOKUP('Données projet'!$B$12,Paramètres!$A$1:$I$89,3,0)*VLOOKUP('Données projet'!$B$12,Paramètres!$A$1:$I$89,5,0)</f>
        <v>202.50749999999996</v>
      </c>
      <c r="CA54" s="14">
        <f t="shared" si="39"/>
        <v>50.294840086606349</v>
      </c>
      <c r="CB54" s="22">
        <f t="shared" si="10"/>
        <v>440.29740898417259</v>
      </c>
      <c r="CC54" s="62">
        <f t="shared" si="11"/>
        <v>733.63074231750591</v>
      </c>
      <c r="CD54" s="62">
        <f ca="1">AVERAGE(OFFSET($CC$3,0,0,'Données projet'!$E$12+1,1))-AVERAGE(OFFSET($H$3,0,0,'Données projet'!$E$12+1,1))</f>
        <v>299.07024205218266</v>
      </c>
      <c r="CE54" s="62">
        <f t="shared" si="40"/>
        <v>328.70296497136366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4.2307692307692291</v>
      </c>
      <c r="CT54" s="13">
        <f>IF('Données projet'!$A$140&gt;35,CT53+CS54-DB53,IF(A54&lt;'Données projet'!$A$140,$CQ$205^A54,IF(A54='Données projet'!$A$140,'Données projet'!$B$140,CT53+CS54-DB53)))</f>
        <v>122.17948717948714</v>
      </c>
      <c r="CU54" s="18">
        <f>CT54*VLOOKUP('Données projet'!$B$13,Paramètres!$A$1:$I$89,3,0)*VLOOKUP('Données projet'!$B$13,Paramètres!$A$1:$I$89,5,0)</f>
        <v>116.26599999999995</v>
      </c>
      <c r="CV54" s="14">
        <f t="shared" si="41"/>
        <v>30.802509363032893</v>
      </c>
      <c r="CW54" s="22">
        <f t="shared" si="13"/>
        <v>256.14432047394888</v>
      </c>
      <c r="CX54" s="62">
        <f t="shared" si="14"/>
        <v>549.47765380728219</v>
      </c>
      <c r="CY54" s="62">
        <f ca="1">AVERAGE(OFFSET($CX$3,0,0,'Données projet'!$E$13+1,1))-AVERAGE(OFFSET($H$3,0,0,'Données projet'!$E$13+1,1))</f>
        <v>300.36889324671682</v>
      </c>
      <c r="CZ54" s="62">
        <f t="shared" si="42"/>
        <v>214.36051699039683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196.71600000000001</v>
      </c>
      <c r="P55" s="14">
        <f t="shared" si="33"/>
        <v>49.021749959730009</v>
      </c>
      <c r="Q55" s="22">
        <f t="shared" si="53"/>
        <v>427.99324784652981</v>
      </c>
      <c r="R55" s="62">
        <f t="shared" si="0"/>
        <v>721.32658117986307</v>
      </c>
      <c r="S55" s="62">
        <f ca="1">AVERAGE(OFFSET($R$3,0,0,'Données projet'!$E$9+1,1))-AVERAGE(OFFSET($H$3,0,0,'Données projet'!$E$9+1,1))</f>
        <v>477.00263959594946</v>
      </c>
      <c r="T55" s="62">
        <f t="shared" si="34"/>
        <v>254.25036207346591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10.542307692307702</v>
      </c>
      <c r="AI55" s="14">
        <f>IF('Données projet'!$A$62&gt;35,AI54+AH55-AQ54,IF(A55&lt;'Données projet'!$A$62,$AF$205^A55,IF(A55='Données projet'!$A$62,'Données projet'!$B$62,AI54+AH55-AQ54)))</f>
        <v>232.07307692307671</v>
      </c>
      <c r="AJ55" s="14">
        <f>AI55*VLOOKUP('Données projet'!$B$10,Paramètres!$A$1:$I$89,3,0)*VLOOKUP('Données projet'!$B$10,Paramètres!$A$1:$I$89,5,0)</f>
        <v>108.61019999999989</v>
      </c>
      <c r="AK55" s="14">
        <f t="shared" si="35"/>
        <v>29.003294930485936</v>
      </c>
      <c r="AL55" s="22">
        <f t="shared" si="4"/>
        <v>239.67683700392948</v>
      </c>
      <c r="AM55" s="62">
        <f t="shared" si="5"/>
        <v>533.01017033726282</v>
      </c>
      <c r="AN55" s="62">
        <f ca="1">AVERAGE(OFFSET($AM$3,0,0,'Données projet'!$E$10+1,1))-AVERAGE(OFFSET($H$3,0,0,'Données projet'!$E$10+1,1))</f>
        <v>245.47494516762282</v>
      </c>
      <c r="AO55" s="62">
        <f t="shared" si="36"/>
        <v>145.54897745089966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194</v>
      </c>
      <c r="BE55" s="14">
        <f>BD55*VLOOKUP('Données projet'!$B$11,Paramètres!$A$1:$I$89,3,0)*VLOOKUP('Données projet'!$B$11,Paramètres!$A$1:$I$89,5,0)</f>
        <v>175.53120000000001</v>
      </c>
      <c r="BF55" s="14">
        <f t="shared" si="37"/>
        <v>44.326510481422488</v>
      </c>
      <c r="BG55" s="22">
        <f t="shared" si="7"/>
        <v>382.9188457551441</v>
      </c>
      <c r="BH55" s="62">
        <f t="shared" si="8"/>
        <v>676.25217908847742</v>
      </c>
      <c r="BI55" s="62">
        <f ca="1">AVERAGE(OFFSET($BH$3,0,0,'Données projet'!$E$11+1,1))-AVERAGE(OFFSET($H$3,0,0,'Données projet'!$E$11+1,1))</f>
        <v>430.21146937947236</v>
      </c>
      <c r="BJ55" s="62">
        <f t="shared" si="38"/>
        <v>231.36959598460686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269.99999999999994</v>
      </c>
      <c r="BZ55" s="14">
        <f>BY55*VLOOKUP('Données projet'!$B$12,Paramètres!$A$1:$I$89,3,0)*VLOOKUP('Données projet'!$B$12,Paramètres!$A$1:$I$89,5,0)</f>
        <v>210.59999999999997</v>
      </c>
      <c r="CA55" s="14">
        <f t="shared" si="39"/>
        <v>52.066679014659961</v>
      </c>
      <c r="CB55" s="22">
        <f t="shared" si="10"/>
        <v>457.47779928386598</v>
      </c>
      <c r="CC55" s="62">
        <f t="shared" si="11"/>
        <v>750.81113261719929</v>
      </c>
      <c r="CD55" s="62">
        <f ca="1">AVERAGE(OFFSET($CC$3,0,0,'Données projet'!$E$12+1,1))-AVERAGE(OFFSET($H$3,0,0,'Données projet'!$E$12+1,1))</f>
        <v>299.07024205218266</v>
      </c>
      <c r="CE55" s="62">
        <f t="shared" si="40"/>
        <v>328.70296497136366</v>
      </c>
      <c r="CF55" s="16">
        <f>IF(ISNA(VLOOKUP(A55,'Données projet'!$A$113:$I$133,3,0)),0,VLOOKUP(A55,'Données projet'!$A$113:$I$133,3,0))</f>
        <v>4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4.2307692307692291</v>
      </c>
      <c r="CT55" s="13">
        <f>IF('Données projet'!$A$140&gt;35,CT54+CS55-DB54,IF(A55&lt;'Données projet'!$A$140,$CQ$205^A55,IF(A55='Données projet'!$A$140,'Données projet'!$B$140,CT54+CS55-DB54)))</f>
        <v>126.41025641025637</v>
      </c>
      <c r="CU55" s="18">
        <f>CT55*VLOOKUP('Données projet'!$B$13,Paramètres!$A$1:$I$89,3,0)*VLOOKUP('Données projet'!$B$13,Paramètres!$A$1:$I$89,5,0)</f>
        <v>120.29199999999996</v>
      </c>
      <c r="CV55" s="14">
        <f t="shared" si="41"/>
        <v>31.743093862743649</v>
      </c>
      <c r="CW55" s="22">
        <f t="shared" si="13"/>
        <v>264.79445514427846</v>
      </c>
      <c r="CX55" s="62">
        <f t="shared" si="14"/>
        <v>558.12778847761183</v>
      </c>
      <c r="CY55" s="62">
        <f ca="1">AVERAGE(OFFSET($CX$3,0,0,'Données projet'!$E$13+1,1))-AVERAGE(OFFSET($H$3,0,0,'Données projet'!$E$13+1,1))</f>
        <v>300.36889324671682</v>
      </c>
      <c r="CZ55" s="62">
        <f t="shared" si="42"/>
        <v>214.36051699039683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204.82800000000003</v>
      </c>
      <c r="P56" s="14">
        <f t="shared" si="33"/>
        <v>50.80373850176295</v>
      </c>
      <c r="Q56" s="22">
        <f t="shared" si="53"/>
        <v>445.22527789057045</v>
      </c>
      <c r="R56" s="62">
        <f t="shared" si="0"/>
        <v>738.55861122390377</v>
      </c>
      <c r="S56" s="62">
        <f ca="1">AVERAGE(OFFSET($R$3,0,0,'Données projet'!$E$9+1,1))-AVERAGE(OFFSET($H$3,0,0,'Données projet'!$E$9+1,1))</f>
        <v>477.00263959594946</v>
      </c>
      <c r="T56" s="62">
        <f t="shared" si="34"/>
        <v>254.25036207346591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10.542307692307702</v>
      </c>
      <c r="AI56" s="14">
        <f>IF('Données projet'!$A$62&gt;35,AI55+AH56-AQ55,IF(A56&lt;'Données projet'!$A$62,$AF$205^A56,IF(A56='Données projet'!$A$62,'Données projet'!$B$62,AI55+AH56-AQ55)))</f>
        <v>242.61538461538441</v>
      </c>
      <c r="AJ56" s="14">
        <f>AI56*VLOOKUP('Données projet'!$B$10,Paramètres!$A$1:$I$89,3,0)*VLOOKUP('Données projet'!$B$10,Paramètres!$A$1:$I$89,5,0)</f>
        <v>113.54399999999991</v>
      </c>
      <c r="AK56" s="14">
        <f t="shared" si="35"/>
        <v>30.164431377064304</v>
      </c>
      <c r="AL56" s="22">
        <f t="shared" si="4"/>
        <v>250.29218464838678</v>
      </c>
      <c r="AM56" s="62">
        <f t="shared" si="5"/>
        <v>543.62551798172012</v>
      </c>
      <c r="AN56" s="62">
        <f ca="1">AVERAGE(OFFSET($AM$3,0,0,'Données projet'!$E$10+1,1))-AVERAGE(OFFSET($H$3,0,0,'Données projet'!$E$10+1,1))</f>
        <v>245.47494516762282</v>
      </c>
      <c r="AO56" s="62">
        <f t="shared" si="36"/>
        <v>145.54897745089966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202</v>
      </c>
      <c r="BE56" s="14">
        <f>BD56*VLOOKUP('Données projet'!$B$11,Paramètres!$A$1:$I$89,3,0)*VLOOKUP('Données projet'!$B$11,Paramètres!$A$1:$I$89,5,0)</f>
        <v>182.7696</v>
      </c>
      <c r="BF56" s="14">
        <f t="shared" si="37"/>
        <v>45.937822477650357</v>
      </c>
      <c r="BG56" s="22">
        <f t="shared" si="7"/>
        <v>398.33209414857441</v>
      </c>
      <c r="BH56" s="62">
        <f t="shared" si="8"/>
        <v>691.66542748190773</v>
      </c>
      <c r="BI56" s="62">
        <f ca="1">AVERAGE(OFFSET($BH$3,0,0,'Données projet'!$E$11+1,1))-AVERAGE(OFFSET($H$3,0,0,'Données projet'!$E$11+1,1))</f>
        <v>430.21146937947236</v>
      </c>
      <c r="BJ56" s="62">
        <f t="shared" si="38"/>
        <v>231.36959598460686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231.37499999999994</v>
      </c>
      <c r="BZ56" s="14">
        <f>BY56*VLOOKUP('Données projet'!$B$12,Paramètres!$A$1:$I$89,3,0)*VLOOKUP('Données projet'!$B$12,Paramètres!$A$1:$I$89,5,0)</f>
        <v>180.47249999999997</v>
      </c>
      <c r="CA56" s="14">
        <f t="shared" si="39"/>
        <v>45.427292666837829</v>
      </c>
      <c r="CB56" s="22">
        <f t="shared" si="10"/>
        <v>393.44213889474253</v>
      </c>
      <c r="CC56" s="62">
        <f t="shared" si="11"/>
        <v>686.77547222807584</v>
      </c>
      <c r="CD56" s="62">
        <f ca="1">AVERAGE(OFFSET($CC$3,0,0,'Données projet'!$E$12+1,1))-AVERAGE(OFFSET($H$3,0,0,'Données projet'!$E$12+1,1))</f>
        <v>299.07024205218266</v>
      </c>
      <c r="CE56" s="62">
        <f t="shared" si="40"/>
        <v>328.70296497136366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4.2307692307692291</v>
      </c>
      <c r="CT56" s="13">
        <f>IF('Données projet'!$A$140&gt;35,CT55+CS56-DB55,IF(A56&lt;'Données projet'!$A$140,$CQ$205^A56,IF(A56='Données projet'!$A$140,'Données projet'!$B$140,CT55+CS56-DB55)))</f>
        <v>130.64102564102561</v>
      </c>
      <c r="CU56" s="18">
        <f>CT56*VLOOKUP('Données projet'!$B$13,Paramètres!$A$1:$I$89,3,0)*VLOOKUP('Données projet'!$B$13,Paramètres!$A$1:$I$89,5,0)</f>
        <v>124.31799999999997</v>
      </c>
      <c r="CV56" s="14">
        <f t="shared" si="41"/>
        <v>32.680020496297395</v>
      </c>
      <c r="CW56" s="22">
        <f t="shared" si="13"/>
        <v>273.43821903105123</v>
      </c>
      <c r="CX56" s="62">
        <f t="shared" si="14"/>
        <v>566.77155236438455</v>
      </c>
      <c r="CY56" s="62">
        <f ca="1">AVERAGE(OFFSET($CX$3,0,0,'Données projet'!$E$13+1,1))-AVERAGE(OFFSET($H$3,0,0,'Données projet'!$E$13+1,1))</f>
        <v>300.36889324671682</v>
      </c>
      <c r="CZ56" s="62">
        <f t="shared" si="42"/>
        <v>214.36051699039683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212.94</v>
      </c>
      <c r="P57" s="14">
        <f t="shared" si="33"/>
        <v>52.577528895212865</v>
      </c>
      <c r="Q57" s="22">
        <f t="shared" si="53"/>
        <v>462.44302949249573</v>
      </c>
      <c r="R57" s="62">
        <f t="shared" si="0"/>
        <v>755.77636282582898</v>
      </c>
      <c r="S57" s="62">
        <f ca="1">AVERAGE(OFFSET($R$3,0,0,'Données projet'!$E$9+1,1))-AVERAGE(OFFSET($H$3,0,0,'Données projet'!$E$9+1,1))</f>
        <v>477.00263959594946</v>
      </c>
      <c r="T57" s="62">
        <f t="shared" si="34"/>
        <v>254.25036207346591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10.542307692307702</v>
      </c>
      <c r="AI57" s="14">
        <f>IF('Données projet'!$A$62&gt;35,AI56+AH57-AQ56,IF(A57&lt;'Données projet'!$A$62,$AF$205^A57,IF(A57='Données projet'!$A$62,'Données projet'!$B$62,AI56+AH57-AQ56)))</f>
        <v>253.15769230769212</v>
      </c>
      <c r="AJ57" s="14">
        <f>AI57*VLOOKUP('Données projet'!$B$10,Paramètres!$A$1:$I$89,3,0)*VLOOKUP('Données projet'!$B$10,Paramètres!$A$1:$I$89,5,0)</f>
        <v>118.47779999999992</v>
      </c>
      <c r="AK57" s="14">
        <f t="shared" si="35"/>
        <v>31.319707790273014</v>
      </c>
      <c r="AL57" s="22">
        <f t="shared" si="4"/>
        <v>260.8973260680587</v>
      </c>
      <c r="AM57" s="62">
        <f t="shared" si="5"/>
        <v>554.23065940139202</v>
      </c>
      <c r="AN57" s="62">
        <f ca="1">AVERAGE(OFFSET($AM$3,0,0,'Données projet'!$E$10+1,1))-AVERAGE(OFFSET($H$3,0,0,'Données projet'!$E$10+1,1))</f>
        <v>245.47494516762282</v>
      </c>
      <c r="AO57" s="62">
        <f t="shared" si="36"/>
        <v>145.54897745089966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210</v>
      </c>
      <c r="BE57" s="14">
        <f>BD57*VLOOKUP('Données projet'!$B$11,Paramètres!$A$1:$I$89,3,0)*VLOOKUP('Données projet'!$B$11,Paramètres!$A$1:$I$89,5,0)</f>
        <v>190.00800000000001</v>
      </c>
      <c r="BF57" s="14">
        <f t="shared" si="37"/>
        <v>47.541721533308163</v>
      </c>
      <c r="BG57" s="22">
        <f t="shared" si="7"/>
        <v>413.73243167051174</v>
      </c>
      <c r="BH57" s="62">
        <f t="shared" si="8"/>
        <v>707.06576500384506</v>
      </c>
      <c r="BI57" s="62">
        <f ca="1">AVERAGE(OFFSET($BH$3,0,0,'Données projet'!$E$11+1,1))-AVERAGE(OFFSET($H$3,0,0,'Données projet'!$E$11+1,1))</f>
        <v>430.21146937947236</v>
      </c>
      <c r="BJ57" s="62">
        <f t="shared" si="38"/>
        <v>231.36959598460686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240.74999999999994</v>
      </c>
      <c r="BZ57" s="14">
        <f>BY57*VLOOKUP('Données projet'!$B$12,Paramètres!$A$1:$I$89,3,0)*VLOOKUP('Données projet'!$B$12,Paramètres!$A$1:$I$89,5,0)</f>
        <v>187.78499999999997</v>
      </c>
      <c r="CA57" s="14">
        <f t="shared" si="39"/>
        <v>47.049914090154054</v>
      </c>
      <c r="CB57" s="22">
        <f t="shared" si="10"/>
        <v>409.00414204035161</v>
      </c>
      <c r="CC57" s="62">
        <f t="shared" si="11"/>
        <v>702.33747537368492</v>
      </c>
      <c r="CD57" s="62">
        <f ca="1">AVERAGE(OFFSET($CC$3,0,0,'Données projet'!$E$12+1,1))-AVERAGE(OFFSET($H$3,0,0,'Données projet'!$E$12+1,1))</f>
        <v>299.07024205218266</v>
      </c>
      <c r="CE57" s="62">
        <f t="shared" si="40"/>
        <v>328.70296497136366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4.2307692307692291</v>
      </c>
      <c r="CT57" s="13">
        <f>IF('Données projet'!$A$140&gt;35,CT56+CS57-DB56,IF(A57&lt;'Données projet'!$A$140,$CQ$205^A57,IF(A57='Données projet'!$A$140,'Données projet'!$B$140,CT56+CS57-DB56)))</f>
        <v>134.87179487179483</v>
      </c>
      <c r="CU57" s="18">
        <f>CT57*VLOOKUP('Données projet'!$B$13,Paramètres!$A$1:$I$89,3,0)*VLOOKUP('Données projet'!$B$13,Paramètres!$A$1:$I$89,5,0)</f>
        <v>128.34399999999997</v>
      </c>
      <c r="CV57" s="14">
        <f t="shared" si="41"/>
        <v>33.613421309084202</v>
      </c>
      <c r="CW57" s="22">
        <f t="shared" si="13"/>
        <v>282.07584211332158</v>
      </c>
      <c r="CX57" s="62">
        <f t="shared" si="14"/>
        <v>575.4091754466549</v>
      </c>
      <c r="CY57" s="62">
        <f ca="1">AVERAGE(OFFSET($CX$3,0,0,'Données projet'!$E$13+1,1))-AVERAGE(OFFSET($H$3,0,0,'Données projet'!$E$13+1,1))</f>
        <v>300.36889324671682</v>
      </c>
      <c r="CZ57" s="62">
        <f t="shared" si="42"/>
        <v>214.36051699039683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221.05200000000002</v>
      </c>
      <c r="P58" s="14">
        <f t="shared" si="33"/>
        <v>54.343469202939254</v>
      </c>
      <c r="Q58" s="22">
        <f t="shared" si="53"/>
        <v>479.64710886178597</v>
      </c>
      <c r="R58" s="62">
        <f t="shared" si="0"/>
        <v>772.98044219511928</v>
      </c>
      <c r="S58" s="62">
        <f ca="1">AVERAGE(OFFSET($R$3,0,0,'Données projet'!$E$9+1,1))-AVERAGE(OFFSET($H$3,0,0,'Données projet'!$E$9+1,1))</f>
        <v>477.00263959594946</v>
      </c>
      <c r="T58" s="62">
        <f t="shared" si="34"/>
        <v>254.25036207346591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10.542307692307702</v>
      </c>
      <c r="AI58" s="14">
        <f>IF('Données projet'!$A$62&gt;35,AI57+AH58-AQ57,IF(A58&lt;'Données projet'!$A$62,$AF$205^A58,IF(A58='Données projet'!$A$62,'Données projet'!$B$62,AI57+AH58-AQ57)))</f>
        <v>263.69999999999982</v>
      </c>
      <c r="AJ58" s="14">
        <f>AI58*VLOOKUP('Données projet'!$B$10,Paramètres!$A$1:$I$89,3,0)*VLOOKUP('Données projet'!$B$10,Paramètres!$A$1:$I$89,5,0)</f>
        <v>123.41159999999991</v>
      </c>
      <c r="AK58" s="14">
        <f t="shared" si="35"/>
        <v>32.46939610718038</v>
      </c>
      <c r="AL58" s="22">
        <f t="shared" si="4"/>
        <v>271.49273488667239</v>
      </c>
      <c r="AM58" s="62">
        <f t="shared" si="5"/>
        <v>564.82606822000571</v>
      </c>
      <c r="AN58" s="62">
        <f ca="1">AVERAGE(OFFSET($AM$3,0,0,'Données projet'!$E$10+1,1))-AVERAGE(OFFSET($H$3,0,0,'Données projet'!$E$10+1,1))</f>
        <v>245.47494516762282</v>
      </c>
      <c r="AO58" s="62">
        <f t="shared" si="36"/>
        <v>145.54897745089966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218</v>
      </c>
      <c r="BE58" s="14">
        <f>BD58*VLOOKUP('Données projet'!$B$11,Paramètres!$A$1:$I$89,3,0)*VLOOKUP('Données projet'!$B$11,Paramètres!$A$1:$I$89,5,0)</f>
        <v>197.24639999999999</v>
      </c>
      <c r="BF58" s="14">
        <f t="shared" si="37"/>
        <v>49.138522374247202</v>
      </c>
      <c r="BG58" s="22">
        <f t="shared" si="7"/>
        <v>429.12040646848055</v>
      </c>
      <c r="BH58" s="62">
        <f t="shared" si="8"/>
        <v>722.45373980181387</v>
      </c>
      <c r="BI58" s="62">
        <f ca="1">AVERAGE(OFFSET($BH$3,0,0,'Données projet'!$E$11+1,1))-AVERAGE(OFFSET($H$3,0,0,'Données projet'!$E$11+1,1))</f>
        <v>430.21146937947236</v>
      </c>
      <c r="BJ58" s="62">
        <f t="shared" si="38"/>
        <v>231.36959598460686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42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250.12499999999994</v>
      </c>
      <c r="BZ58" s="14">
        <f>BY58*VLOOKUP('Données projet'!$B$12,Paramètres!$A$1:$I$89,3,0)*VLOOKUP('Données projet'!$B$12,Paramètres!$A$1:$I$89,5,0)</f>
        <v>195.09749999999997</v>
      </c>
      <c r="CA58" s="14">
        <f t="shared" si="39"/>
        <v>48.66519532492584</v>
      </c>
      <c r="CB58" s="22">
        <f t="shared" si="10"/>
        <v>424.55336102424576</v>
      </c>
      <c r="CC58" s="62">
        <f t="shared" si="11"/>
        <v>717.88669435757902</v>
      </c>
      <c r="CD58" s="62">
        <f ca="1">AVERAGE(OFFSET($CC$3,0,0,'Données projet'!$E$12+1,1))-AVERAGE(OFFSET($H$3,0,0,'Données projet'!$E$12+1,1))</f>
        <v>299.07024205218266</v>
      </c>
      <c r="CE58" s="62">
        <f t="shared" si="40"/>
        <v>328.70296497136366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139.10256410256409</v>
      </c>
      <c r="CR58" s="13">
        <f>VLOOKUP(A58,'Données projet'!$A$139:$I$159,9,0)</f>
        <v>4.2307692307692291</v>
      </c>
      <c r="CS58" s="13">
        <f t="array" ref="CS58">INDEX(CR:CR,MIN(IF(ISNUMBER(CR58:CR254),ROW(CR58:CR254),"")))</f>
        <v>4.2307692307692291</v>
      </c>
      <c r="CT58" s="13">
        <f>IF('Données projet'!$A$140&gt;35,CT57+CS58-DB57,IF(A58&lt;'Données projet'!$A$140,$CQ$205^A58,IF(A58='Données projet'!$A$140,'Données projet'!$B$140,CT57+CS58-DB57)))</f>
        <v>139.10256410256406</v>
      </c>
      <c r="CU58" s="18">
        <f>CT58*VLOOKUP('Données projet'!$B$13,Paramètres!$A$1:$I$89,3,0)*VLOOKUP('Données projet'!$B$13,Paramètres!$A$1:$I$89,5,0)</f>
        <v>132.36999999999995</v>
      </c>
      <c r="CV58" s="14">
        <f t="shared" si="41"/>
        <v>34.543419591764284</v>
      </c>
      <c r="CW58" s="22">
        <f t="shared" si="13"/>
        <v>290.70753912232271</v>
      </c>
      <c r="CX58" s="62">
        <f t="shared" si="14"/>
        <v>584.04087245565597</v>
      </c>
      <c r="CY58" s="62">
        <f ca="1">AVERAGE(OFFSET($CX$3,0,0,'Données projet'!$E$13+1,1))-AVERAGE(OFFSET($H$3,0,0,'Données projet'!$E$13+1,1))</f>
        <v>300.36889324671682</v>
      </c>
      <c r="CZ58" s="62">
        <f t="shared" si="42"/>
        <v>214.36051699039683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186.1704</v>
      </c>
      <c r="P59" s="14">
        <f t="shared" si="33"/>
        <v>46.692281933796018</v>
      </c>
      <c r="Q59" s="22">
        <f t="shared" si="53"/>
        <v>405.56917103469476</v>
      </c>
      <c r="R59" s="62">
        <f t="shared" si="0"/>
        <v>698.90250436802808</v>
      </c>
      <c r="S59" s="62">
        <f ca="1">AVERAGE(OFFSET($R$3,0,0,'Données projet'!$E$9+1,1))-AVERAGE(OFFSET($H$3,0,0,'Données projet'!$E$9+1,1))</f>
        <v>477.00263959594946</v>
      </c>
      <c r="T59" s="62">
        <f t="shared" si="34"/>
        <v>254.25036207346591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10.542307692307702</v>
      </c>
      <c r="AI59" s="14">
        <f>IF('Données projet'!$A$62&gt;35,AI58+AH59-AQ58,IF(A59&lt;'Données projet'!$A$62,$AF$205^A59,IF(A59='Données projet'!$A$62,'Données projet'!$B$62,AI58+AH59-AQ58)))</f>
        <v>274.24230769230752</v>
      </c>
      <c r="AJ59" s="14">
        <f>AI59*VLOOKUP('Données projet'!$B$10,Paramètres!$A$1:$I$89,3,0)*VLOOKUP('Données projet'!$B$10,Paramètres!$A$1:$I$89,5,0)</f>
        <v>128.34539999999993</v>
      </c>
      <c r="AK59" s="14">
        <f t="shared" si="35"/>
        <v>33.61374529088544</v>
      </c>
      <c r="AL59" s="22">
        <f t="shared" si="4"/>
        <v>282.07884471495868</v>
      </c>
      <c r="AM59" s="62">
        <f t="shared" si="5"/>
        <v>575.41217804829193</v>
      </c>
      <c r="AN59" s="62">
        <f ca="1">AVERAGE(OFFSET($AM$3,0,0,'Données projet'!$E$10+1,1))-AVERAGE(OFFSET($H$3,0,0,'Données projet'!$E$10+1,1))</f>
        <v>245.47494516762282</v>
      </c>
      <c r="AO59" s="62">
        <f t="shared" si="36"/>
        <v>145.54897745089966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projet'!$B$11,Paramètres!$A$1:$I$89,3,0)*VLOOKUP('Données projet'!$B$11,Paramètres!$A$1:$I$89,5,0)</f>
        <v>166.12127999999998</v>
      </c>
      <c r="BF59" s="14">
        <f t="shared" si="37"/>
        <v>42.220155874487318</v>
      </c>
      <c r="BG59" s="22">
        <f t="shared" si="7"/>
        <v>362.8613341480654</v>
      </c>
      <c r="BH59" s="62">
        <f t="shared" si="8"/>
        <v>656.19466748139871</v>
      </c>
      <c r="BI59" s="62">
        <f ca="1">AVERAGE(OFFSET($BH$3,0,0,'Données projet'!$E$11+1,1))-AVERAGE(OFFSET($H$3,0,0,'Données projet'!$E$11+1,1))</f>
        <v>430.21146937947236</v>
      </c>
      <c r="BJ59" s="62">
        <f t="shared" si="38"/>
        <v>231.36959598460686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259.49999999999994</v>
      </c>
      <c r="BZ59" s="14">
        <f>BY59*VLOOKUP('Données projet'!$B$12,Paramètres!$A$1:$I$89,3,0)*VLOOKUP('Données projet'!$B$12,Paramètres!$A$1:$I$89,5,0)</f>
        <v>202.40999999999997</v>
      </c>
      <c r="CA59" s="14">
        <f t="shared" si="39"/>
        <v>50.273442991661867</v>
      </c>
      <c r="CB59" s="22">
        <f t="shared" si="10"/>
        <v>440.09032987714431</v>
      </c>
      <c r="CC59" s="62">
        <f t="shared" si="11"/>
        <v>733.42366321047757</v>
      </c>
      <c r="CD59" s="62">
        <f ca="1">AVERAGE(OFFSET($CC$3,0,0,'Données projet'!$E$12+1,1))-AVERAGE(OFFSET($H$3,0,0,'Données projet'!$E$12+1,1))</f>
        <v>299.07024205218266</v>
      </c>
      <c r="CE59" s="62">
        <f t="shared" si="40"/>
        <v>328.70296497136366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4.1025641025641049</v>
      </c>
      <c r="CT59" s="13">
        <f>IF('Données projet'!$A$140&gt;35,CT58+CS59-DB58,IF(A59&lt;'Données projet'!$A$140,$CQ$205^A59,IF(A59='Données projet'!$A$140,'Données projet'!$B$140,CT58+CS59-DB58)))</f>
        <v>143.20512820512818</v>
      </c>
      <c r="CU59" s="18">
        <f>CT59*VLOOKUP('Données projet'!$B$13,Paramètres!$A$1:$I$89,3,0)*VLOOKUP('Données projet'!$B$13,Paramètres!$A$1:$I$89,5,0)</f>
        <v>136.27399999999997</v>
      </c>
      <c r="CV59" s="14">
        <f t="shared" si="41"/>
        <v>35.442095790005467</v>
      </c>
      <c r="CW59" s="22">
        <f t="shared" si="13"/>
        <v>299.07220016759283</v>
      </c>
      <c r="CX59" s="62">
        <f t="shared" si="14"/>
        <v>592.40553350092614</v>
      </c>
      <c r="CY59" s="62">
        <f ca="1">AVERAGE(OFFSET($CX$3,0,0,'Données projet'!$E$13+1,1))-AVERAGE(OFFSET($H$3,0,0,'Données projet'!$E$13+1,1))</f>
        <v>300.36889324671682</v>
      </c>
      <c r="CZ59" s="62">
        <f t="shared" si="42"/>
        <v>214.36051699039683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193.8768</v>
      </c>
      <c r="P60" s="14">
        <f t="shared" si="33"/>
        <v>48.396048099527611</v>
      </c>
      <c r="Q60" s="22">
        <f t="shared" si="53"/>
        <v>421.95854377334393</v>
      </c>
      <c r="R60" s="62">
        <f t="shared" si="0"/>
        <v>715.29187710667725</v>
      </c>
      <c r="S60" s="62">
        <f ca="1">AVERAGE(OFFSET($R$3,0,0,'Données projet'!$E$9+1,1))-AVERAGE(OFFSET($H$3,0,0,'Données projet'!$E$9+1,1))</f>
        <v>477.00263959594946</v>
      </c>
      <c r="T60" s="62">
        <f t="shared" si="34"/>
        <v>254.25036207346591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>
        <f>VLOOKUP(A60,'Données projet'!$A$61:$I$81,2,0)</f>
        <v>284.78461538461539</v>
      </c>
      <c r="AG60" s="13">
        <f>VLOOKUP(A60,'Données projet'!$A$61:$I$81,9,0)</f>
        <v>10.542307692307702</v>
      </c>
      <c r="AH60" s="13">
        <f t="array" ref="AH60">INDEX(AG:AG,MIN(IF(ISNUMBER(AG60:AG256),ROW(AG60:AG256),"")))</f>
        <v>10.542307692307702</v>
      </c>
      <c r="AI60" s="14">
        <f>IF('Données projet'!$A$62&gt;35,AI59+AH60-AQ59,IF(A60&lt;'Données projet'!$A$62,$AF$205^A60,IF(A60='Données projet'!$A$62,'Données projet'!$B$62,AI59+AH60-AQ59)))</f>
        <v>284.78461538461522</v>
      </c>
      <c r="AJ60" s="14">
        <f>AI60*VLOOKUP('Données projet'!$B$10,Paramètres!$A$1:$I$89,3,0)*VLOOKUP('Données projet'!$B$10,Paramètres!$A$1:$I$89,5,0)</f>
        <v>133.27919999999992</v>
      </c>
      <c r="AK60" s="14">
        <f t="shared" si="35"/>
        <v>34.752984079426945</v>
      </c>
      <c r="AL60" s="22">
        <f t="shared" si="4"/>
        <v>292.65605393833511</v>
      </c>
      <c r="AM60" s="62">
        <f t="shared" si="5"/>
        <v>585.98938727166842</v>
      </c>
      <c r="AN60" s="62">
        <f ca="1">AVERAGE(OFFSET($AM$3,0,0,'Données projet'!$E$10+1,1))-AVERAGE(OFFSET($H$3,0,0,'Données projet'!$E$10+1,1))</f>
        <v>245.47494516762282</v>
      </c>
      <c r="AO60" s="62">
        <f t="shared" si="36"/>
        <v>145.54897745089966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projet'!$B$11,Paramètres!$A$1:$I$89,3,0)*VLOOKUP('Données projet'!$B$11,Paramètres!$A$1:$I$89,5,0)</f>
        <v>172.99775999999997</v>
      </c>
      <c r="BF60" s="14">
        <f t="shared" si="37"/>
        <v>43.760737531919609</v>
      </c>
      <c r="BG60" s="22">
        <f t="shared" si="7"/>
        <v>377.52104986809326</v>
      </c>
      <c r="BH60" s="62">
        <f t="shared" si="8"/>
        <v>670.85438320142657</v>
      </c>
      <c r="BI60" s="62">
        <f ca="1">AVERAGE(OFFSET($BH$3,0,0,'Données projet'!$E$11+1,1))-AVERAGE(OFFSET($H$3,0,0,'Données projet'!$E$11+1,1))</f>
        <v>430.21146937947236</v>
      </c>
      <c r="BJ60" s="62">
        <f t="shared" si="38"/>
        <v>231.36959598460686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268.87499999999994</v>
      </c>
      <c r="BZ60" s="14">
        <f>BY60*VLOOKUP('Données projet'!$B$12,Paramètres!$A$1:$I$89,3,0)*VLOOKUP('Données projet'!$B$12,Paramètres!$A$1:$I$89,5,0)</f>
        <v>209.72249999999997</v>
      </c>
      <c r="CA60" s="14">
        <f t="shared" si="39"/>
        <v>51.874940300502296</v>
      </c>
      <c r="CB60" s="22">
        <f t="shared" si="10"/>
        <v>455.61554185670815</v>
      </c>
      <c r="CC60" s="62">
        <f t="shared" si="11"/>
        <v>748.94887519004146</v>
      </c>
      <c r="CD60" s="62">
        <f ca="1">AVERAGE(OFFSET($CC$3,0,0,'Données projet'!$E$12+1,1))-AVERAGE(OFFSET($H$3,0,0,'Données projet'!$E$12+1,1))</f>
        <v>299.07024205218266</v>
      </c>
      <c r="CE60" s="62">
        <f t="shared" si="40"/>
        <v>328.70296497136366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4.1025641025641049</v>
      </c>
      <c r="CT60" s="13">
        <f>IF('Données projet'!$A$140&gt;35,CT59+CS60-DB59,IF(A60&lt;'Données projet'!$A$140,$CQ$205^A60,IF(A60='Données projet'!$A$140,'Données projet'!$B$140,CT59+CS60-DB59)))</f>
        <v>147.30769230769229</v>
      </c>
      <c r="CU60" s="18">
        <f>CT60*VLOOKUP('Données projet'!$B$13,Paramètres!$A$1:$I$89,3,0)*VLOOKUP('Données projet'!$B$13,Paramètres!$A$1:$I$89,5,0)</f>
        <v>140.17799999999997</v>
      </c>
      <c r="CV60" s="14">
        <f t="shared" si="41"/>
        <v>36.337779779472818</v>
      </c>
      <c r="CW60" s="22">
        <f t="shared" si="13"/>
        <v>307.43164978258176</v>
      </c>
      <c r="CX60" s="62">
        <f t="shared" si="14"/>
        <v>600.76498311591513</v>
      </c>
      <c r="CY60" s="62">
        <f ca="1">AVERAGE(OFFSET($CX$3,0,0,'Données projet'!$E$13+1,1))-AVERAGE(OFFSET($H$3,0,0,'Données projet'!$E$13+1,1))</f>
        <v>300.36889324671682</v>
      </c>
      <c r="CZ60" s="62">
        <f t="shared" si="42"/>
        <v>214.36051699039683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201.58320000000001</v>
      </c>
      <c r="P61" s="14">
        <f t="shared" si="33"/>
        <v>50.091947337331924</v>
      </c>
      <c r="Q61" s="22">
        <f t="shared" si="53"/>
        <v>438.33421494585309</v>
      </c>
      <c r="R61" s="62">
        <f t="shared" si="0"/>
        <v>731.66754827918635</v>
      </c>
      <c r="S61" s="62">
        <f ca="1">AVERAGE(OFFSET($R$3,0,0,'Données projet'!$E$9+1,1))-AVERAGE(OFFSET($H$3,0,0,'Données projet'!$E$9+1,1))</f>
        <v>477.00263959594946</v>
      </c>
      <c r="T61" s="62">
        <f t="shared" si="34"/>
        <v>254.25036207346591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10.984615384615381</v>
      </c>
      <c r="AI61" s="14">
        <f>IF('Données projet'!$A$62&gt;35,AI60+AH61-AQ60,IF(A61&lt;'Données projet'!$A$62,$AF$205^A61,IF(A61='Données projet'!$A$62,'Données projet'!$B$62,AI60+AH61-AQ60)))</f>
        <v>295.7692307692306</v>
      </c>
      <c r="AJ61" s="14">
        <f>AI61*VLOOKUP('Données projet'!$B$10,Paramètres!$A$1:$I$89,3,0)*VLOOKUP('Données projet'!$B$10,Paramètres!$A$1:$I$89,5,0)</f>
        <v>138.41999999999993</v>
      </c>
      <c r="AK61" s="14">
        <f t="shared" si="35"/>
        <v>35.934810934702796</v>
      </c>
      <c r="AL61" s="22">
        <f t="shared" si="4"/>
        <v>303.66796237794057</v>
      </c>
      <c r="AM61" s="62">
        <f t="shared" si="5"/>
        <v>597.00129571127388</v>
      </c>
      <c r="AN61" s="62">
        <f ca="1">AVERAGE(OFFSET($AM$3,0,0,'Données projet'!$E$10+1,1))-AVERAGE(OFFSET($H$3,0,0,'Données projet'!$E$10+1,1))</f>
        <v>245.47494516762282</v>
      </c>
      <c r="AO61" s="62">
        <f t="shared" si="36"/>
        <v>145.54897745089966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projet'!$B$11,Paramètres!$A$1:$I$89,3,0)*VLOOKUP('Données projet'!$B$11,Paramètres!$A$1:$I$89,5,0)</f>
        <v>179.87423999999999</v>
      </c>
      <c r="BF61" s="14">
        <f t="shared" si="37"/>
        <v>45.294205745553846</v>
      </c>
      <c r="BG61" s="22">
        <f t="shared" si="7"/>
        <v>392.16837634017293</v>
      </c>
      <c r="BH61" s="62">
        <f t="shared" si="8"/>
        <v>685.50170967350618</v>
      </c>
      <c r="BI61" s="62">
        <f ca="1">AVERAGE(OFFSET($BH$3,0,0,'Données projet'!$E$11+1,1))-AVERAGE(OFFSET($H$3,0,0,'Données projet'!$E$11+1,1))</f>
        <v>430.21146937947236</v>
      </c>
      <c r="BJ61" s="62">
        <f t="shared" si="38"/>
        <v>231.36959598460686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278.24999999999994</v>
      </c>
      <c r="BZ61" s="14">
        <f>BY61*VLOOKUP('Données projet'!$B$12,Paramètres!$A$1:$I$89,3,0)*VLOOKUP('Données projet'!$B$12,Paramètres!$A$1:$I$89,5,0)</f>
        <v>217.03499999999997</v>
      </c>
      <c r="CA61" s="14">
        <f t="shared" si="39"/>
        <v>53.469949591969474</v>
      </c>
      <c r="CB61" s="22">
        <f t="shared" si="10"/>
        <v>471.12945387268002</v>
      </c>
      <c r="CC61" s="62">
        <f t="shared" si="11"/>
        <v>764.46278720601333</v>
      </c>
      <c r="CD61" s="62">
        <f ca="1">AVERAGE(OFFSET($CC$3,0,0,'Données projet'!$E$12+1,1))-AVERAGE(OFFSET($H$3,0,0,'Données projet'!$E$12+1,1))</f>
        <v>299.07024205218266</v>
      </c>
      <c r="CE61" s="62">
        <f t="shared" si="40"/>
        <v>328.70296497136366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4.1025641025641049</v>
      </c>
      <c r="CT61" s="13">
        <f>IF('Données projet'!$A$140&gt;35,CT60+CS61-DB60,IF(A61&lt;'Données projet'!$A$140,$CQ$205^A61,IF(A61='Données projet'!$A$140,'Données projet'!$B$140,CT60+CS61-DB60)))</f>
        <v>151.41025641025641</v>
      </c>
      <c r="CU61" s="18">
        <f>CT61*VLOOKUP('Données projet'!$B$13,Paramètres!$A$1:$I$89,3,0)*VLOOKUP('Données projet'!$B$13,Paramètres!$A$1:$I$89,5,0)</f>
        <v>144.08199999999999</v>
      </c>
      <c r="CV61" s="14">
        <f t="shared" si="41"/>
        <v>37.230564467856809</v>
      </c>
      <c r="CW61" s="22">
        <f t="shared" si="13"/>
        <v>315.78604978151731</v>
      </c>
      <c r="CX61" s="62">
        <f t="shared" si="14"/>
        <v>609.11938311485062</v>
      </c>
      <c r="CY61" s="62">
        <f ca="1">AVERAGE(OFFSET($CX$3,0,0,'Données projet'!$E$13+1,1))-AVERAGE(OFFSET($H$3,0,0,'Données projet'!$E$13+1,1))</f>
        <v>300.36889324671682</v>
      </c>
      <c r="CZ61" s="62">
        <f t="shared" si="42"/>
        <v>214.36051699039683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209.28960000000001</v>
      </c>
      <c r="P62" s="14">
        <f t="shared" si="33"/>
        <v>51.780314822292169</v>
      </c>
      <c r="Q62" s="22">
        <f t="shared" si="53"/>
        <v>454.69676831549214</v>
      </c>
      <c r="R62" s="62">
        <f t="shared" si="0"/>
        <v>748.03010164882539</v>
      </c>
      <c r="S62" s="62">
        <f ca="1">AVERAGE(OFFSET($R$3,0,0,'Données projet'!$E$9+1,1))-AVERAGE(OFFSET($H$3,0,0,'Données projet'!$E$9+1,1))</f>
        <v>477.00263959594946</v>
      </c>
      <c r="T62" s="62">
        <f t="shared" si="34"/>
        <v>254.25036207346591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10.984615384615381</v>
      </c>
      <c r="AI62" s="14">
        <f>IF('Données projet'!$A$62&gt;35,AI61+AH62-AQ61,IF(A62&lt;'Données projet'!$A$62,$AF$205^A62,IF(A62='Données projet'!$A$62,'Données projet'!$B$62,AI61+AH62-AQ61)))</f>
        <v>306.75384615384598</v>
      </c>
      <c r="AJ62" s="14">
        <f>AI62*VLOOKUP('Données projet'!$B$10,Paramètres!$A$1:$I$89,3,0)*VLOOKUP('Données projet'!$B$10,Paramètres!$A$1:$I$89,5,0)</f>
        <v>143.56079999999992</v>
      </c>
      <c r="AK62" s="14">
        <f t="shared" si="35"/>
        <v>37.111538546158371</v>
      </c>
      <c r="AL62" s="22">
        <f t="shared" si="4"/>
        <v>314.67098963455902</v>
      </c>
      <c r="AM62" s="62">
        <f t="shared" si="5"/>
        <v>608.00432296789234</v>
      </c>
      <c r="AN62" s="62">
        <f ca="1">AVERAGE(OFFSET($AM$3,0,0,'Données projet'!$E$10+1,1))-AVERAGE(OFFSET($H$3,0,0,'Données projet'!$E$10+1,1))</f>
        <v>245.47494516762282</v>
      </c>
      <c r="AO62" s="62">
        <f t="shared" si="36"/>
        <v>145.54897745089966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projet'!$B$11,Paramètres!$A$1:$I$89,3,0)*VLOOKUP('Données projet'!$B$11,Paramètres!$A$1:$I$89,5,0)</f>
        <v>186.75071999999997</v>
      </c>
      <c r="BF62" s="14">
        <f t="shared" si="37"/>
        <v>46.820863587839391</v>
      </c>
      <c r="BG62" s="22">
        <f t="shared" si="7"/>
        <v>406.80384141548689</v>
      </c>
      <c r="BH62" s="62">
        <f t="shared" si="8"/>
        <v>700.13717474882014</v>
      </c>
      <c r="BI62" s="62">
        <f ca="1">AVERAGE(OFFSET($BH$3,0,0,'Données projet'!$E$11+1,1))-AVERAGE(OFFSET($H$3,0,0,'Données projet'!$E$11+1,1))</f>
        <v>430.21146937947236</v>
      </c>
      <c r="BJ62" s="62">
        <f t="shared" si="38"/>
        <v>231.36959598460686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287.62499999999994</v>
      </c>
      <c r="BZ62" s="14">
        <f>BY62*VLOOKUP('Données projet'!$B$12,Paramètres!$A$1:$I$89,3,0)*VLOOKUP('Données projet'!$B$12,Paramètres!$A$1:$I$89,5,0)</f>
        <v>224.34749999999997</v>
      </c>
      <c r="CA62" s="14">
        <f t="shared" si="39"/>
        <v>55.058714525680479</v>
      </c>
      <c r="CB62" s="22">
        <f t="shared" si="10"/>
        <v>486.63249029889352</v>
      </c>
      <c r="CC62" s="62">
        <f t="shared" si="11"/>
        <v>779.96582363222683</v>
      </c>
      <c r="CD62" s="62">
        <f ca="1">AVERAGE(OFFSET($CC$3,0,0,'Données projet'!$E$12+1,1))-AVERAGE(OFFSET($H$3,0,0,'Données projet'!$E$12+1,1))</f>
        <v>299.07024205218266</v>
      </c>
      <c r="CE62" s="62">
        <f t="shared" si="40"/>
        <v>328.70296497136366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4.1025641025641049</v>
      </c>
      <c r="CT62" s="13">
        <f>IF('Données projet'!$A$140&gt;35,CT61+CS62-DB61,IF(A62&lt;'Données projet'!$A$140,$CQ$205^A62,IF(A62='Données projet'!$A$140,'Données projet'!$B$140,CT61+CS62-DB61)))</f>
        <v>155.51282051282053</v>
      </c>
      <c r="CU62" s="18">
        <f>CT62*VLOOKUP('Données projet'!$B$13,Paramètres!$A$1:$I$89,3,0)*VLOOKUP('Données projet'!$B$13,Paramètres!$A$1:$I$89,5,0)</f>
        <v>147.98600000000002</v>
      </c>
      <c r="CV62" s="14">
        <f t="shared" si="41"/>
        <v>38.120537441454239</v>
      </c>
      <c r="CW62" s="22">
        <f t="shared" si="13"/>
        <v>324.13555271053281</v>
      </c>
      <c r="CX62" s="62">
        <f t="shared" si="14"/>
        <v>617.46888604386618</v>
      </c>
      <c r="CY62" s="62">
        <f ca="1">AVERAGE(OFFSET($CX$3,0,0,'Données projet'!$E$13+1,1))-AVERAGE(OFFSET($H$3,0,0,'Données projet'!$E$13+1,1))</f>
        <v>300.36889324671682</v>
      </c>
      <c r="CZ62" s="62">
        <f t="shared" si="42"/>
        <v>214.36051699039683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216.99600000000001</v>
      </c>
      <c r="P63" s="14">
        <f t="shared" si="33"/>
        <v>53.461459647386917</v>
      </c>
      <c r="Q63" s="22">
        <f t="shared" si="53"/>
        <v>471.04674221919896</v>
      </c>
      <c r="R63" s="62">
        <f t="shared" si="0"/>
        <v>764.38007555253228</v>
      </c>
      <c r="S63" s="62">
        <f ca="1">AVERAGE(OFFSET($R$3,0,0,'Données projet'!$E$9+1,1))-AVERAGE(OFFSET($H$3,0,0,'Données projet'!$E$9+1,1))</f>
        <v>477.00263959594946</v>
      </c>
      <c r="T63" s="62">
        <f t="shared" si="34"/>
        <v>254.25036207346591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10.984615384615381</v>
      </c>
      <c r="AI63" s="14">
        <f>IF('Données projet'!$A$62&gt;35,AI62+AH63-AQ62,IF(A63&lt;'Données projet'!$A$62,$AF$205^A63,IF(A63='Données projet'!$A$62,'Données projet'!$B$62,AI62+AH63-AQ62)))</f>
        <v>317.73846153846137</v>
      </c>
      <c r="AJ63" s="14">
        <f>AI63*VLOOKUP('Données projet'!$B$10,Paramètres!$A$1:$I$89,3,0)*VLOOKUP('Données projet'!$B$10,Paramètres!$A$1:$I$89,5,0)</f>
        <v>148.70159999999993</v>
      </c>
      <c r="AK63" s="14">
        <f t="shared" si="35"/>
        <v>38.283370432550541</v>
      </c>
      <c r="AL63" s="22">
        <f t="shared" si="4"/>
        <v>325.66549017002541</v>
      </c>
      <c r="AM63" s="62">
        <f t="shared" si="5"/>
        <v>618.99882350335872</v>
      </c>
      <c r="AN63" s="62">
        <f ca="1">AVERAGE(OFFSET($AM$3,0,0,'Données projet'!$E$10+1,1))-AVERAGE(OFFSET($H$3,0,0,'Données projet'!$E$10+1,1))</f>
        <v>245.47494516762282</v>
      </c>
      <c r="AO63" s="62">
        <f t="shared" si="36"/>
        <v>145.54897745089966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projet'!$B$11,Paramètres!$A$1:$I$89,3,0)*VLOOKUP('Données projet'!$B$11,Paramètres!$A$1:$I$89,5,0)</f>
        <v>193.62719999999996</v>
      </c>
      <c r="BF63" s="14">
        <f t="shared" si="37"/>
        <v>48.340990547231193</v>
      </c>
      <c r="BG63" s="22">
        <f t="shared" si="7"/>
        <v>421.42793186976087</v>
      </c>
      <c r="BH63" s="62">
        <f t="shared" si="8"/>
        <v>714.76126520309413</v>
      </c>
      <c r="BI63" s="62">
        <f ca="1">AVERAGE(OFFSET($BH$3,0,0,'Données projet'!$E$11+1,1))-AVERAGE(OFFSET($H$3,0,0,'Données projet'!$E$11+1,1))</f>
        <v>430.21146937947236</v>
      </c>
      <c r="BJ63" s="62">
        <f t="shared" si="38"/>
        <v>231.36959598460686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296.99999999999994</v>
      </c>
      <c r="BZ63" s="14">
        <f>BY63*VLOOKUP('Données projet'!$B$12,Paramètres!$A$1:$I$89,3,0)*VLOOKUP('Données projet'!$B$12,Paramètres!$A$1:$I$89,5,0)</f>
        <v>231.65999999999997</v>
      </c>
      <c r="CA63" s="14">
        <f t="shared" si="39"/>
        <v>56.641461975682766</v>
      </c>
      <c r="CB63" s="22">
        <f t="shared" si="10"/>
        <v>502.12504627431412</v>
      </c>
      <c r="CC63" s="62">
        <f t="shared" si="11"/>
        <v>795.45837960764743</v>
      </c>
      <c r="CD63" s="62">
        <f ca="1">AVERAGE(OFFSET($CC$3,0,0,'Données projet'!$E$12+1,1))-AVERAGE(OFFSET($H$3,0,0,'Données projet'!$E$12+1,1))</f>
        <v>299.07024205218266</v>
      </c>
      <c r="CE63" s="62">
        <f t="shared" si="40"/>
        <v>328.70296497136366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159.61538461538461</v>
      </c>
      <c r="CR63" s="13">
        <f>VLOOKUP(A63,'Données projet'!$A$139:$I$159,9,0)</f>
        <v>4.1025641025641049</v>
      </c>
      <c r="CS63" s="13">
        <f t="array" ref="CS63">INDEX(CR:CR,MIN(IF(ISNUMBER(CR63:CR259),ROW(CR63:CR259),"")))</f>
        <v>4.1025641025641049</v>
      </c>
      <c r="CT63" s="13">
        <f>IF('Données projet'!$A$140&gt;35,CT62+CS63-DB62,IF(A63&lt;'Données projet'!$A$140,$CQ$205^A63,IF(A63='Données projet'!$A$140,'Données projet'!$B$140,CT62+CS63-DB62)))</f>
        <v>159.61538461538464</v>
      </c>
      <c r="CU63" s="18">
        <f>CT63*VLOOKUP('Données projet'!$B$13,Paramètres!$A$1:$I$89,3,0)*VLOOKUP('Données projet'!$B$13,Paramètres!$A$1:$I$89,5,0)</f>
        <v>151.89000000000001</v>
      </c>
      <c r="CV63" s="14">
        <f t="shared" si="41"/>
        <v>39.007781402191782</v>
      </c>
      <c r="CW63" s="22">
        <f t="shared" si="13"/>
        <v>332.48030260881734</v>
      </c>
      <c r="CX63" s="62">
        <f t="shared" si="14"/>
        <v>625.81363594215065</v>
      </c>
      <c r="CY63" s="62">
        <f ca="1">AVERAGE(OFFSET($CX$3,0,0,'Données projet'!$E$13+1,1))-AVERAGE(OFFSET($H$3,0,0,'Données projet'!$E$13+1,1))</f>
        <v>300.36889324671682</v>
      </c>
      <c r="CZ63" s="62">
        <f t="shared" si="42"/>
        <v>214.36051699039683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23.076923076923077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224.29679999999996</v>
      </c>
      <c r="P64" s="14">
        <f t="shared" si="33"/>
        <v>55.047720057866165</v>
      </c>
      <c r="Q64" s="22">
        <f t="shared" si="53"/>
        <v>486.52503910078349</v>
      </c>
      <c r="R64" s="62">
        <f t="shared" si="0"/>
        <v>779.85837243411675</v>
      </c>
      <c r="S64" s="62">
        <f ca="1">AVERAGE(OFFSET($R$3,0,0,'Données projet'!$E$9+1,1))-AVERAGE(OFFSET($H$3,0,0,'Données projet'!$E$9+1,1))</f>
        <v>477.00263959594946</v>
      </c>
      <c r="T64" s="62">
        <f t="shared" si="34"/>
        <v>254.25036207346591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10.984615384615381</v>
      </c>
      <c r="AI64" s="14">
        <f>IF('Données projet'!$A$62&gt;35,AI63+AH64-AQ63,IF(A64&lt;'Données projet'!$A$62,$AF$205^A64,IF(A64='Données projet'!$A$62,'Données projet'!$B$62,AI63+AH64-AQ63)))</f>
        <v>328.72307692307675</v>
      </c>
      <c r="AJ64" s="14">
        <f>AI64*VLOOKUP('Données projet'!$B$10,Paramètres!$A$1:$I$89,3,0)*VLOOKUP('Données projet'!$B$10,Paramètres!$A$1:$I$89,5,0)</f>
        <v>153.84239999999991</v>
      </c>
      <c r="AK64" s="14">
        <f t="shared" si="35"/>
        <v>39.450495242764717</v>
      </c>
      <c r="AL64" s="22">
        <f t="shared" si="4"/>
        <v>336.65179254781509</v>
      </c>
      <c r="AM64" s="62">
        <f t="shared" si="5"/>
        <v>629.98512588114841</v>
      </c>
      <c r="AN64" s="62">
        <f ca="1">AVERAGE(OFFSET($AM$3,0,0,'Données projet'!$E$10+1,1))-AVERAGE(OFFSET($H$3,0,0,'Données projet'!$E$10+1,1))</f>
        <v>245.47494516762282</v>
      </c>
      <c r="AO64" s="62">
        <f t="shared" si="36"/>
        <v>145.54897745089966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221.19999999999996</v>
      </c>
      <c r="BE64" s="14">
        <f>BD64*VLOOKUP('Données projet'!$B$11,Paramètres!$A$1:$I$89,3,0)*VLOOKUP('Données projet'!$B$11,Paramètres!$A$1:$I$89,5,0)</f>
        <v>200.14175999999995</v>
      </c>
      <c r="BF64" s="14">
        <f t="shared" si="37"/>
        <v>49.775320997880847</v>
      </c>
      <c r="BG64" s="22">
        <f t="shared" si="7"/>
        <v>435.27224940464231</v>
      </c>
      <c r="BH64" s="62">
        <f t="shared" si="8"/>
        <v>728.60558273797562</v>
      </c>
      <c r="BI64" s="62">
        <f ca="1">AVERAGE(OFFSET($BH$3,0,0,'Données projet'!$E$11+1,1))-AVERAGE(OFFSET($H$3,0,0,'Données projet'!$E$11+1,1))</f>
        <v>430.21146937947236</v>
      </c>
      <c r="BJ64" s="62">
        <f t="shared" si="38"/>
        <v>231.36959598460686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258.66666666666663</v>
      </c>
      <c r="BZ64" s="14">
        <f>BY64*VLOOKUP('Données projet'!$B$12,Paramètres!$A$1:$I$89,3,0)*VLOOKUP('Données projet'!$B$12,Paramètres!$A$1:$I$89,5,0)</f>
        <v>201.76</v>
      </c>
      <c r="CA64" s="14">
        <f t="shared" si="39"/>
        <v>50.130765000424212</v>
      </c>
      <c r="CB64" s="22">
        <f t="shared" si="10"/>
        <v>438.70974904240546</v>
      </c>
      <c r="CC64" s="62">
        <f t="shared" si="11"/>
        <v>732.04308237573878</v>
      </c>
      <c r="CD64" s="62">
        <f ca="1">AVERAGE(OFFSET($CC$3,0,0,'Données projet'!$E$12+1,1))-AVERAGE(OFFSET($H$3,0,0,'Données projet'!$E$12+1,1))</f>
        <v>299.07024205218266</v>
      </c>
      <c r="CE64" s="62">
        <f t="shared" si="40"/>
        <v>328.70296497136366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3.9743589743589722</v>
      </c>
      <c r="CT64" s="13">
        <f>IF('Données projet'!$A$140&gt;35,CT63+CS64-DB63,IF(A64&lt;'Données projet'!$A$140,$CQ$205^A64,IF(A64='Données projet'!$A$140,'Données projet'!$B$140,CT63+CS64-DB63)))</f>
        <v>140.51282051282055</v>
      </c>
      <c r="CU64" s="18">
        <f>CT64*VLOOKUP('Données projet'!$B$13,Paramètres!$A$1:$I$89,3,0)*VLOOKUP('Données projet'!$B$13,Paramètres!$A$1:$I$89,5,0)</f>
        <v>133.71200000000005</v>
      </c>
      <c r="CV64" s="14">
        <f t="shared" si="41"/>
        <v>34.852683054963606</v>
      </c>
      <c r="CW64" s="22">
        <f t="shared" si="13"/>
        <v>293.58348965406168</v>
      </c>
      <c r="CX64" s="62">
        <f t="shared" si="14"/>
        <v>586.91682298739499</v>
      </c>
      <c r="CY64" s="62">
        <f ca="1">AVERAGE(OFFSET($CX$3,0,0,'Données projet'!$E$13+1,1))-AVERAGE(OFFSET($H$3,0,0,'Données projet'!$E$13+1,1))</f>
        <v>300.36889324671682</v>
      </c>
      <c r="CZ64" s="62">
        <f t="shared" si="42"/>
        <v>214.36051699039683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231.59759999999997</v>
      </c>
      <c r="P65" s="14">
        <f t="shared" si="33"/>
        <v>56.627980714948151</v>
      </c>
      <c r="Q65" s="22">
        <f t="shared" si="53"/>
        <v>501.99288641186791</v>
      </c>
      <c r="R65" s="62">
        <f t="shared" si="0"/>
        <v>795.32621974520123</v>
      </c>
      <c r="S65" s="62">
        <f ca="1">AVERAGE(OFFSET($R$3,0,0,'Données projet'!$E$9+1,1))-AVERAGE(OFFSET($H$3,0,0,'Données projet'!$E$9+1,1))</f>
        <v>477.00263959594946</v>
      </c>
      <c r="T65" s="62">
        <f t="shared" si="34"/>
        <v>254.25036207346591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10.984615384615381</v>
      </c>
      <c r="AI65" s="14">
        <f>IF('Données projet'!$A$62&gt;35,AI64+AH65-AQ64,IF(A65&lt;'Données projet'!$A$62,$AF$205^A65,IF(A65='Données projet'!$A$62,'Données projet'!$B$62,AI64+AH65-AQ64)))</f>
        <v>339.70769230769213</v>
      </c>
      <c r="AJ65" s="14">
        <f>AI65*VLOOKUP('Données projet'!$B$10,Paramètres!$A$1:$I$89,3,0)*VLOOKUP('Données projet'!$B$10,Paramètres!$A$1:$I$89,5,0)</f>
        <v>158.98319999999993</v>
      </c>
      <c r="AK65" s="14">
        <f t="shared" si="35"/>
        <v>40.613088302497808</v>
      </c>
      <c r="AL65" s="22">
        <f t="shared" si="4"/>
        <v>347.63020212685018</v>
      </c>
      <c r="AM65" s="62">
        <f t="shared" si="5"/>
        <v>640.96353546018349</v>
      </c>
      <c r="AN65" s="62">
        <f ca="1">AVERAGE(OFFSET($AM$3,0,0,'Données projet'!$E$10+1,1))-AVERAGE(OFFSET($H$3,0,0,'Données projet'!$E$10+1,1))</f>
        <v>245.47494516762282</v>
      </c>
      <c r="AO65" s="62">
        <f t="shared" si="36"/>
        <v>145.54897745089966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228.39999999999995</v>
      </c>
      <c r="BE65" s="14">
        <f>BD65*VLOOKUP('Données projet'!$B$11,Paramètres!$A$1:$I$89,3,0)*VLOOKUP('Données projet'!$B$11,Paramètres!$A$1:$I$89,5,0)</f>
        <v>206.65631999999994</v>
      </c>
      <c r="BF65" s="14">
        <f t="shared" si="37"/>
        <v>51.20422634371338</v>
      </c>
      <c r="BG65" s="22">
        <f t="shared" si="7"/>
        <v>449.10711821530072</v>
      </c>
      <c r="BH65" s="62">
        <f t="shared" si="8"/>
        <v>742.44045154863397</v>
      </c>
      <c r="BI65" s="62">
        <f ca="1">AVERAGE(OFFSET($BH$3,0,0,'Données projet'!$E$11+1,1))-AVERAGE(OFFSET($H$3,0,0,'Données projet'!$E$11+1,1))</f>
        <v>430.21146937947236</v>
      </c>
      <c r="BJ65" s="62">
        <f t="shared" si="38"/>
        <v>231.36959598460686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267.33333333333331</v>
      </c>
      <c r="BZ65" s="14">
        <f>BY65*VLOOKUP('Données projet'!$B$12,Paramètres!$A$1:$I$89,3,0)*VLOOKUP('Données projet'!$B$12,Paramètres!$A$1:$I$89,5,0)</f>
        <v>208.51999999999998</v>
      </c>
      <c r="CA65" s="14">
        <f t="shared" si="39"/>
        <v>51.612035456318509</v>
      </c>
      <c r="CB65" s="22">
        <f t="shared" si="10"/>
        <v>453.06329508642131</v>
      </c>
      <c r="CC65" s="62">
        <f t="shared" si="11"/>
        <v>746.39662841975462</v>
      </c>
      <c r="CD65" s="62">
        <f ca="1">AVERAGE(OFFSET($CC$3,0,0,'Données projet'!$E$12+1,1))-AVERAGE(OFFSET($H$3,0,0,'Données projet'!$E$12+1,1))</f>
        <v>299.07024205218266</v>
      </c>
      <c r="CE65" s="62">
        <f t="shared" si="40"/>
        <v>328.70296497136366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3.9743589743589722</v>
      </c>
      <c r="CT65" s="13">
        <f>IF('Données projet'!$A$140&gt;35,CT64+CS65-DB64,IF(A65&lt;'Données projet'!$A$140,$CQ$205^A65,IF(A65='Données projet'!$A$140,'Données projet'!$B$140,CT64+CS65-DB64)))</f>
        <v>144.48717948717953</v>
      </c>
      <c r="CU65" s="18">
        <f>CT65*VLOOKUP('Données projet'!$B$13,Paramètres!$A$1:$I$89,3,0)*VLOOKUP('Données projet'!$B$13,Paramètres!$A$1:$I$89,5,0)</f>
        <v>137.49400000000003</v>
      </c>
      <c r="CV65" s="14">
        <f t="shared" si="41"/>
        <v>35.722313988505931</v>
      </c>
      <c r="CW65" s="22">
        <f t="shared" si="13"/>
        <v>301.68508019664785</v>
      </c>
      <c r="CX65" s="62">
        <f t="shared" si="14"/>
        <v>595.01841352998122</v>
      </c>
      <c r="CY65" s="62">
        <f ca="1">AVERAGE(OFFSET($CX$3,0,0,'Données projet'!$E$13+1,1))-AVERAGE(OFFSET($H$3,0,0,'Données projet'!$E$13+1,1))</f>
        <v>300.36889324671682</v>
      </c>
      <c r="CZ65" s="62">
        <f t="shared" si="42"/>
        <v>214.36051699039683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238.89839999999995</v>
      </c>
      <c r="P66" s="14">
        <f t="shared" si="33"/>
        <v>58.202452451868851</v>
      </c>
      <c r="Q66" s="22">
        <f t="shared" si="53"/>
        <v>517.45065135367156</v>
      </c>
      <c r="R66" s="62">
        <f t="shared" si="0"/>
        <v>810.78398468700493</v>
      </c>
      <c r="S66" s="62">
        <f ca="1">AVERAGE(OFFSET($R$3,0,0,'Données projet'!$E$9+1,1))-AVERAGE(OFFSET($H$3,0,0,'Données projet'!$E$9+1,1))</f>
        <v>477.00263959594946</v>
      </c>
      <c r="T66" s="62">
        <f t="shared" si="34"/>
        <v>254.25036207346591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350.69230769230768</v>
      </c>
      <c r="AG66" s="13">
        <f>VLOOKUP(A66,'Données projet'!$A$61:$I$81,9,0)</f>
        <v>10.984615384615381</v>
      </c>
      <c r="AH66" s="13">
        <f t="array" ref="AH66">INDEX(AG:AG,MIN(IF(ISNUMBER(AG66:AG262),ROW(AG66:AG262),"")))</f>
        <v>10.984615384615381</v>
      </c>
      <c r="AI66" s="14">
        <f>IF('Données projet'!$A$62&gt;35,AI65+AH66-AQ65,IF(A66&lt;'Données projet'!$A$62,$AF$205^A66,IF(A66='Données projet'!$A$62,'Données projet'!$B$62,AI65+AH66-AQ65)))</f>
        <v>350.69230769230751</v>
      </c>
      <c r="AJ66" s="14">
        <f>AI66*VLOOKUP('Données projet'!$B$10,Paramètres!$A$1:$I$89,3,0)*VLOOKUP('Données projet'!$B$10,Paramètres!$A$1:$I$89,5,0)</f>
        <v>164.12399999999991</v>
      </c>
      <c r="AK66" s="14">
        <f t="shared" si="35"/>
        <v>41.771312955270531</v>
      </c>
      <c r="AL66" s="22">
        <f t="shared" si="4"/>
        <v>358.60100339709601</v>
      </c>
      <c r="AM66" s="62">
        <f t="shared" si="5"/>
        <v>651.93433673042932</v>
      </c>
      <c r="AN66" s="62">
        <f ca="1">AVERAGE(OFFSET($AM$3,0,0,'Données projet'!$E$10+1,1))-AVERAGE(OFFSET($H$3,0,0,'Données projet'!$E$10+1,1))</f>
        <v>245.47494516762282</v>
      </c>
      <c r="AO66" s="62">
        <f t="shared" si="36"/>
        <v>145.54897745089966</v>
      </c>
      <c r="AP66" s="16">
        <f>IF(ISNA(VLOOKUP(A66,'Données projet'!$A$61:$I$81,3,0)),0,VLOOKUP(A66,'Données projet'!$A$61:$I$81,3,0))</f>
        <v>2</v>
      </c>
      <c r="AQ66" s="16">
        <f>IF(ISNA(VLOOKUP(A66,'Données projet'!$A$61:$I$81,4,0)),0,VLOOKUP(A66,'Données projet'!$A$61:$I$81,4,0))</f>
        <v>108.08461538461538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235.59999999999994</v>
      </c>
      <c r="BE66" s="14">
        <f>BD66*VLOOKUP('Données projet'!$B$11,Paramètres!$A$1:$I$89,3,0)*VLOOKUP('Données projet'!$B$11,Paramètres!$A$1:$I$89,5,0)</f>
        <v>213.17087999999995</v>
      </c>
      <c r="BF66" s="14">
        <f t="shared" si="37"/>
        <v>52.627897224631596</v>
      </c>
      <c r="BG66" s="22">
        <f t="shared" si="7"/>
        <v>462.93287033289988</v>
      </c>
      <c r="BH66" s="62">
        <f t="shared" si="8"/>
        <v>756.2662036662332</v>
      </c>
      <c r="BI66" s="62">
        <f ca="1">AVERAGE(OFFSET($BH$3,0,0,'Données projet'!$E$11+1,1))-AVERAGE(OFFSET($H$3,0,0,'Données projet'!$E$11+1,1))</f>
        <v>430.21146937947236</v>
      </c>
      <c r="BJ66" s="62">
        <f t="shared" si="38"/>
        <v>231.36959598460686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276</v>
      </c>
      <c r="BZ66" s="14">
        <f>BY66*VLOOKUP('Données projet'!$B$12,Paramètres!$A$1:$I$89,3,0)*VLOOKUP('Données projet'!$B$12,Paramètres!$A$1:$I$89,5,0)</f>
        <v>215.28</v>
      </c>
      <c r="CA66" s="14">
        <f t="shared" si="39"/>
        <v>53.087725740853138</v>
      </c>
      <c r="CB66" s="22">
        <f t="shared" si="10"/>
        <v>467.40712233198587</v>
      </c>
      <c r="CC66" s="62">
        <f t="shared" si="11"/>
        <v>760.74045566531913</v>
      </c>
      <c r="CD66" s="62">
        <f ca="1">AVERAGE(OFFSET($CC$3,0,0,'Données projet'!$E$12+1,1))-AVERAGE(OFFSET($H$3,0,0,'Données projet'!$E$12+1,1))</f>
        <v>299.07024205218266</v>
      </c>
      <c r="CE66" s="62">
        <f t="shared" si="40"/>
        <v>328.70296497136366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3.9743589743589722</v>
      </c>
      <c r="CT66" s="13">
        <f>IF('Données projet'!$A$140&gt;35,CT65+CS66-DB65,IF(A66&lt;'Données projet'!$A$140,$CQ$205^A66,IF(A66='Données projet'!$A$140,'Données projet'!$B$140,CT65+CS66-DB65)))</f>
        <v>148.46153846153851</v>
      </c>
      <c r="CU66" s="18">
        <f>CT66*VLOOKUP('Données projet'!$B$13,Paramètres!$A$1:$I$89,3,0)*VLOOKUP('Données projet'!$B$13,Paramètres!$A$1:$I$89,5,0)</f>
        <v>141.27600000000004</v>
      </c>
      <c r="CV66" s="14">
        <f t="shared" si="41"/>
        <v>36.589164642010665</v>
      </c>
      <c r="CW66" s="22">
        <f t="shared" si="13"/>
        <v>309.78182841816863</v>
      </c>
      <c r="CX66" s="62">
        <f t="shared" si="14"/>
        <v>603.115161751502</v>
      </c>
      <c r="CY66" s="62">
        <f ca="1">AVERAGE(OFFSET($CX$3,0,0,'Données projet'!$E$13+1,1))-AVERAGE(OFFSET($H$3,0,0,'Données projet'!$E$13+1,1))</f>
        <v>300.36889324671682</v>
      </c>
      <c r="CZ66" s="62">
        <f t="shared" si="42"/>
        <v>214.36051699039683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246.19919999999996</v>
      </c>
      <c r="P67" s="14">
        <f t="shared" si="33"/>
        <v>59.77133248344078</v>
      </c>
      <c r="Q67" s="22">
        <f t="shared" ref="Q67:Q98" si="54">(O67+P67)*0.475*44/12</f>
        <v>532.8986774086593</v>
      </c>
      <c r="R67" s="62">
        <f t="shared" ref="R67:R130" si="55">Q67+(I67+J67)*44/12</f>
        <v>826.23201074199255</v>
      </c>
      <c r="S67" s="62">
        <f ca="1">AVERAGE(OFFSET($R$3,0,0,'Données projet'!$E$9+1,1))-AVERAGE(OFFSET($H$3,0,0,'Données projet'!$E$9+1,1))</f>
        <v>477.00263959594946</v>
      </c>
      <c r="T67" s="62">
        <f t="shared" si="34"/>
        <v>254.25036207346591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9.6897435897435908</v>
      </c>
      <c r="AI67" s="14">
        <f>IF('Données projet'!$A$62&gt;35,AI66+AH67-AQ66,IF(A67&lt;'Données projet'!$A$62,$AF$205^A67,IF(A67='Données projet'!$A$62,'Données projet'!$B$62,AI66+AH67-AQ66)))</f>
        <v>252.29743589743575</v>
      </c>
      <c r="AJ67" s="14">
        <f>AI67*VLOOKUP('Données projet'!$B$10,Paramètres!$A$1:$I$89,3,0)*VLOOKUP('Données projet'!$B$10,Paramètres!$A$1:$I$89,5,0)</f>
        <v>118.07519999999992</v>
      </c>
      <c r="AK67" s="14">
        <f t="shared" si="35"/>
        <v>31.225649693095828</v>
      </c>
      <c r="AL67" s="22">
        <f t="shared" si="4"/>
        <v>260.03231321547509</v>
      </c>
      <c r="AM67" s="62">
        <f t="shared" si="5"/>
        <v>553.3656465488084</v>
      </c>
      <c r="AN67" s="62">
        <f ca="1">AVERAGE(OFFSET($AM$3,0,0,'Données projet'!$E$10+1,1))-AVERAGE(OFFSET($H$3,0,0,'Données projet'!$E$10+1,1))</f>
        <v>245.47494516762282</v>
      </c>
      <c r="AO67" s="62">
        <f t="shared" si="36"/>
        <v>145.54897745089966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242.79999999999993</v>
      </c>
      <c r="BE67" s="14">
        <f>BD67*VLOOKUP('Données projet'!$B$11,Paramètres!$A$1:$I$89,3,0)*VLOOKUP('Données projet'!$B$11,Paramètres!$A$1:$I$89,5,0)</f>
        <v>219.68543999999994</v>
      </c>
      <c r="BF67" s="14">
        <f t="shared" si="37"/>
        <v>54.046511966469559</v>
      </c>
      <c r="BG67" s="22">
        <f t="shared" si="7"/>
        <v>476.74981634160105</v>
      </c>
      <c r="BH67" s="62">
        <f t="shared" si="8"/>
        <v>770.08314967493436</v>
      </c>
      <c r="BI67" s="62">
        <f ca="1">AVERAGE(OFFSET($BH$3,0,0,'Données projet'!$E$11+1,1))-AVERAGE(OFFSET($H$3,0,0,'Données projet'!$E$11+1,1))</f>
        <v>430.21146937947236</v>
      </c>
      <c r="BJ67" s="62">
        <f t="shared" si="38"/>
        <v>231.36959598460686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284.66666666666669</v>
      </c>
      <c r="BZ67" s="14">
        <f>BY67*VLOOKUP('Données projet'!$B$12,Paramètres!$A$1:$I$89,3,0)*VLOOKUP('Données projet'!$B$12,Paramètres!$A$1:$I$89,5,0)</f>
        <v>222.04000000000002</v>
      </c>
      <c r="CA67" s="14">
        <f t="shared" si="39"/>
        <v>54.558031180803596</v>
      </c>
      <c r="CB67" s="22">
        <f t="shared" si="10"/>
        <v>481.74157097323291</v>
      </c>
      <c r="CC67" s="62">
        <f t="shared" si="11"/>
        <v>775.07490430656617</v>
      </c>
      <c r="CD67" s="62">
        <f ca="1">AVERAGE(OFFSET($CC$3,0,0,'Données projet'!$E$12+1,1))-AVERAGE(OFFSET($H$3,0,0,'Données projet'!$E$12+1,1))</f>
        <v>299.07024205218266</v>
      </c>
      <c r="CE67" s="62">
        <f t="shared" si="40"/>
        <v>328.70296497136366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3.9743589743589722</v>
      </c>
      <c r="CT67" s="13">
        <f>IF('Données projet'!$A$140&gt;35,CT66+CS67-DB66,IF(A67&lt;'Données projet'!$A$140,$CQ$205^A67,IF(A67='Données projet'!$A$140,'Données projet'!$B$140,CT66+CS67-DB66)))</f>
        <v>152.43589743589749</v>
      </c>
      <c r="CU67" s="18">
        <f>CT67*VLOOKUP('Données projet'!$B$13,Paramètres!$A$1:$I$89,3,0)*VLOOKUP('Données projet'!$B$13,Paramètres!$A$1:$I$89,5,0)</f>
        <v>145.05800000000005</v>
      </c>
      <c r="CV67" s="14">
        <f t="shared" si="41"/>
        <v>37.453317998658314</v>
      </c>
      <c r="CW67" s="22">
        <f t="shared" si="13"/>
        <v>317.87387884766332</v>
      </c>
      <c r="CX67" s="62">
        <f t="shared" si="14"/>
        <v>611.20721218099663</v>
      </c>
      <c r="CY67" s="62">
        <f ca="1">AVERAGE(OFFSET($CX$3,0,0,'Données projet'!$E$13+1,1))-AVERAGE(OFFSET($H$3,0,0,'Données projet'!$E$13+1,1))</f>
        <v>300.36889324671682</v>
      </c>
      <c r="CZ67" s="62">
        <f t="shared" si="42"/>
        <v>214.36051699039683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253.49999999999991</v>
      </c>
      <c r="P68" s="14">
        <f t="shared" si="33"/>
        <v>61.334805663162498</v>
      </c>
      <c r="Q68" s="22">
        <f t="shared" si="54"/>
        <v>548.33728653000776</v>
      </c>
      <c r="R68" s="62">
        <f t="shared" si="55"/>
        <v>841.67061986334102</v>
      </c>
      <c r="S68" s="62">
        <f ca="1">AVERAGE(OFFSET($R$3,0,0,'Données projet'!$E$9+1,1))-AVERAGE(OFFSET($H$3,0,0,'Données projet'!$E$9+1,1))</f>
        <v>477.00263959594946</v>
      </c>
      <c r="T68" s="62">
        <f t="shared" si="34"/>
        <v>254.25036207346591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9.6897435897435908</v>
      </c>
      <c r="AI68" s="14">
        <f>IF('Données projet'!$A$62&gt;35,AI67+AH68-AQ67,IF(A68&lt;'Données projet'!$A$62,$AF$205^A68,IF(A68='Données projet'!$A$62,'Données projet'!$B$62,AI67+AH68-AQ67)))</f>
        <v>261.98717948717933</v>
      </c>
      <c r="AJ68" s="14">
        <f>AI68*VLOOKUP('Données projet'!$B$10,Paramètres!$A$1:$I$89,3,0)*VLOOKUP('Données projet'!$B$10,Paramètres!$A$1:$I$89,5,0)</f>
        <v>122.60999999999993</v>
      </c>
      <c r="AK68" s="14">
        <f t="shared" si="35"/>
        <v>32.282974526111182</v>
      </c>
      <c r="AL68" s="22">
        <f t="shared" ref="AL68:AL131" si="58">(AJ68+AK68)*0.475*44/12</f>
        <v>269.77193063297682</v>
      </c>
      <c r="AM68" s="62">
        <f t="shared" ref="AM68:AM131" si="59">AL68+(AD68+AE68)*44/12</f>
        <v>563.10526396631008</v>
      </c>
      <c r="AN68" s="62">
        <f ca="1">AVERAGE(OFFSET($AM$3,0,0,'Données projet'!$E$10+1,1))-AVERAGE(OFFSET($H$3,0,0,'Données projet'!$E$10+1,1))</f>
        <v>245.47494516762282</v>
      </c>
      <c r="AO68" s="62">
        <f t="shared" si="36"/>
        <v>145.54897745089966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250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249.99999999999991</v>
      </c>
      <c r="BE68" s="14">
        <f>BD68*VLOOKUP('Données projet'!$B$11,Paramètres!$A$1:$I$89,3,0)*VLOOKUP('Données projet'!$B$11,Paramètres!$A$1:$I$89,5,0)</f>
        <v>226.19999999999993</v>
      </c>
      <c r="BF68" s="14">
        <f t="shared" si="37"/>
        <v>55.460237717698107</v>
      </c>
      <c r="BG68" s="22">
        <f t="shared" ref="BG68:BG131" si="61">(BE68+BF68)*0.475*44/12</f>
        <v>490.55824735832402</v>
      </c>
      <c r="BH68" s="62">
        <f t="shared" ref="BH68:BH131" si="62">BG68+(AY68+AZ68)*44/12</f>
        <v>783.89158069165728</v>
      </c>
      <c r="BI68" s="62">
        <f ca="1">AVERAGE(OFFSET($BH$3,0,0,'Données projet'!$E$11+1,1))-AVERAGE(OFFSET($H$3,0,0,'Données projet'!$E$11+1,1))</f>
        <v>430.21146937947236</v>
      </c>
      <c r="BJ68" s="62">
        <f t="shared" si="38"/>
        <v>231.36959598460686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42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293.33333333333337</v>
      </c>
      <c r="BZ68" s="14">
        <f>BY68*VLOOKUP('Données projet'!$B$12,Paramètres!$A$1:$I$89,3,0)*VLOOKUP('Données projet'!$B$12,Paramètres!$A$1:$I$89,5,0)</f>
        <v>228.80000000000004</v>
      </c>
      <c r="CA68" s="14">
        <f t="shared" si="39"/>
        <v>56.023134533701196</v>
      </c>
      <c r="CB68" s="22">
        <f t="shared" ref="CB68:CB131" si="64">(BZ68+CA68)*0.475*44/12</f>
        <v>496.06695931286299</v>
      </c>
      <c r="CC68" s="62">
        <f t="shared" ref="CC68:CC131" si="65">CB68+(BT68+BU68)*44/12</f>
        <v>789.40029264619625</v>
      </c>
      <c r="CD68" s="62">
        <f ca="1">AVERAGE(OFFSET($CC$3,0,0,'Données projet'!$E$12+1,1))-AVERAGE(OFFSET($H$3,0,0,'Données projet'!$E$12+1,1))</f>
        <v>299.07024205218266</v>
      </c>
      <c r="CE68" s="62">
        <f t="shared" si="40"/>
        <v>328.70296497136366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156.41025641025641</v>
      </c>
      <c r="CR68" s="13">
        <f>VLOOKUP(A68,'Données projet'!$A$139:$I$159,9,0)</f>
        <v>3.9743589743589722</v>
      </c>
      <c r="CS68" s="13">
        <f t="array" ref="CS68">INDEX(CR:CR,MIN(IF(ISNUMBER(CR68:CR264),ROW(CR68:CR264),"")))</f>
        <v>3.9743589743589722</v>
      </c>
      <c r="CT68" s="13">
        <f>IF('Données projet'!$A$140&gt;35,CT67+CS68-DB67,IF(A68&lt;'Données projet'!$A$140,$CQ$205^A68,IF(A68='Données projet'!$A$140,'Données projet'!$B$140,CT67+CS68-DB67)))</f>
        <v>156.41025641025647</v>
      </c>
      <c r="CU68" s="18">
        <f>CT68*VLOOKUP('Données projet'!$B$13,Paramètres!$A$1:$I$89,3,0)*VLOOKUP('Données projet'!$B$13,Paramètres!$A$1:$I$89,5,0)</f>
        <v>148.84000000000006</v>
      </c>
      <c r="CV68" s="14">
        <f t="shared" si="41"/>
        <v>38.31485246803809</v>
      </c>
      <c r="CW68" s="22">
        <f t="shared" ref="CW68:CW131" si="67">(CU68+CV68)*0.475*44/12</f>
        <v>325.96136804849976</v>
      </c>
      <c r="CX68" s="62">
        <f t="shared" ref="CX68:CX131" si="68">CW68+(CO68+CP68)*44/12</f>
        <v>619.29470138183308</v>
      </c>
      <c r="CY68" s="62">
        <f ca="1">AVERAGE(OFFSET($CX$3,0,0,'Données projet'!$E$13+1,1))-AVERAGE(OFFSET($H$3,0,0,'Données projet'!$E$13+1,1))</f>
        <v>300.36889324671682</v>
      </c>
      <c r="CZ68" s="62">
        <f t="shared" si="42"/>
        <v>214.36051699039683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217.80719999999994</v>
      </c>
      <c r="P69" s="14">
        <f t="shared" ref="P69:P132" si="87">EXP(-1.0587+0.8836*LN(O69)+0.284)</f>
        <v>53.638013973813976</v>
      </c>
      <c r="Q69" s="22">
        <f t="shared" si="54"/>
        <v>472.76708100439259</v>
      </c>
      <c r="R69" s="62">
        <f t="shared" si="55"/>
        <v>766.10041433772585</v>
      </c>
      <c r="S69" s="62">
        <f ca="1">AVERAGE(OFFSET($R$3,0,0,'Données projet'!$E$9+1,1))-AVERAGE(OFFSET($H$3,0,0,'Données projet'!$E$9+1,1))</f>
        <v>477.00263959594946</v>
      </c>
      <c r="T69" s="62">
        <f t="shared" ref="T69:T132" si="88">$T$3</f>
        <v>254.25036207346591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9.6897435897435908</v>
      </c>
      <c r="AI69" s="14">
        <f>IF('Données projet'!$A$62&gt;35,AI68+AH69-AQ68,IF(A69&lt;'Données projet'!$A$62,$AF$205^A69,IF(A69='Données projet'!$A$62,'Données projet'!$B$62,AI68+AH69-AQ68)))</f>
        <v>271.67692307692295</v>
      </c>
      <c r="AJ69" s="14">
        <f>AI69*VLOOKUP('Données projet'!$B$10,Paramètres!$A$1:$I$89,3,0)*VLOOKUP('Données projet'!$B$10,Paramètres!$A$1:$I$89,5,0)</f>
        <v>127.14479999999995</v>
      </c>
      <c r="AK69" s="14">
        <f t="shared" ref="AK69:AK132" si="89">EXP(-1.0587+0.8836*LN(AJ69)+0.284)</f>
        <v>33.335756139335082</v>
      </c>
      <c r="AL69" s="22">
        <f t="shared" si="58"/>
        <v>279.50363527600848</v>
      </c>
      <c r="AM69" s="62">
        <f t="shared" si="59"/>
        <v>572.83696860934174</v>
      </c>
      <c r="AN69" s="62">
        <f ca="1">AVERAGE(OFFSET($AM$3,0,0,'Données projet'!$E$10+1,1))-AVERAGE(OFFSET($H$3,0,0,'Données projet'!$E$10+1,1))</f>
        <v>245.47494516762282</v>
      </c>
      <c r="AO69" s="62">
        <f t="shared" ref="AO69:AO132" si="90">$AO$3</f>
        <v>145.54897745089966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</v>
      </c>
      <c r="BE69" s="14">
        <f>BD69*VLOOKUP('Données projet'!$B$11,Paramètres!$A$1:$I$89,3,0)*VLOOKUP('Données projet'!$B$11,Paramètres!$A$1:$I$89,5,0)</f>
        <v>194.3510399999999</v>
      </c>
      <c r="BF69" s="14">
        <f t="shared" ref="BF69:BF132" si="91">EXP(-1.0587+0.8836*LN(BE69)+0.284)</f>
        <v>48.500634729810116</v>
      </c>
      <c r="BG69" s="22">
        <f t="shared" si="61"/>
        <v>422.96666682108577</v>
      </c>
      <c r="BH69" s="62">
        <f t="shared" si="62"/>
        <v>716.30000015441908</v>
      </c>
      <c r="BI69" s="62">
        <f ca="1">AVERAGE(OFFSET($BH$3,0,0,'Données projet'!$E$11+1,1))-AVERAGE(OFFSET($H$3,0,0,'Données projet'!$E$11+1,1))</f>
        <v>430.21146937947236</v>
      </c>
      <c r="BJ69" s="62">
        <f t="shared" ref="BJ69:BJ132" si="92">$BJ$3</f>
        <v>231.36959598460686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302.00000000000006</v>
      </c>
      <c r="BZ69" s="14">
        <f>BY69*VLOOKUP('Données projet'!$B$12,Paramètres!$A$1:$I$89,3,0)*VLOOKUP('Données projet'!$B$12,Paramètres!$A$1:$I$89,5,0)</f>
        <v>235.56000000000006</v>
      </c>
      <c r="CA69" s="14">
        <f t="shared" ref="CA69:CA132" si="93">EXP(-1.0587+0.8836*LN(BZ69)+0.284)</f>
        <v>57.483207143847771</v>
      </c>
      <c r="CB69" s="22">
        <f t="shared" si="64"/>
        <v>510.38358577553487</v>
      </c>
      <c r="CC69" s="62">
        <f t="shared" si="65"/>
        <v>803.71691910886818</v>
      </c>
      <c r="CD69" s="62">
        <f ca="1">AVERAGE(OFFSET($CC$3,0,0,'Données projet'!$E$12+1,1))-AVERAGE(OFFSET($H$3,0,0,'Données projet'!$E$12+1,1))</f>
        <v>299.07024205218266</v>
      </c>
      <c r="CE69" s="62">
        <f t="shared" ref="CE69:CE132" si="94">$CE$3</f>
        <v>328.70296497136366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3.7179487179487181</v>
      </c>
      <c r="CT69" s="13">
        <f>IF('Données projet'!$A$140&gt;35,CT68+CS69-DB68,IF(A69&lt;'Données projet'!$A$140,$CQ$205^A69,IF(A69='Données projet'!$A$140,'Données projet'!$B$140,CT68+CS69-DB68)))</f>
        <v>160.1282051282052</v>
      </c>
      <c r="CU69" s="18">
        <f>CT69*VLOOKUP('Données projet'!$B$13,Paramètres!$A$1:$I$89,3,0)*VLOOKUP('Données projet'!$B$13,Paramètres!$A$1:$I$89,5,0)</f>
        <v>152.37800000000007</v>
      </c>
      <c r="CV69" s="14">
        <f t="shared" ref="CV69:CV132" si="95">EXP(-1.0587+0.8836*LN(CU69)+0.284)</f>
        <v>39.118498955201538</v>
      </c>
      <c r="CW69" s="22">
        <f t="shared" si="67"/>
        <v>333.52306901364278</v>
      </c>
      <c r="CX69" s="62">
        <f t="shared" si="68"/>
        <v>626.8564023469761</v>
      </c>
      <c r="CY69" s="62">
        <f ca="1">AVERAGE(OFFSET($CX$3,0,0,'Données projet'!$E$13+1,1))-AVERAGE(OFFSET($H$3,0,0,'Données projet'!$E$13+1,1))</f>
        <v>300.36889324671682</v>
      </c>
      <c r="CZ69" s="62">
        <f t="shared" ref="CZ69:CZ132" si="96">$CZ$3</f>
        <v>214.36051699039683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224.7023999999999</v>
      </c>
      <c r="P70" s="14">
        <f t="shared" si="87"/>
        <v>55.135667706678262</v>
      </c>
      <c r="Q70" s="22">
        <f t="shared" si="54"/>
        <v>487.38463458913111</v>
      </c>
      <c r="R70" s="62">
        <f t="shared" si="55"/>
        <v>780.71796792246437</v>
      </c>
      <c r="S70" s="62">
        <f ca="1">AVERAGE(OFFSET($R$3,0,0,'Données projet'!$E$9+1,1))-AVERAGE(OFFSET($H$3,0,0,'Données projet'!$E$9+1,1))</f>
        <v>477.00263959594946</v>
      </c>
      <c r="T70" s="62">
        <f t="shared" si="88"/>
        <v>254.25036207346591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9.6897435897435908</v>
      </c>
      <c r="AI70" s="14">
        <f>IF('Données projet'!$A$62&gt;35,AI69+AH70-AQ69,IF(A70&lt;'Données projet'!$A$62,$AF$205^A70,IF(A70='Données projet'!$A$62,'Données projet'!$B$62,AI69+AH70-AQ69)))</f>
        <v>281.36666666666656</v>
      </c>
      <c r="AJ70" s="14">
        <f>AI70*VLOOKUP('Données projet'!$B$10,Paramètres!$A$1:$I$89,3,0)*VLOOKUP('Données projet'!$B$10,Paramètres!$A$1:$I$89,5,0)</f>
        <v>131.67959999999997</v>
      </c>
      <c r="AK70" s="14">
        <f t="shared" si="89"/>
        <v>34.38417513752983</v>
      </c>
      <c r="AL70" s="22">
        <f t="shared" si="58"/>
        <v>289.22774169786436</v>
      </c>
      <c r="AM70" s="62">
        <f t="shared" si="59"/>
        <v>582.56107503119767</v>
      </c>
      <c r="AN70" s="62">
        <f ca="1">AVERAGE(OFFSET($AM$3,0,0,'Données projet'!$E$10+1,1))-AVERAGE(OFFSET($H$3,0,0,'Données projet'!$E$10+1,1))</f>
        <v>245.47494516762282</v>
      </c>
      <c r="AO70" s="62">
        <f t="shared" si="90"/>
        <v>145.54897745089966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221.59999999999991</v>
      </c>
      <c r="BE70" s="14">
        <f>BD70*VLOOKUP('Données projet'!$B$11,Paramètres!$A$1:$I$89,3,0)*VLOOKUP('Données projet'!$B$11,Paramètres!$A$1:$I$89,5,0)</f>
        <v>200.50367999999992</v>
      </c>
      <c r="BF70" s="14">
        <f t="shared" si="91"/>
        <v>49.854845135229887</v>
      </c>
      <c r="BG70" s="22">
        <f t="shared" si="61"/>
        <v>436.04109794385857</v>
      </c>
      <c r="BH70" s="62">
        <f t="shared" si="62"/>
        <v>729.37443127719189</v>
      </c>
      <c r="BI70" s="62">
        <f ca="1">AVERAGE(OFFSET($BH$3,0,0,'Données projet'!$E$11+1,1))-AVERAGE(OFFSET($H$3,0,0,'Données projet'!$E$11+1,1))</f>
        <v>430.21146937947236</v>
      </c>
      <c r="BJ70" s="62">
        <f t="shared" si="92"/>
        <v>231.36959598460686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310.66666666666674</v>
      </c>
      <c r="BZ70" s="14">
        <f>BY70*VLOOKUP('Données projet'!$B$12,Paramètres!$A$1:$I$89,3,0)*VLOOKUP('Données projet'!$B$12,Paramètres!$A$1:$I$89,5,0)</f>
        <v>242.32000000000008</v>
      </c>
      <c r="CA70" s="14">
        <f t="shared" si="93"/>
        <v>58.938409961900909</v>
      </c>
      <c r="CB70" s="22">
        <f t="shared" si="64"/>
        <v>524.69173068364421</v>
      </c>
      <c r="CC70" s="62">
        <f t="shared" si="65"/>
        <v>818.02506401697747</v>
      </c>
      <c r="CD70" s="62">
        <f ca="1">AVERAGE(OFFSET($CC$3,0,0,'Données projet'!$E$12+1,1))-AVERAGE(OFFSET($H$3,0,0,'Données projet'!$E$12+1,1))</f>
        <v>299.07024205218266</v>
      </c>
      <c r="CE70" s="62">
        <f t="shared" si="94"/>
        <v>328.70296497136366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3.7179487179487181</v>
      </c>
      <c r="CT70" s="13">
        <f>IF('Données projet'!$A$140&gt;35,CT69+CS70-DB69,IF(A70&lt;'Données projet'!$A$140,$CQ$205^A70,IF(A70='Données projet'!$A$140,'Données projet'!$B$140,CT69+CS70-DB69)))</f>
        <v>163.84615384615392</v>
      </c>
      <c r="CU70" s="18">
        <f>CT70*VLOOKUP('Données projet'!$B$13,Paramètres!$A$1:$I$89,3,0)*VLOOKUP('Données projet'!$B$13,Paramètres!$A$1:$I$89,5,0)</f>
        <v>155.91600000000008</v>
      </c>
      <c r="CV70" s="14">
        <f t="shared" si="95"/>
        <v>39.919976199910032</v>
      </c>
      <c r="CW70" s="22">
        <f t="shared" si="67"/>
        <v>341.08099188151004</v>
      </c>
      <c r="CX70" s="62">
        <f t="shared" si="68"/>
        <v>634.4143252148433</v>
      </c>
      <c r="CY70" s="62">
        <f ca="1">AVERAGE(OFFSET($CX$3,0,0,'Données projet'!$E$13+1,1))-AVERAGE(OFFSET($H$3,0,0,'Données projet'!$E$13+1,1))</f>
        <v>300.36889324671682</v>
      </c>
      <c r="CZ70" s="62">
        <f t="shared" si="96"/>
        <v>214.36051699039683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231.59759999999994</v>
      </c>
      <c r="P71" s="14">
        <f t="shared" si="87"/>
        <v>56.627980714948151</v>
      </c>
      <c r="Q71" s="22">
        <f t="shared" si="54"/>
        <v>501.99288641186786</v>
      </c>
      <c r="R71" s="62">
        <f t="shared" si="55"/>
        <v>795.32621974520112</v>
      </c>
      <c r="S71" s="62">
        <f ca="1">AVERAGE(OFFSET($R$3,0,0,'Données projet'!$E$9+1,1))-AVERAGE(OFFSET($H$3,0,0,'Données projet'!$E$9+1,1))</f>
        <v>477.00263959594946</v>
      </c>
      <c r="T71" s="62">
        <f t="shared" si="88"/>
        <v>254.25036207346591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9.6897435897435908</v>
      </c>
      <c r="AI71" s="14">
        <f>IF('Données projet'!$A$62&gt;35,AI70+AH71-AQ70,IF(A71&lt;'Données projet'!$A$62,$AF$205^A71,IF(A71='Données projet'!$A$62,'Données projet'!$B$62,AI70+AH71-AQ70)))</f>
        <v>291.05641025641017</v>
      </c>
      <c r="AJ71" s="14">
        <f>AI71*VLOOKUP('Données projet'!$B$10,Paramètres!$A$1:$I$89,3,0)*VLOOKUP('Données projet'!$B$10,Paramètres!$A$1:$I$89,5,0)</f>
        <v>136.21439999999996</v>
      </c>
      <c r="AK71" s="14">
        <f t="shared" si="89"/>
        <v>35.428398980540805</v>
      </c>
      <c r="AL71" s="22">
        <f t="shared" si="58"/>
        <v>298.94454155777515</v>
      </c>
      <c r="AM71" s="62">
        <f t="shared" si="59"/>
        <v>592.27787489110847</v>
      </c>
      <c r="AN71" s="62">
        <f ca="1">AVERAGE(OFFSET($AM$3,0,0,'Données projet'!$E$10+1,1))-AVERAGE(OFFSET($H$3,0,0,'Données projet'!$E$10+1,1))</f>
        <v>245.47494516762282</v>
      </c>
      <c r="AO71" s="62">
        <f t="shared" si="90"/>
        <v>145.54897745089966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228.39999999999992</v>
      </c>
      <c r="BE71" s="14">
        <f>BD71*VLOOKUP('Données projet'!$B$11,Paramètres!$A$1:$I$89,3,0)*VLOOKUP('Données projet'!$B$11,Paramètres!$A$1:$I$89,5,0)</f>
        <v>206.65631999999994</v>
      </c>
      <c r="BF71" s="14">
        <f t="shared" si="91"/>
        <v>51.20422634371338</v>
      </c>
      <c r="BG71" s="22">
        <f t="shared" si="61"/>
        <v>449.10711821530072</v>
      </c>
      <c r="BH71" s="62">
        <f t="shared" si="62"/>
        <v>742.44045154863397</v>
      </c>
      <c r="BI71" s="62">
        <f ca="1">AVERAGE(OFFSET($BH$3,0,0,'Données projet'!$E$11+1,1))-AVERAGE(OFFSET($H$3,0,0,'Données projet'!$E$11+1,1))</f>
        <v>430.21146937947236</v>
      </c>
      <c r="BJ71" s="62">
        <f t="shared" si="92"/>
        <v>231.36959598460686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319.33333333333343</v>
      </c>
      <c r="BZ71" s="14">
        <f>BY71*VLOOKUP('Données projet'!$B$12,Paramètres!$A$1:$I$89,3,0)*VLOOKUP('Données projet'!$B$12,Paramètres!$A$1:$I$89,5,0)</f>
        <v>249.08000000000007</v>
      </c>
      <c r="CA71" s="14">
        <f t="shared" si="93"/>
        <v>60.388894447487807</v>
      </c>
      <c r="CB71" s="22">
        <f t="shared" si="64"/>
        <v>538.99165782937473</v>
      </c>
      <c r="CC71" s="62">
        <f t="shared" si="65"/>
        <v>832.3249911627081</v>
      </c>
      <c r="CD71" s="62">
        <f ca="1">AVERAGE(OFFSET($CC$3,0,0,'Données projet'!$E$12+1,1))-AVERAGE(OFFSET($H$3,0,0,'Données projet'!$E$12+1,1))</f>
        <v>299.07024205218266</v>
      </c>
      <c r="CE71" s="62">
        <f t="shared" si="94"/>
        <v>328.70296497136366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3.7179487179487181</v>
      </c>
      <c r="CT71" s="13">
        <f>IF('Données projet'!$A$140&gt;35,CT70+CS71-DB70,IF(A71&lt;'Données projet'!$A$140,$CQ$205^A71,IF(A71='Données projet'!$A$140,'Données projet'!$B$140,CT70+CS71-DB70)))</f>
        <v>167.56410256410265</v>
      </c>
      <c r="CU71" s="18">
        <f>CT71*VLOOKUP('Données projet'!$B$13,Paramètres!$A$1:$I$89,3,0)*VLOOKUP('Données projet'!$B$13,Paramètres!$A$1:$I$89,5,0)</f>
        <v>159.45400000000009</v>
      </c>
      <c r="CV71" s="14">
        <f t="shared" si="95"/>
        <v>40.719339092635224</v>
      </c>
      <c r="CW71" s="22">
        <f t="shared" si="67"/>
        <v>348.63523225300651</v>
      </c>
      <c r="CX71" s="62">
        <f t="shared" si="68"/>
        <v>641.96856558633976</v>
      </c>
      <c r="CY71" s="62">
        <f ca="1">AVERAGE(OFFSET($CX$3,0,0,'Données projet'!$E$13+1,1))-AVERAGE(OFFSET($H$3,0,0,'Données projet'!$E$13+1,1))</f>
        <v>300.36889324671682</v>
      </c>
      <c r="CZ71" s="62">
        <f t="shared" si="96"/>
        <v>214.36051699039683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238.49279999999996</v>
      </c>
      <c r="P72" s="14">
        <f t="shared" si="87"/>
        <v>58.115130258576542</v>
      </c>
      <c r="Q72" s="22">
        <f t="shared" si="54"/>
        <v>516.59214520035414</v>
      </c>
      <c r="R72" s="62">
        <f t="shared" si="55"/>
        <v>809.92547853368751</v>
      </c>
      <c r="S72" s="62">
        <f ca="1">AVERAGE(OFFSET($R$3,0,0,'Données projet'!$E$9+1,1))-AVERAGE(OFFSET($H$3,0,0,'Données projet'!$E$9+1,1))</f>
        <v>477.00263959594946</v>
      </c>
      <c r="T72" s="62">
        <f t="shared" si="88"/>
        <v>254.25036207346591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300.74615384615385</v>
      </c>
      <c r="AG72" s="13">
        <f>VLOOKUP(A72,'Données projet'!$A$61:$I$81,9,0)</f>
        <v>9.6897435897435908</v>
      </c>
      <c r="AH72" s="13">
        <f t="array" ref="AH72">INDEX(AG:AG,MIN(IF(ISNUMBER(AG72:AG268),ROW(AG72:AG268),"")))</f>
        <v>9.6897435897435908</v>
      </c>
      <c r="AI72" s="14">
        <f>IF('Données projet'!$A$62&gt;35,AI71+AH72-AQ71,IF(A72&lt;'Données projet'!$A$62,$AF$205^A72,IF(A72='Données projet'!$A$62,'Données projet'!$B$62,AI71+AH72-AQ71)))</f>
        <v>300.74615384615379</v>
      </c>
      <c r="AJ72" s="14">
        <f>AI72*VLOOKUP('Données projet'!$B$10,Paramètres!$A$1:$I$89,3,0)*VLOOKUP('Données projet'!$B$10,Paramètres!$A$1:$I$89,5,0)</f>
        <v>140.74919999999997</v>
      </c>
      <c r="AK72" s="14">
        <f t="shared" si="89"/>
        <v>36.468583345471806</v>
      </c>
      <c r="AL72" s="22">
        <f t="shared" si="58"/>
        <v>308.65430599336338</v>
      </c>
      <c r="AM72" s="62">
        <f t="shared" si="59"/>
        <v>601.98763932669669</v>
      </c>
      <c r="AN72" s="62">
        <f ca="1">AVERAGE(OFFSET($AM$3,0,0,'Données projet'!$E$10+1,1))-AVERAGE(OFFSET($H$3,0,0,'Données projet'!$E$10+1,1))</f>
        <v>245.47494516762282</v>
      </c>
      <c r="AO72" s="62">
        <f t="shared" si="90"/>
        <v>145.54897745089966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235.19999999999993</v>
      </c>
      <c r="BE72" s="14">
        <f>BD72*VLOOKUP('Données projet'!$B$11,Paramètres!$A$1:$I$89,3,0)*VLOOKUP('Données projet'!$B$11,Paramètres!$A$1:$I$89,5,0)</f>
        <v>212.8089599999999</v>
      </c>
      <c r="BF72" s="14">
        <f t="shared" si="91"/>
        <v>52.548938637485847</v>
      </c>
      <c r="BG72" s="22">
        <f t="shared" si="61"/>
        <v>462.16500679362093</v>
      </c>
      <c r="BH72" s="62">
        <f t="shared" si="62"/>
        <v>755.49834012695419</v>
      </c>
      <c r="BI72" s="62">
        <f ca="1">AVERAGE(OFFSET($BH$3,0,0,'Données projet'!$E$11+1,1))-AVERAGE(OFFSET($H$3,0,0,'Données projet'!$E$11+1,1))</f>
        <v>430.21146937947236</v>
      </c>
      <c r="BJ72" s="62">
        <f t="shared" si="92"/>
        <v>231.36959598460686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328.00000000000011</v>
      </c>
      <c r="BZ72" s="14">
        <f>BY72*VLOOKUP('Données projet'!$B$12,Paramètres!$A$1:$I$89,3,0)*VLOOKUP('Données projet'!$B$12,Paramètres!$A$1:$I$89,5,0)</f>
        <v>255.84000000000009</v>
      </c>
      <c r="CA72" s="14">
        <f t="shared" si="93"/>
        <v>61.834803371075836</v>
      </c>
      <c r="CB72" s="22">
        <f t="shared" si="64"/>
        <v>553.28361587129064</v>
      </c>
      <c r="CC72" s="62">
        <f t="shared" si="65"/>
        <v>846.61694920462401</v>
      </c>
      <c r="CD72" s="62">
        <f ca="1">AVERAGE(OFFSET($CC$3,0,0,'Données projet'!$E$12+1,1))-AVERAGE(OFFSET($H$3,0,0,'Données projet'!$E$12+1,1))</f>
        <v>299.07024205218266</v>
      </c>
      <c r="CE72" s="62">
        <f t="shared" si="94"/>
        <v>328.70296497136366</v>
      </c>
      <c r="CF72" s="16">
        <f>IF(ISNA(VLOOKUP(A72,'Données projet'!$A$113:$I$133,3,0)),0,VLOOKUP(A72,'Données projet'!$A$113:$I$133,3,0))</f>
        <v>6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3.7179487179487181</v>
      </c>
      <c r="CT72" s="13">
        <f>IF('Données projet'!$A$140&gt;35,CT71+CS72-DB71,IF(A72&lt;'Données projet'!$A$140,$CQ$205^A72,IF(A72='Données projet'!$A$140,'Données projet'!$B$140,CT71+CS72-DB71)))</f>
        <v>171.28205128205138</v>
      </c>
      <c r="CU72" s="18">
        <f>CT72*VLOOKUP('Données projet'!$B$13,Paramètres!$A$1:$I$89,3,0)*VLOOKUP('Données projet'!$B$13,Paramètres!$A$1:$I$89,5,0)</f>
        <v>162.9920000000001</v>
      </c>
      <c r="CV72" s="14">
        <f t="shared" si="95"/>
        <v>41.516639948929928</v>
      </c>
      <c r="CW72" s="22">
        <f t="shared" si="67"/>
        <v>356.18588124438639</v>
      </c>
      <c r="CX72" s="62">
        <f t="shared" si="68"/>
        <v>649.51921457771971</v>
      </c>
      <c r="CY72" s="62">
        <f ca="1">AVERAGE(OFFSET($CX$3,0,0,'Données projet'!$E$13+1,1))-AVERAGE(OFFSET($H$3,0,0,'Données projet'!$E$13+1,1))</f>
        <v>300.36889324671682</v>
      </c>
      <c r="CZ72" s="62">
        <f t="shared" si="96"/>
        <v>214.36051699039683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245.38799999999995</v>
      </c>
      <c r="P73" s="14">
        <f t="shared" si="87"/>
        <v>59.597282764919569</v>
      </c>
      <c r="Q73" s="22">
        <f t="shared" si="54"/>
        <v>531.18270081556818</v>
      </c>
      <c r="R73" s="62">
        <f t="shared" si="55"/>
        <v>824.51603414890155</v>
      </c>
      <c r="S73" s="62">
        <f ca="1">AVERAGE(OFFSET($R$3,0,0,'Données projet'!$E$9+1,1))-AVERAGE(OFFSET($H$3,0,0,'Données projet'!$E$9+1,1))</f>
        <v>477.00263959594946</v>
      </c>
      <c r="T73" s="62">
        <f t="shared" si="88"/>
        <v>254.25036207346591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9.9551282051282044</v>
      </c>
      <c r="AI73" s="14">
        <f>IF('Données projet'!$A$62&gt;35,AI72+AH73-AQ72,IF(A73&lt;'Données projet'!$A$62,$AF$205^A73,IF(A73='Données projet'!$A$62,'Données projet'!$B$62,AI72+AH73-AQ72)))</f>
        <v>310.70128205128196</v>
      </c>
      <c r="AJ73" s="14">
        <f>AI73*VLOOKUP('Données projet'!$B$10,Paramètres!$A$1:$I$89,3,0)*VLOOKUP('Données projet'!$B$10,Paramètres!$A$1:$I$89,5,0)</f>
        <v>145.40819999999997</v>
      </c>
      <c r="AK73" s="14">
        <f t="shared" si="89"/>
        <v>37.533201941228626</v>
      </c>
      <c r="AL73" s="22">
        <f t="shared" si="58"/>
        <v>318.62294171430648</v>
      </c>
      <c r="AM73" s="62">
        <f t="shared" si="59"/>
        <v>611.95627504763979</v>
      </c>
      <c r="AN73" s="62">
        <f ca="1">AVERAGE(OFFSET($AM$3,0,0,'Données projet'!$E$10+1,1))-AVERAGE(OFFSET($H$3,0,0,'Données projet'!$E$10+1,1))</f>
        <v>245.47494516762282</v>
      </c>
      <c r="AO73" s="62">
        <f t="shared" si="90"/>
        <v>145.54897745089966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241.99999999999994</v>
      </c>
      <c r="BE73" s="14">
        <f>BD73*VLOOKUP('Données projet'!$B$11,Paramètres!$A$1:$I$89,3,0)*VLOOKUP('Données projet'!$B$11,Paramètres!$A$1:$I$89,5,0)</f>
        <v>218.96159999999995</v>
      </c>
      <c r="BF73" s="14">
        <f t="shared" si="91"/>
        <v>53.88913250370743</v>
      </c>
      <c r="BG73" s="22">
        <f t="shared" si="61"/>
        <v>475.21502577729035</v>
      </c>
      <c r="BH73" s="62">
        <f t="shared" si="62"/>
        <v>768.54835911062366</v>
      </c>
      <c r="BI73" s="62">
        <f ca="1">AVERAGE(OFFSET($BH$3,0,0,'Données projet'!$E$11+1,1))-AVERAGE(OFFSET($H$3,0,0,'Données projet'!$E$11+1,1))</f>
        <v>430.21146937947236</v>
      </c>
      <c r="BJ73" s="62">
        <f t="shared" si="92"/>
        <v>231.36959598460686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1.1368683772161603E-13</v>
      </c>
      <c r="BZ73" s="14">
        <f>BY73*VLOOKUP('Données projet'!$B$12,Paramètres!$A$1:$I$89,3,0)*VLOOKUP('Données projet'!$B$12,Paramètres!$A$1:$I$89,5,0)</f>
        <v>8.8675733422860506E-14</v>
      </c>
      <c r="CA73" s="14">
        <f t="shared" si="93"/>
        <v>1.3509285393066301E-12</v>
      </c>
      <c r="CB73" s="22">
        <f t="shared" si="64"/>
        <v>2.5073107750038623E-12</v>
      </c>
      <c r="CC73" s="62">
        <f t="shared" si="65"/>
        <v>293.33333333333582</v>
      </c>
      <c r="CD73" s="62">
        <f ca="1">AVERAGE(OFFSET($CC$3,0,0,'Données projet'!$E$12+1,1))-AVERAGE(OFFSET($H$3,0,0,'Données projet'!$E$12+1,1))</f>
        <v>299.07024205218266</v>
      </c>
      <c r="CE73" s="62">
        <f t="shared" si="94"/>
        <v>328.70296497136366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175</v>
      </c>
      <c r="CR73" s="13">
        <f>VLOOKUP(A73,'Données projet'!$A$139:$I$159,9,0)</f>
        <v>3.7179487179487181</v>
      </c>
      <c r="CS73" s="13">
        <f t="array" ref="CS73">INDEX(CR:CR,MIN(IF(ISNUMBER(CR73:CR269),ROW(CR73:CR269),"")))</f>
        <v>3.7179487179487181</v>
      </c>
      <c r="CT73" s="13">
        <f>IF('Données projet'!$A$140&gt;35,CT72+CS73-DB72,IF(A73&lt;'Données projet'!$A$140,$CQ$205^A73,IF(A73='Données projet'!$A$140,'Données projet'!$B$140,CT72+CS73-DB72)))</f>
        <v>175.00000000000011</v>
      </c>
      <c r="CU73" s="18">
        <f>CT73*VLOOKUP('Données projet'!$B$13,Paramètres!$A$1:$I$89,3,0)*VLOOKUP('Données projet'!$B$13,Paramètres!$A$1:$I$89,5,0)</f>
        <v>166.53000000000011</v>
      </c>
      <c r="CV73" s="14">
        <f t="shared" si="95"/>
        <v>42.311928683446958</v>
      </c>
      <c r="CW73" s="22">
        <f t="shared" si="67"/>
        <v>363.73302579033697</v>
      </c>
      <c r="CX73" s="62">
        <f t="shared" si="68"/>
        <v>657.06635912367028</v>
      </c>
      <c r="CY73" s="62">
        <f ca="1">AVERAGE(OFFSET($CX$3,0,0,'Données projet'!$E$13+1,1))-AVERAGE(OFFSET($H$3,0,0,'Données projet'!$E$13+1,1))</f>
        <v>300.36889324671682</v>
      </c>
      <c r="CZ73" s="62">
        <f t="shared" si="96"/>
        <v>214.36051699039683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23.076923076923077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251.67479999999995</v>
      </c>
      <c r="P74" s="14">
        <f t="shared" si="87"/>
        <v>60.944434584138449</v>
      </c>
      <c r="Q74" s="22">
        <f t="shared" si="54"/>
        <v>544.47850023404101</v>
      </c>
      <c r="R74" s="62">
        <f t="shared" si="55"/>
        <v>837.81183356737438</v>
      </c>
      <c r="S74" s="62">
        <f ca="1">AVERAGE(OFFSET($R$3,0,0,'Données projet'!$E$9+1,1))-AVERAGE(OFFSET($H$3,0,0,'Données projet'!$E$9+1,1))</f>
        <v>477.00263959594946</v>
      </c>
      <c r="T74" s="62">
        <f t="shared" si="88"/>
        <v>254.25036207346591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9.9551282051282044</v>
      </c>
      <c r="AI74" s="14">
        <f>IF('Données projet'!$A$62&gt;35,AI73+AH74-AQ73,IF(A74&lt;'Données projet'!$A$62,$AF$205^A74,IF(A74='Données projet'!$A$62,'Données projet'!$B$62,AI73+AH74-AQ73)))</f>
        <v>320.65641025641014</v>
      </c>
      <c r="AJ74" s="14">
        <f>AI74*VLOOKUP('Données projet'!$B$10,Paramètres!$A$1:$I$89,3,0)*VLOOKUP('Données projet'!$B$10,Paramètres!$A$1:$I$89,5,0)</f>
        <v>150.06719999999996</v>
      </c>
      <c r="AK74" s="14">
        <f t="shared" si="89"/>
        <v>38.593856663876636</v>
      </c>
      <c r="AL74" s="22">
        <f t="shared" si="58"/>
        <v>328.58467368958503</v>
      </c>
      <c r="AM74" s="62">
        <f t="shared" si="59"/>
        <v>621.91800702291835</v>
      </c>
      <c r="AN74" s="62">
        <f ca="1">AVERAGE(OFFSET($AM$3,0,0,'Données projet'!$E$10+1,1))-AVERAGE(OFFSET($H$3,0,0,'Données projet'!$E$10+1,1))</f>
        <v>245.47494516762282</v>
      </c>
      <c r="AO74" s="62">
        <f t="shared" si="90"/>
        <v>145.54897745089966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248.19999999999993</v>
      </c>
      <c r="BE74" s="14">
        <f>BD74*VLOOKUP('Données projet'!$B$11,Paramètres!$A$1:$I$89,3,0)*VLOOKUP('Données projet'!$B$11,Paramètres!$A$1:$I$89,5,0)</f>
        <v>224.57135999999994</v>
      </c>
      <c r="BF74" s="14">
        <f t="shared" si="91"/>
        <v>55.107255873104265</v>
      </c>
      <c r="BG74" s="22">
        <f t="shared" si="61"/>
        <v>487.10692264565643</v>
      </c>
      <c r="BH74" s="62">
        <f t="shared" si="62"/>
        <v>780.44025597898974</v>
      </c>
      <c r="BI74" s="62">
        <f ca="1">AVERAGE(OFFSET($BH$3,0,0,'Données projet'!$E$11+1,1))-AVERAGE(OFFSET($H$3,0,0,'Données projet'!$E$11+1,1))</f>
        <v>430.21146937947236</v>
      </c>
      <c r="BJ74" s="62">
        <f t="shared" si="92"/>
        <v>231.36959598460686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projet'!$B$12,Paramètres!$A$1:$I$89,3,0)*VLOOKUP('Données projet'!$B$12,Paramètres!$A$1:$I$89,5,0)</f>
        <v>8.8675733422860506E-14</v>
      </c>
      <c r="CA74" s="14">
        <f t="shared" si="93"/>
        <v>1.3509285393066301E-12</v>
      </c>
      <c r="CB74" s="22">
        <f t="shared" si="64"/>
        <v>2.5073107750038623E-12</v>
      </c>
      <c r="CC74" s="62">
        <f t="shared" si="65"/>
        <v>293.33333333333582</v>
      </c>
      <c r="CD74" s="62">
        <f ca="1">AVERAGE(OFFSET($CC$3,0,0,'Données projet'!$E$12+1,1))-AVERAGE(OFFSET($H$3,0,0,'Données projet'!$E$12+1,1))</f>
        <v>299.07024205218266</v>
      </c>
      <c r="CE74" s="62">
        <f t="shared" si="94"/>
        <v>328.70296497136366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3.5897435897435854</v>
      </c>
      <c r="CT74" s="13">
        <f>IF('Données projet'!$A$140&gt;35,CT73+CS74-DB73,IF(A74&lt;'Données projet'!$A$140,$CQ$205^A74,IF(A74='Données projet'!$A$140,'Données projet'!$B$140,CT73+CS74-DB73)))</f>
        <v>155.51282051282064</v>
      </c>
      <c r="CU74" s="18">
        <f>CT74*VLOOKUP('Données projet'!$B$13,Paramètres!$A$1:$I$89,3,0)*VLOOKUP('Données projet'!$B$13,Paramètres!$A$1:$I$89,5,0)</f>
        <v>147.98600000000013</v>
      </c>
      <c r="CV74" s="14">
        <f t="shared" si="95"/>
        <v>38.120537441454275</v>
      </c>
      <c r="CW74" s="22">
        <f t="shared" si="67"/>
        <v>324.13555271053309</v>
      </c>
      <c r="CX74" s="62">
        <f t="shared" si="68"/>
        <v>617.46888604386641</v>
      </c>
      <c r="CY74" s="62">
        <f ca="1">AVERAGE(OFFSET($CX$3,0,0,'Données projet'!$E$13+1,1))-AVERAGE(OFFSET($H$3,0,0,'Données projet'!$E$13+1,1))</f>
        <v>300.36889324671682</v>
      </c>
      <c r="CZ74" s="62">
        <f t="shared" si="96"/>
        <v>214.36051699039683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257.96159999999992</v>
      </c>
      <c r="P75" s="14">
        <f t="shared" si="87"/>
        <v>62.287674609742481</v>
      </c>
      <c r="Q75" s="22">
        <f t="shared" si="54"/>
        <v>557.76748661196802</v>
      </c>
      <c r="R75" s="62">
        <f t="shared" si="55"/>
        <v>851.10081994530128</v>
      </c>
      <c r="S75" s="62">
        <f ca="1">AVERAGE(OFFSET($R$3,0,0,'Données projet'!$E$9+1,1))-AVERAGE(OFFSET($H$3,0,0,'Données projet'!$E$9+1,1))</f>
        <v>477.00263959594946</v>
      </c>
      <c r="T75" s="62">
        <f t="shared" si="88"/>
        <v>254.25036207346591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9.9551282051282044</v>
      </c>
      <c r="AI75" s="14">
        <f>IF('Données projet'!$A$62&gt;35,AI74+AH75-AQ74,IF(A75&lt;'Données projet'!$A$62,$AF$205^A75,IF(A75='Données projet'!$A$62,'Données projet'!$B$62,AI74+AH75-AQ74)))</f>
        <v>330.61153846153832</v>
      </c>
      <c r="AJ75" s="14">
        <f>AI75*VLOOKUP('Données projet'!$B$10,Paramètres!$A$1:$I$89,3,0)*VLOOKUP('Données projet'!$B$10,Paramètres!$A$1:$I$89,5,0)</f>
        <v>154.72619999999992</v>
      </c>
      <c r="AK75" s="14">
        <f t="shared" si="89"/>
        <v>39.650684697457002</v>
      </c>
      <c r="AL75" s="22">
        <f t="shared" si="58"/>
        <v>338.53974084807078</v>
      </c>
      <c r="AM75" s="62">
        <f t="shared" si="59"/>
        <v>631.87307418140404</v>
      </c>
      <c r="AN75" s="62">
        <f ca="1">AVERAGE(OFFSET($AM$3,0,0,'Données projet'!$E$10+1,1))-AVERAGE(OFFSET($H$3,0,0,'Données projet'!$E$10+1,1))</f>
        <v>245.47494516762282</v>
      </c>
      <c r="AO75" s="62">
        <f t="shared" si="90"/>
        <v>145.54897745089966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254.39999999999992</v>
      </c>
      <c r="BE75" s="14">
        <f>BD75*VLOOKUP('Données projet'!$B$11,Paramètres!$A$1:$I$89,3,0)*VLOOKUP('Données projet'!$B$11,Paramètres!$A$1:$I$89,5,0)</f>
        <v>230.18111999999991</v>
      </c>
      <c r="BF75" s="14">
        <f t="shared" si="91"/>
        <v>56.321842115392933</v>
      </c>
      <c r="BG75" s="22">
        <f t="shared" si="61"/>
        <v>498.99265901764255</v>
      </c>
      <c r="BH75" s="62">
        <f t="shared" si="62"/>
        <v>792.32599235097587</v>
      </c>
      <c r="BI75" s="62">
        <f ca="1">AVERAGE(OFFSET($BH$3,0,0,'Données projet'!$E$11+1,1))-AVERAGE(OFFSET($H$3,0,0,'Données projet'!$E$11+1,1))</f>
        <v>430.21146937947236</v>
      </c>
      <c r="BJ75" s="62">
        <f t="shared" si="92"/>
        <v>231.36959598460686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projet'!$B$12,Paramètres!$A$1:$I$89,3,0)*VLOOKUP('Données projet'!$B$12,Paramètres!$A$1:$I$89,5,0)</f>
        <v>8.8675733422860506E-14</v>
      </c>
      <c r="CA75" s="14">
        <f t="shared" si="93"/>
        <v>1.3509285393066301E-12</v>
      </c>
      <c r="CB75" s="22">
        <f t="shared" si="64"/>
        <v>2.5073107750038623E-12</v>
      </c>
      <c r="CC75" s="62">
        <f t="shared" si="65"/>
        <v>293.33333333333582</v>
      </c>
      <c r="CD75" s="62">
        <f ca="1">AVERAGE(OFFSET($CC$3,0,0,'Données projet'!$E$12+1,1))-AVERAGE(OFFSET($H$3,0,0,'Données projet'!$E$12+1,1))</f>
        <v>299.07024205218266</v>
      </c>
      <c r="CE75" s="62">
        <f t="shared" si="94"/>
        <v>328.70296497136366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3.5897435897435854</v>
      </c>
      <c r="CT75" s="13">
        <f>IF('Données projet'!$A$140&gt;35,CT74+CS75-DB74,IF(A75&lt;'Données projet'!$A$140,$CQ$205^A75,IF(A75='Données projet'!$A$140,'Données projet'!$B$140,CT74+CS75-DB74)))</f>
        <v>159.10256410256423</v>
      </c>
      <c r="CU75" s="18">
        <f>CT75*VLOOKUP('Données projet'!$B$13,Paramètres!$A$1:$I$89,3,0)*VLOOKUP('Données projet'!$B$13,Paramètres!$A$1:$I$89,5,0)</f>
        <v>151.40200000000013</v>
      </c>
      <c r="CV75" s="14">
        <f t="shared" si="95"/>
        <v>38.897022435666386</v>
      </c>
      <c r="CW75" s="22">
        <f t="shared" si="67"/>
        <v>331.43746407545251</v>
      </c>
      <c r="CX75" s="62">
        <f t="shared" si="68"/>
        <v>624.77079740878582</v>
      </c>
      <c r="CY75" s="62">
        <f ca="1">AVERAGE(OFFSET($CX$3,0,0,'Données projet'!$E$13+1,1))-AVERAGE(OFFSET($H$3,0,0,'Données projet'!$E$13+1,1))</f>
        <v>300.36889324671682</v>
      </c>
      <c r="CZ75" s="62">
        <f t="shared" si="96"/>
        <v>214.36051699039683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264.24839999999995</v>
      </c>
      <c r="P76" s="14">
        <f t="shared" si="87"/>
        <v>63.627109143733414</v>
      </c>
      <c r="Q76" s="22">
        <f t="shared" si="54"/>
        <v>571.04984509200233</v>
      </c>
      <c r="R76" s="62">
        <f t="shared" si="55"/>
        <v>864.3831784253357</v>
      </c>
      <c r="S76" s="62">
        <f ca="1">AVERAGE(OFFSET($R$3,0,0,'Données projet'!$E$9+1,1))-AVERAGE(OFFSET($H$3,0,0,'Données projet'!$E$9+1,1))</f>
        <v>477.00263959594946</v>
      </c>
      <c r="T76" s="62">
        <f t="shared" si="88"/>
        <v>254.25036207346591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9.9551282051282044</v>
      </c>
      <c r="AI76" s="14">
        <f>IF('Données projet'!$A$62&gt;35,AI75+AH76-AQ75,IF(A76&lt;'Données projet'!$A$62,$AF$205^A76,IF(A76='Données projet'!$A$62,'Données projet'!$B$62,AI75+AH76-AQ75)))</f>
        <v>340.56666666666649</v>
      </c>
      <c r="AJ76" s="14">
        <f>AI76*VLOOKUP('Données projet'!$B$10,Paramètres!$A$1:$I$89,3,0)*VLOOKUP('Données projet'!$B$10,Paramètres!$A$1:$I$89,5,0)</f>
        <v>159.38519999999991</v>
      </c>
      <c r="AK76" s="14">
        <f t="shared" si="89"/>
        <v>40.703814494924693</v>
      </c>
      <c r="AL76" s="22">
        <f t="shared" si="58"/>
        <v>348.48836691199364</v>
      </c>
      <c r="AM76" s="62">
        <f t="shared" si="59"/>
        <v>641.82170024532695</v>
      </c>
      <c r="AN76" s="62">
        <f ca="1">AVERAGE(OFFSET($AM$3,0,0,'Données projet'!$E$10+1,1))-AVERAGE(OFFSET($H$3,0,0,'Données projet'!$E$10+1,1))</f>
        <v>245.47494516762282</v>
      </c>
      <c r="AO76" s="62">
        <f t="shared" si="90"/>
        <v>145.54897745089966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260.59999999999991</v>
      </c>
      <c r="BE76" s="14">
        <f>BD76*VLOOKUP('Données projet'!$B$11,Paramètres!$A$1:$I$89,3,0)*VLOOKUP('Données projet'!$B$11,Paramètres!$A$1:$I$89,5,0)</f>
        <v>235.7908799999999</v>
      </c>
      <c r="BF76" s="14">
        <f t="shared" si="91"/>
        <v>57.532987351107714</v>
      </c>
      <c r="BG76" s="22">
        <f t="shared" si="61"/>
        <v>510.87240230317911</v>
      </c>
      <c r="BH76" s="62">
        <f t="shared" si="62"/>
        <v>804.20573563651237</v>
      </c>
      <c r="BI76" s="62">
        <f ca="1">AVERAGE(OFFSET($BH$3,0,0,'Données projet'!$E$11+1,1))-AVERAGE(OFFSET($H$3,0,0,'Données projet'!$E$11+1,1))</f>
        <v>430.21146937947236</v>
      </c>
      <c r="BJ76" s="62">
        <f t="shared" si="92"/>
        <v>231.36959598460686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projet'!$B$12,Paramètres!$A$1:$I$89,3,0)*VLOOKUP('Données projet'!$B$12,Paramètres!$A$1:$I$89,5,0)</f>
        <v>8.8675733422860506E-14</v>
      </c>
      <c r="CA76" s="14">
        <f t="shared" si="93"/>
        <v>1.3509285393066301E-12</v>
      </c>
      <c r="CB76" s="22">
        <f t="shared" si="64"/>
        <v>2.5073107750038623E-12</v>
      </c>
      <c r="CC76" s="62">
        <f t="shared" si="65"/>
        <v>293.33333333333582</v>
      </c>
      <c r="CD76" s="62">
        <f ca="1">AVERAGE(OFFSET($CC$3,0,0,'Données projet'!$E$12+1,1))-AVERAGE(OFFSET($H$3,0,0,'Données projet'!$E$12+1,1))</f>
        <v>299.07024205218266</v>
      </c>
      <c r="CE76" s="62">
        <f t="shared" si="94"/>
        <v>328.70296497136366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3.5897435897435854</v>
      </c>
      <c r="CT76" s="13">
        <f>IF('Données projet'!$A$140&gt;35,CT75+CS76-DB75,IF(A76&lt;'Données projet'!$A$140,$CQ$205^A76,IF(A76='Données projet'!$A$140,'Données projet'!$B$140,CT75+CS76-DB75)))</f>
        <v>162.69230769230782</v>
      </c>
      <c r="CU76" s="18">
        <f>CT76*VLOOKUP('Données projet'!$B$13,Paramètres!$A$1:$I$89,3,0)*VLOOKUP('Données projet'!$B$13,Paramètres!$A$1:$I$89,5,0)</f>
        <v>154.81800000000013</v>
      </c>
      <c r="CV76" s="14">
        <f t="shared" si="95"/>
        <v>39.671470664133182</v>
      </c>
      <c r="CW76" s="22">
        <f t="shared" si="67"/>
        <v>338.73582807336555</v>
      </c>
      <c r="CX76" s="62">
        <f t="shared" si="68"/>
        <v>632.06916140669887</v>
      </c>
      <c r="CY76" s="62">
        <f ca="1">AVERAGE(OFFSET($CX$3,0,0,'Données projet'!$E$13+1,1))-AVERAGE(OFFSET($H$3,0,0,'Données projet'!$E$13+1,1))</f>
        <v>300.36889324671682</v>
      </c>
      <c r="CZ76" s="62">
        <f t="shared" si="96"/>
        <v>214.36051699039683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270.53519999999992</v>
      </c>
      <c r="P77" s="14">
        <f t="shared" si="87"/>
        <v>64.962839141501405</v>
      </c>
      <c r="Q77" s="22">
        <f t="shared" si="54"/>
        <v>584.32575150478135</v>
      </c>
      <c r="R77" s="62">
        <f t="shared" si="55"/>
        <v>877.65908483811472</v>
      </c>
      <c r="S77" s="62">
        <f ca="1">AVERAGE(OFFSET($R$3,0,0,'Données projet'!$E$9+1,1))-AVERAGE(OFFSET($H$3,0,0,'Données projet'!$E$9+1,1))</f>
        <v>477.00263959594946</v>
      </c>
      <c r="T77" s="62">
        <f t="shared" si="88"/>
        <v>254.25036207346591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9.9551282051282044</v>
      </c>
      <c r="AI77" s="14">
        <f>IF('Données projet'!$A$62&gt;35,AI76+AH77-AQ76,IF(A77&lt;'Données projet'!$A$62,$AF$205^A77,IF(A77='Données projet'!$A$62,'Données projet'!$B$62,AI76+AH77-AQ76)))</f>
        <v>350.52179487179467</v>
      </c>
      <c r="AJ77" s="14">
        <f>AI77*VLOOKUP('Données projet'!$B$10,Paramètres!$A$1:$I$89,3,0)*VLOOKUP('Données projet'!$B$10,Paramètres!$A$1:$I$89,5,0)</f>
        <v>164.0441999999999</v>
      </c>
      <c r="AK77" s="14">
        <f t="shared" si="89"/>
        <v>41.753366572621168</v>
      </c>
      <c r="AL77" s="22">
        <f t="shared" si="58"/>
        <v>358.43076178064831</v>
      </c>
      <c r="AM77" s="62">
        <f t="shared" si="59"/>
        <v>651.76409511398163</v>
      </c>
      <c r="AN77" s="62">
        <f ca="1">AVERAGE(OFFSET($AM$3,0,0,'Données projet'!$E$10+1,1))-AVERAGE(OFFSET($H$3,0,0,'Données projet'!$E$10+1,1))</f>
        <v>245.47494516762282</v>
      </c>
      <c r="AO77" s="62">
        <f t="shared" si="90"/>
        <v>145.54897745089966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266.7999999999999</v>
      </c>
      <c r="BE77" s="14">
        <f>BD77*VLOOKUP('Données projet'!$B$11,Paramètres!$A$1:$I$89,3,0)*VLOOKUP('Données projet'!$B$11,Paramètres!$A$1:$I$89,5,0)</f>
        <v>241.40063999999992</v>
      </c>
      <c r="BF77" s="14">
        <f t="shared" si="91"/>
        <v>58.740782866262698</v>
      </c>
      <c r="BG77" s="22">
        <f t="shared" si="61"/>
        <v>522.74631149207403</v>
      </c>
      <c r="BH77" s="62">
        <f t="shared" si="62"/>
        <v>816.07964482540729</v>
      </c>
      <c r="BI77" s="62">
        <f ca="1">AVERAGE(OFFSET($BH$3,0,0,'Données projet'!$E$11+1,1))-AVERAGE(OFFSET($H$3,0,0,'Données projet'!$E$11+1,1))</f>
        <v>430.21146937947236</v>
      </c>
      <c r="BJ77" s="62">
        <f t="shared" si="92"/>
        <v>231.36959598460686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projet'!$B$12,Paramètres!$A$1:$I$89,3,0)*VLOOKUP('Données projet'!$B$12,Paramètres!$A$1:$I$89,5,0)</f>
        <v>8.8675733422860506E-14</v>
      </c>
      <c r="CA77" s="14">
        <f t="shared" si="93"/>
        <v>1.3509285393066301E-12</v>
      </c>
      <c r="CB77" s="22">
        <f t="shared" si="64"/>
        <v>2.5073107750038623E-12</v>
      </c>
      <c r="CC77" s="62">
        <f t="shared" si="65"/>
        <v>293.33333333333582</v>
      </c>
      <c r="CD77" s="62">
        <f ca="1">AVERAGE(OFFSET($CC$3,0,0,'Données projet'!$E$12+1,1))-AVERAGE(OFFSET($H$3,0,0,'Données projet'!$E$12+1,1))</f>
        <v>299.07024205218266</v>
      </c>
      <c r="CE77" s="62">
        <f t="shared" si="94"/>
        <v>328.70296497136366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3.5897435897435854</v>
      </c>
      <c r="CT77" s="13">
        <f>IF('Données projet'!$A$140&gt;35,CT76+CS77-DB76,IF(A77&lt;'Données projet'!$A$140,$CQ$205^A77,IF(A77='Données projet'!$A$140,'Données projet'!$B$140,CT76+CS77-DB76)))</f>
        <v>166.28205128205141</v>
      </c>
      <c r="CU77" s="18">
        <f>CT77*VLOOKUP('Données projet'!$B$13,Paramètres!$A$1:$I$89,3,0)*VLOOKUP('Données projet'!$B$13,Paramètres!$A$1:$I$89,5,0)</f>
        <v>158.23400000000012</v>
      </c>
      <c r="CV77" s="14">
        <f t="shared" si="95"/>
        <v>40.443932242223461</v>
      </c>
      <c r="CW77" s="22">
        <f t="shared" si="67"/>
        <v>346.0307319885394</v>
      </c>
      <c r="CX77" s="62">
        <f t="shared" si="68"/>
        <v>639.36406532187266</v>
      </c>
      <c r="CY77" s="62">
        <f ca="1">AVERAGE(OFFSET($CX$3,0,0,'Données projet'!$E$13+1,1))-AVERAGE(OFFSET($H$3,0,0,'Données projet'!$E$13+1,1))</f>
        <v>300.36889324671682</v>
      </c>
      <c r="CZ77" s="62">
        <f t="shared" si="96"/>
        <v>214.36051699039683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276.82199999999989</v>
      </c>
      <c r="P78" s="14">
        <f t="shared" si="87"/>
        <v>66.29496059864374</v>
      </c>
      <c r="Q78" s="22">
        <f t="shared" si="54"/>
        <v>597.59537304263756</v>
      </c>
      <c r="R78" s="62">
        <f t="shared" si="55"/>
        <v>890.92870637597093</v>
      </c>
      <c r="S78" s="62">
        <f ca="1">AVERAGE(OFFSET($R$3,0,0,'Données projet'!$E$9+1,1))-AVERAGE(OFFSET($H$3,0,0,'Données projet'!$E$9+1,1))</f>
        <v>477.00263959594946</v>
      </c>
      <c r="T78" s="62">
        <f t="shared" si="88"/>
        <v>254.25036207346591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360.47692307692307</v>
      </c>
      <c r="AG78" s="13">
        <f>VLOOKUP(A78,'Données projet'!$A$61:$I$81,9,0)</f>
        <v>9.9551282051282044</v>
      </c>
      <c r="AH78" s="13">
        <f t="array" ref="AH78">INDEX(AG:AG,MIN(IF(ISNUMBER(AG78:AG274),ROW(AG78:AG274),"")))</f>
        <v>9.9551282051282044</v>
      </c>
      <c r="AI78" s="14">
        <f>IF('Données projet'!$A$62&gt;35,AI77+AH78-AQ77,IF(A78&lt;'Données projet'!$A$62,$AF$205^A78,IF(A78='Données projet'!$A$62,'Données projet'!$B$62,AI77+AH78-AQ77)))</f>
        <v>360.47692307692284</v>
      </c>
      <c r="AJ78" s="14">
        <f>AI78*VLOOKUP('Données projet'!$B$10,Paramètres!$A$1:$I$89,3,0)*VLOOKUP('Données projet'!$B$10,Paramètres!$A$1:$I$89,5,0)</f>
        <v>168.70319999999987</v>
      </c>
      <c r="AK78" s="14">
        <f t="shared" si="89"/>
        <v>42.799454211954576</v>
      </c>
      <c r="AL78" s="22">
        <f t="shared" si="58"/>
        <v>368.36712275248732</v>
      </c>
      <c r="AM78" s="62">
        <f t="shared" si="59"/>
        <v>661.70045608582063</v>
      </c>
      <c r="AN78" s="62">
        <f ca="1">AVERAGE(OFFSET($AM$3,0,0,'Données projet'!$E$10+1,1))-AVERAGE(OFFSET($H$3,0,0,'Données projet'!$E$10+1,1))</f>
        <v>245.47494516762282</v>
      </c>
      <c r="AO78" s="62">
        <f t="shared" si="90"/>
        <v>145.54897745089966</v>
      </c>
      <c r="AP78" s="16">
        <f>IF(ISNA(VLOOKUP(A78,'Données projet'!$A$61:$I$81,3,0)),0,VLOOKUP(A78,'Données projet'!$A$61:$I$81,3,0))</f>
        <v>3</v>
      </c>
      <c r="AQ78" s="16">
        <f>IF(ISNA(VLOOKUP(A78,'Données projet'!$A$61:$I$81,4,0)),0,VLOOKUP(A78,'Données projet'!$A$61:$I$81,4,0))</f>
        <v>85.361538461538458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273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272.99999999999989</v>
      </c>
      <c r="BE78" s="14">
        <f>BD78*VLOOKUP('Données projet'!$B$11,Paramètres!$A$1:$I$89,3,0)*VLOOKUP('Données projet'!$B$11,Paramètres!$A$1:$I$89,5,0)</f>
        <v>247.01039999999989</v>
      </c>
      <c r="BF78" s="14">
        <f t="shared" si="91"/>
        <v>59.945315462121812</v>
      </c>
      <c r="BG78" s="22">
        <f t="shared" si="61"/>
        <v>534.61453776319524</v>
      </c>
      <c r="BH78" s="62">
        <f t="shared" si="62"/>
        <v>827.94787109652862</v>
      </c>
      <c r="BI78" s="62">
        <f ca="1">AVERAGE(OFFSET($BH$3,0,0,'Données projet'!$E$11+1,1))-AVERAGE(OFFSET($H$3,0,0,'Données projet'!$E$11+1,1))</f>
        <v>430.21146937947236</v>
      </c>
      <c r="BJ78" s="62">
        <f t="shared" si="92"/>
        <v>231.36959598460686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42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projet'!$B$12,Paramètres!$A$1:$I$89,3,0)*VLOOKUP('Données projet'!$B$12,Paramètres!$A$1:$I$89,5,0)</f>
        <v>8.8675733422860506E-14</v>
      </c>
      <c r="CA78" s="14">
        <f t="shared" si="93"/>
        <v>1.3509285393066301E-12</v>
      </c>
      <c r="CB78" s="22">
        <f t="shared" si="64"/>
        <v>2.5073107750038623E-12</v>
      </c>
      <c r="CC78" s="62">
        <f t="shared" si="65"/>
        <v>293.33333333333582</v>
      </c>
      <c r="CD78" s="62">
        <f ca="1">AVERAGE(OFFSET($CC$3,0,0,'Données projet'!$E$12+1,1))-AVERAGE(OFFSET($H$3,0,0,'Données projet'!$E$12+1,1))</f>
        <v>299.07024205218266</v>
      </c>
      <c r="CE78" s="62">
        <f t="shared" si="94"/>
        <v>328.70296497136366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169.87179487179486</v>
      </c>
      <c r="CR78" s="13">
        <f>VLOOKUP(A78,'Données projet'!$A$139:$I$159,9,0)</f>
        <v>3.5897435897435854</v>
      </c>
      <c r="CS78" s="13">
        <f t="array" ref="CS78">INDEX(CR:CR,MIN(IF(ISNUMBER(CR78:CR274),ROW(CR78:CR274),"")))</f>
        <v>3.5897435897435854</v>
      </c>
      <c r="CT78" s="13">
        <f>IF('Données projet'!$A$140&gt;35,CT77+CS78-DB77,IF(A78&lt;'Données projet'!$A$140,$CQ$205^A78,IF(A78='Données projet'!$A$140,'Données projet'!$B$140,CT77+CS78-DB77)))</f>
        <v>169.871794871795</v>
      </c>
      <c r="CU78" s="18">
        <f>CT78*VLOOKUP('Données projet'!$B$13,Paramètres!$A$1:$I$89,3,0)*VLOOKUP('Données projet'!$B$13,Paramètres!$A$1:$I$89,5,0)</f>
        <v>161.65000000000012</v>
      </c>
      <c r="CV78" s="14">
        <f t="shared" si="95"/>
        <v>41.214454997903914</v>
      </c>
      <c r="CW78" s="22">
        <f t="shared" si="67"/>
        <v>353.32225912134953</v>
      </c>
      <c r="CX78" s="62">
        <f t="shared" si="68"/>
        <v>646.65559245468285</v>
      </c>
      <c r="CY78" s="62">
        <f ca="1">AVERAGE(OFFSET($CX$3,0,0,'Données projet'!$E$13+1,1))-AVERAGE(OFFSET($H$3,0,0,'Données projet'!$E$13+1,1))</f>
        <v>300.36889324671682</v>
      </c>
      <c r="CZ78" s="62">
        <f t="shared" si="96"/>
        <v>214.36051699039683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projet'!$B$9,Paramètres!$A$1:$I$89,3,0)*VLOOKUP('Données projet'!$B$9,Paramètres!$A$1:$I$89,5,0)</f>
        <v>240.21659999999989</v>
      </c>
      <c r="P79" s="14">
        <f t="shared" si="87"/>
        <v>58.486130580357745</v>
      </c>
      <c r="Q79" s="22">
        <f t="shared" si="54"/>
        <v>520.24058909412281</v>
      </c>
      <c r="R79" s="62">
        <f t="shared" si="55"/>
        <v>813.57392242745618</v>
      </c>
      <c r="S79" s="62">
        <f ca="1">AVERAGE(OFFSET($R$3,0,0,'Données projet'!$E$9+1,1))-AVERAGE(OFFSET($H$3,0,0,'Données projet'!$E$9+1,1))</f>
        <v>477.00263959594946</v>
      </c>
      <c r="T79" s="62">
        <f t="shared" si="88"/>
        <v>254.25036207346591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8.9320512820512761</v>
      </c>
      <c r="AI79" s="14">
        <f>IF('Données projet'!$A$62&gt;35,AI78+AH79-AQ78,IF(A79&lt;'Données projet'!$A$62,$AF$205^A79,IF(A79='Données projet'!$A$62,'Données projet'!$B$62,AI78+AH79-AQ78)))</f>
        <v>284.04743589743566</v>
      </c>
      <c r="AJ79" s="14">
        <f>AI79*VLOOKUP('Données projet'!$B$10,Paramètres!$A$1:$I$89,3,0)*VLOOKUP('Données projet'!$B$10,Paramètres!$A$1:$I$89,5,0)</f>
        <v>132.93419999999989</v>
      </c>
      <c r="AK79" s="14">
        <f t="shared" si="89"/>
        <v>34.67348355149219</v>
      </c>
      <c r="AL79" s="22">
        <f t="shared" si="58"/>
        <v>291.91671551884872</v>
      </c>
      <c r="AM79" s="62">
        <f t="shared" si="59"/>
        <v>585.25004885218209</v>
      </c>
      <c r="AN79" s="62">
        <f ca="1">AVERAGE(OFFSET($AM$3,0,0,'Données projet'!$E$10+1,1))-AVERAGE(OFFSET($H$3,0,0,'Données projet'!$E$10+1,1))</f>
        <v>245.47494516762282</v>
      </c>
      <c r="AO79" s="62">
        <f t="shared" si="90"/>
        <v>145.54897745089966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5.9</v>
      </c>
      <c r="BD79" s="13">
        <f>IF('Données projet'!$A$88&gt;35,BD78+BC79-BL78,IF(A79&lt;'Données projet'!$A$88,$BA$205^A79,IF(A79='Données projet'!$A$88,'Données projet'!$B$88,BD78+BC79-BL78)))</f>
        <v>236.89999999999986</v>
      </c>
      <c r="BE79" s="14">
        <f>BD79*VLOOKUP('Données projet'!$B$11,Paramètres!$A$1:$I$89,3,0)*VLOOKUP('Données projet'!$B$11,Paramètres!$A$1:$I$89,5,0)</f>
        <v>214.34711999999985</v>
      </c>
      <c r="BF79" s="14">
        <f t="shared" si="91"/>
        <v>52.884405030781778</v>
      </c>
      <c r="BG79" s="22">
        <f t="shared" si="61"/>
        <v>465.42823942861133</v>
      </c>
      <c r="BH79" s="62">
        <f t="shared" si="62"/>
        <v>758.76157276194465</v>
      </c>
      <c r="BI79" s="62">
        <f ca="1">AVERAGE(OFFSET($BH$3,0,0,'Données projet'!$E$11+1,1))-AVERAGE(OFFSET($H$3,0,0,'Données projet'!$E$11+1,1))</f>
        <v>430.21146937947236</v>
      </c>
      <c r="BJ79" s="62">
        <f t="shared" si="92"/>
        <v>231.36959598460686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projet'!$B$12,Paramètres!$A$1:$I$89,3,0)*VLOOKUP('Données projet'!$B$12,Paramètres!$A$1:$I$89,5,0)</f>
        <v>8.8675733422860506E-14</v>
      </c>
      <c r="CA79" s="14">
        <f t="shared" si="93"/>
        <v>1.3509285393066301E-12</v>
      </c>
      <c r="CB79" s="22">
        <f t="shared" si="64"/>
        <v>2.5073107750038623E-12</v>
      </c>
      <c r="CC79" s="62">
        <f t="shared" si="65"/>
        <v>293.33333333333582</v>
      </c>
      <c r="CD79" s="62">
        <f ca="1">AVERAGE(OFFSET($CC$3,0,0,'Données projet'!$E$12+1,1))-AVERAGE(OFFSET($H$3,0,0,'Données projet'!$E$12+1,1))</f>
        <v>299.07024205218266</v>
      </c>
      <c r="CE79" s="62">
        <f t="shared" si="94"/>
        <v>328.70296497136366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3.4615384615384643</v>
      </c>
      <c r="CT79" s="13">
        <f>IF('Données projet'!$A$140&gt;35,CT78+CS79-DB78,IF(A79&lt;'Données projet'!$A$140,$CQ$205^A79,IF(A79='Données projet'!$A$140,'Données projet'!$B$140,CT78+CS79-DB78)))</f>
        <v>173.33333333333346</v>
      </c>
      <c r="CU79" s="18">
        <f>CT79*VLOOKUP('Données projet'!$B$13,Paramètres!$A$1:$I$89,3,0)*VLOOKUP('Données projet'!$B$13,Paramètres!$A$1:$I$89,5,0)</f>
        <v>164.94400000000013</v>
      </c>
      <c r="CV79" s="14">
        <f t="shared" si="95"/>
        <v>41.955665664568855</v>
      </c>
      <c r="CW79" s="22">
        <f t="shared" si="67"/>
        <v>360.35025103245766</v>
      </c>
      <c r="CX79" s="62">
        <f t="shared" si="68"/>
        <v>653.68358436579092</v>
      </c>
      <c r="CY79" s="62">
        <f ca="1">AVERAGE(OFFSET($CX$3,0,0,'Données projet'!$E$13+1,1))-AVERAGE(OFFSET($H$3,0,0,'Données projet'!$E$13+1,1))</f>
        <v>300.36889324671682</v>
      </c>
      <c r="CZ79" s="62">
        <f t="shared" si="96"/>
        <v>214.36051699039683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projet'!$B$9,Paramètres!$A$1:$I$89,3,0)*VLOOKUP('Données projet'!$B$9,Paramètres!$A$1:$I$89,5,0)</f>
        <v>246.19919999999988</v>
      </c>
      <c r="P80" s="14">
        <f t="shared" si="87"/>
        <v>59.77133248344078</v>
      </c>
      <c r="Q80" s="22">
        <f t="shared" si="54"/>
        <v>532.89867740865918</v>
      </c>
      <c r="R80" s="62">
        <f t="shared" si="55"/>
        <v>826.23201074199255</v>
      </c>
      <c r="S80" s="62">
        <f ca="1">AVERAGE(OFFSET($R$3,0,0,'Données projet'!$E$9+1,1))-AVERAGE(OFFSET($H$3,0,0,'Données projet'!$E$9+1,1))</f>
        <v>477.00263959594946</v>
      </c>
      <c r="T80" s="62">
        <f t="shared" si="88"/>
        <v>254.25036207346591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8.9320512820512761</v>
      </c>
      <c r="AI80" s="14">
        <f>IF('Données projet'!$A$62&gt;35,AI79+AH80-AQ79,IF(A80&lt;'Données projet'!$A$62,$AF$205^A80,IF(A80='Données projet'!$A$62,'Données projet'!$B$62,AI79+AH80-AQ79)))</f>
        <v>292.97948717948691</v>
      </c>
      <c r="AJ80" s="14">
        <f>AI80*VLOOKUP('Données projet'!$B$10,Paramètres!$A$1:$I$89,3,0)*VLOOKUP('Données projet'!$B$10,Paramètres!$A$1:$I$89,5,0)</f>
        <v>137.11439999999988</v>
      </c>
      <c r="AK80" s="14">
        <f t="shared" si="89"/>
        <v>35.635155920090774</v>
      </c>
      <c r="AL80" s="22">
        <f t="shared" si="58"/>
        <v>300.87214322749122</v>
      </c>
      <c r="AM80" s="62">
        <f t="shared" si="59"/>
        <v>594.20547656082454</v>
      </c>
      <c r="AN80" s="62">
        <f ca="1">AVERAGE(OFFSET($AM$3,0,0,'Données projet'!$E$10+1,1))-AVERAGE(OFFSET($H$3,0,0,'Données projet'!$E$10+1,1))</f>
        <v>245.47494516762282</v>
      </c>
      <c r="AO80" s="62">
        <f t="shared" si="90"/>
        <v>145.54897745089966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5.9</v>
      </c>
      <c r="BD80" s="13">
        <f>IF('Données projet'!$A$88&gt;35,BD79+BC80-BL79,IF(A80&lt;'Données projet'!$A$88,$BA$205^A80,IF(A80='Données projet'!$A$88,'Données projet'!$B$88,BD79+BC80-BL79)))</f>
        <v>242.79999999999987</v>
      </c>
      <c r="BE80" s="14">
        <f>BD80*VLOOKUP('Données projet'!$B$11,Paramètres!$A$1:$I$89,3,0)*VLOOKUP('Données projet'!$B$11,Paramètres!$A$1:$I$89,5,0)</f>
        <v>219.68543999999989</v>
      </c>
      <c r="BF80" s="14">
        <f t="shared" si="91"/>
        <v>54.046511966469559</v>
      </c>
      <c r="BG80" s="22">
        <f t="shared" si="61"/>
        <v>476.74981634160099</v>
      </c>
      <c r="BH80" s="62">
        <f t="shared" si="62"/>
        <v>770.08314967493425</v>
      </c>
      <c r="BI80" s="62">
        <f ca="1">AVERAGE(OFFSET($BH$3,0,0,'Données projet'!$E$11+1,1))-AVERAGE(OFFSET($H$3,0,0,'Données projet'!$E$11+1,1))</f>
        <v>430.21146937947236</v>
      </c>
      <c r="BJ80" s="62">
        <f t="shared" si="92"/>
        <v>231.36959598460686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projet'!$B$12,Paramètres!$A$1:$I$89,3,0)*VLOOKUP('Données projet'!$B$12,Paramètres!$A$1:$I$89,5,0)</f>
        <v>8.8675733422860506E-14</v>
      </c>
      <c r="CA80" s="14">
        <f t="shared" si="93"/>
        <v>1.3509285393066301E-12</v>
      </c>
      <c r="CB80" s="22">
        <f t="shared" si="64"/>
        <v>2.5073107750038623E-12</v>
      </c>
      <c r="CC80" s="62">
        <f t="shared" si="65"/>
        <v>293.33333333333582</v>
      </c>
      <c r="CD80" s="62">
        <f ca="1">AVERAGE(OFFSET($CC$3,0,0,'Données projet'!$E$12+1,1))-AVERAGE(OFFSET($H$3,0,0,'Données projet'!$E$12+1,1))</f>
        <v>299.07024205218266</v>
      </c>
      <c r="CE80" s="62">
        <f t="shared" si="94"/>
        <v>328.70296497136366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3.4615384615384643</v>
      </c>
      <c r="CT80" s="13">
        <f>IF('Données projet'!$A$140&gt;35,CT79+CS80-DB79,IF(A80&lt;'Données projet'!$A$140,$CQ$205^A80,IF(A80='Données projet'!$A$140,'Données projet'!$B$140,CT79+CS80-DB79)))</f>
        <v>176.79487179487191</v>
      </c>
      <c r="CU80" s="18">
        <f>CT80*VLOOKUP('Données projet'!$B$13,Paramètres!$A$1:$I$89,3,0)*VLOOKUP('Données projet'!$B$13,Paramètres!$A$1:$I$89,5,0)</f>
        <v>168.23800000000011</v>
      </c>
      <c r="CV80" s="14">
        <f t="shared" si="95"/>
        <v>42.695155225481031</v>
      </c>
      <c r="CW80" s="22">
        <f t="shared" si="67"/>
        <v>367.37524535104626</v>
      </c>
      <c r="CX80" s="62">
        <f t="shared" si="68"/>
        <v>660.70857868437952</v>
      </c>
      <c r="CY80" s="62">
        <f ca="1">AVERAGE(OFFSET($CX$3,0,0,'Données projet'!$E$13+1,1))-AVERAGE(OFFSET($H$3,0,0,'Données projet'!$E$13+1,1))</f>
        <v>300.36889324671682</v>
      </c>
      <c r="CZ80" s="62">
        <f t="shared" si="96"/>
        <v>214.36051699039683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projet'!$B$9,Paramètres!$A$1:$I$89,3,0)*VLOOKUP('Données projet'!$B$9,Paramètres!$A$1:$I$89,5,0)</f>
        <v>252.18179999999987</v>
      </c>
      <c r="P81" s="14">
        <f t="shared" si="87"/>
        <v>61.052903950515969</v>
      </c>
      <c r="Q81" s="22">
        <f t="shared" si="54"/>
        <v>545.55044271381507</v>
      </c>
      <c r="R81" s="62">
        <f t="shared" si="55"/>
        <v>838.88377604714833</v>
      </c>
      <c r="S81" s="62">
        <f ca="1">AVERAGE(OFFSET($R$3,0,0,'Données projet'!$E$9+1,1))-AVERAGE(OFFSET($H$3,0,0,'Données projet'!$E$9+1,1))</f>
        <v>477.00263959594946</v>
      </c>
      <c r="T81" s="62">
        <f t="shared" si="88"/>
        <v>254.25036207346591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8.9320512820512761</v>
      </c>
      <c r="AI81" s="14">
        <f>IF('Données projet'!$A$62&gt;35,AI80+AH81-AQ80,IF(A81&lt;'Données projet'!$A$62,$AF$205^A81,IF(A81='Données projet'!$A$62,'Données projet'!$B$62,AI80+AH81-AQ80)))</f>
        <v>301.91153846153816</v>
      </c>
      <c r="AJ81" s="14">
        <f>AI81*VLOOKUP('Données projet'!$B$10,Paramètres!$A$1:$I$89,3,0)*VLOOKUP('Données projet'!$B$10,Paramètres!$A$1:$I$89,5,0)</f>
        <v>141.29459999999986</v>
      </c>
      <c r="AK81" s="14">
        <f t="shared" si="89"/>
        <v>36.593421110553088</v>
      </c>
      <c r="AL81" s="22">
        <f t="shared" si="58"/>
        <v>309.82163676754641</v>
      </c>
      <c r="AM81" s="62">
        <f t="shared" si="59"/>
        <v>603.15497010087972</v>
      </c>
      <c r="AN81" s="62">
        <f ca="1">AVERAGE(OFFSET($AM$3,0,0,'Données projet'!$E$10+1,1))-AVERAGE(OFFSET($H$3,0,0,'Données projet'!$E$10+1,1))</f>
        <v>245.47494516762282</v>
      </c>
      <c r="AO81" s="62">
        <f t="shared" si="90"/>
        <v>145.54897745089966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5.9</v>
      </c>
      <c r="BD81" s="13">
        <f>IF('Données projet'!$A$88&gt;35,BD80+BC81-BL80,IF(A81&lt;'Données projet'!$A$88,$BA$205^A81,IF(A81='Données projet'!$A$88,'Données projet'!$B$88,BD80+BC81-BL80)))</f>
        <v>248.69999999999987</v>
      </c>
      <c r="BE81" s="14">
        <f>BD81*VLOOKUP('Données projet'!$B$11,Paramètres!$A$1:$I$89,3,0)*VLOOKUP('Données projet'!$B$11,Paramètres!$A$1:$I$89,5,0)</f>
        <v>225.0237599999999</v>
      </c>
      <c r="BF81" s="14">
        <f t="shared" si="91"/>
        <v>55.205336184590408</v>
      </c>
      <c r="BG81" s="22">
        <f t="shared" si="61"/>
        <v>488.06567585482804</v>
      </c>
      <c r="BH81" s="62">
        <f t="shared" si="62"/>
        <v>781.39900918816136</v>
      </c>
      <c r="BI81" s="62">
        <f ca="1">AVERAGE(OFFSET($BH$3,0,0,'Données projet'!$E$11+1,1))-AVERAGE(OFFSET($H$3,0,0,'Données projet'!$E$11+1,1))</f>
        <v>430.21146937947236</v>
      </c>
      <c r="BJ81" s="62">
        <f t="shared" si="92"/>
        <v>231.36959598460686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projet'!$B$12,Paramètres!$A$1:$I$89,3,0)*VLOOKUP('Données projet'!$B$12,Paramètres!$A$1:$I$89,5,0)</f>
        <v>8.8675733422860506E-14</v>
      </c>
      <c r="CA81" s="14">
        <f t="shared" si="93"/>
        <v>1.3509285393066301E-12</v>
      </c>
      <c r="CB81" s="22">
        <f t="shared" si="64"/>
        <v>2.5073107750038623E-12</v>
      </c>
      <c r="CC81" s="62">
        <f t="shared" si="65"/>
        <v>293.33333333333582</v>
      </c>
      <c r="CD81" s="62">
        <f ca="1">AVERAGE(OFFSET($CC$3,0,0,'Données projet'!$E$12+1,1))-AVERAGE(OFFSET($H$3,0,0,'Données projet'!$E$12+1,1))</f>
        <v>299.07024205218266</v>
      </c>
      <c r="CE81" s="62">
        <f t="shared" si="94"/>
        <v>328.70296497136366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3.4615384615384643</v>
      </c>
      <c r="CT81" s="13">
        <f>IF('Données projet'!$A$140&gt;35,CT80+CS81-DB80,IF(A81&lt;'Données projet'!$A$140,$CQ$205^A81,IF(A81='Données projet'!$A$140,'Données projet'!$B$140,CT80+CS81-DB80)))</f>
        <v>180.25641025641036</v>
      </c>
      <c r="CU81" s="18">
        <f>CT81*VLOOKUP('Données projet'!$B$13,Paramètres!$A$1:$I$89,3,0)*VLOOKUP('Données projet'!$B$13,Paramètres!$A$1:$I$89,5,0)</f>
        <v>171.5320000000001</v>
      </c>
      <c r="CV81" s="14">
        <f t="shared" si="95"/>
        <v>43.432961263349583</v>
      </c>
      <c r="CW81" s="22">
        <f t="shared" si="67"/>
        <v>374.39730753366734</v>
      </c>
      <c r="CX81" s="62">
        <f t="shared" si="68"/>
        <v>667.7306408670006</v>
      </c>
      <c r="CY81" s="62">
        <f ca="1">AVERAGE(OFFSET($CX$3,0,0,'Données projet'!$E$13+1,1))-AVERAGE(OFFSET($H$3,0,0,'Données projet'!$E$13+1,1))</f>
        <v>300.36889324671682</v>
      </c>
      <c r="CZ81" s="62">
        <f t="shared" si="96"/>
        <v>214.36051699039683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projet'!$B$9,Paramètres!$A$1:$I$89,3,0)*VLOOKUP('Données projet'!$B$9,Paramètres!$A$1:$I$89,5,0)</f>
        <v>258.16439999999989</v>
      </c>
      <c r="P82" s="14">
        <f t="shared" si="87"/>
        <v>62.3309410183914</v>
      </c>
      <c r="Q82" s="22">
        <f t="shared" si="54"/>
        <v>558.19605227369811</v>
      </c>
      <c r="R82" s="62">
        <f t="shared" si="55"/>
        <v>851.52938560703137</v>
      </c>
      <c r="S82" s="62">
        <f ca="1">AVERAGE(OFFSET($R$3,0,0,'Données projet'!$E$9+1,1))-AVERAGE(OFFSET($H$3,0,0,'Données projet'!$E$9+1,1))</f>
        <v>477.00263959594946</v>
      </c>
      <c r="T82" s="62">
        <f t="shared" si="88"/>
        <v>254.25036207346591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8.9320512820512761</v>
      </c>
      <c r="AI82" s="14">
        <f>IF('Données projet'!$A$62&gt;35,AI81+AH82-AQ81,IF(A82&lt;'Données projet'!$A$62,$AF$205^A82,IF(A82='Données projet'!$A$62,'Données projet'!$B$62,AI81+AH82-AQ81)))</f>
        <v>310.8435897435894</v>
      </c>
      <c r="AJ82" s="14">
        <f>AI82*VLOOKUP('Données projet'!$B$10,Paramètres!$A$1:$I$89,3,0)*VLOOKUP('Données projet'!$B$10,Paramètres!$A$1:$I$89,5,0)</f>
        <v>145.47479999999985</v>
      </c>
      <c r="AK82" s="14">
        <f t="shared" si="89"/>
        <v>37.548391497194409</v>
      </c>
      <c r="AL82" s="22">
        <f t="shared" si="58"/>
        <v>318.76539185761334</v>
      </c>
      <c r="AM82" s="62">
        <f t="shared" si="59"/>
        <v>612.09872519094665</v>
      </c>
      <c r="AN82" s="62">
        <f ca="1">AVERAGE(OFFSET($AM$3,0,0,'Données projet'!$E$10+1,1))-AVERAGE(OFFSET($H$3,0,0,'Données projet'!$E$10+1,1))</f>
        <v>245.47494516762282</v>
      </c>
      <c r="AO82" s="62">
        <f t="shared" si="90"/>
        <v>145.54897745089966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5.9</v>
      </c>
      <c r="BD82" s="13">
        <f>IF('Données projet'!$A$88&gt;35,BD81+BC82-BL81,IF(A82&lt;'Données projet'!$A$88,$BA$205^A82,IF(A82='Données projet'!$A$88,'Données projet'!$B$88,BD81+BC82-BL81)))</f>
        <v>254.59999999999988</v>
      </c>
      <c r="BE82" s="14">
        <f>BD82*VLOOKUP('Données projet'!$B$11,Paramètres!$A$1:$I$89,3,0)*VLOOKUP('Données projet'!$B$11,Paramètres!$A$1:$I$89,5,0)</f>
        <v>230.36207999999988</v>
      </c>
      <c r="BF82" s="14">
        <f t="shared" si="91"/>
        <v>56.360964523671768</v>
      </c>
      <c r="BG82" s="22">
        <f t="shared" si="61"/>
        <v>499.37596921206153</v>
      </c>
      <c r="BH82" s="62">
        <f t="shared" si="62"/>
        <v>792.70930254539485</v>
      </c>
      <c r="BI82" s="62">
        <f ca="1">AVERAGE(OFFSET($BH$3,0,0,'Données projet'!$E$11+1,1))-AVERAGE(OFFSET($H$3,0,0,'Données projet'!$E$11+1,1))</f>
        <v>430.21146937947236</v>
      </c>
      <c r="BJ82" s="62">
        <f t="shared" si="92"/>
        <v>231.36959598460686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projet'!$B$12,Paramètres!$A$1:$I$89,3,0)*VLOOKUP('Données projet'!$B$12,Paramètres!$A$1:$I$89,5,0)</f>
        <v>8.8675733422860506E-14</v>
      </c>
      <c r="CA82" s="14">
        <f t="shared" si="93"/>
        <v>1.3509285393066301E-12</v>
      </c>
      <c r="CB82" s="22">
        <f t="shared" si="64"/>
        <v>2.5073107750038623E-12</v>
      </c>
      <c r="CC82" s="62">
        <f t="shared" si="65"/>
        <v>293.33333333333582</v>
      </c>
      <c r="CD82" s="62">
        <f ca="1">AVERAGE(OFFSET($CC$3,0,0,'Données projet'!$E$12+1,1))-AVERAGE(OFFSET($H$3,0,0,'Données projet'!$E$12+1,1))</f>
        <v>299.07024205218266</v>
      </c>
      <c r="CE82" s="62">
        <f t="shared" si="94"/>
        <v>328.70296497136366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3.4615384615384643</v>
      </c>
      <c r="CT82" s="13">
        <f>IF('Données projet'!$A$140&gt;35,CT81+CS82-DB81,IF(A82&lt;'Données projet'!$A$140,$CQ$205^A82,IF(A82='Données projet'!$A$140,'Données projet'!$B$140,CT81+CS82-DB81)))</f>
        <v>183.71794871794881</v>
      </c>
      <c r="CU82" s="18">
        <f>CT82*VLOOKUP('Données projet'!$B$13,Paramètres!$A$1:$I$89,3,0)*VLOOKUP('Données projet'!$B$13,Paramètres!$A$1:$I$89,5,0)</f>
        <v>174.82600000000011</v>
      </c>
      <c r="CV82" s="14">
        <f t="shared" si="95"/>
        <v>44.169119834868027</v>
      </c>
      <c r="CW82" s="22">
        <f t="shared" si="67"/>
        <v>381.41650037906203</v>
      </c>
      <c r="CX82" s="62">
        <f t="shared" si="68"/>
        <v>674.74983371239534</v>
      </c>
      <c r="CY82" s="62">
        <f ca="1">AVERAGE(OFFSET($CX$3,0,0,'Données projet'!$E$13+1,1))-AVERAGE(OFFSET($H$3,0,0,'Données projet'!$E$13+1,1))</f>
        <v>300.36889324671682</v>
      </c>
      <c r="CZ82" s="62">
        <f t="shared" si="96"/>
        <v>214.36051699039683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projet'!$B$9,Paramètres!$A$1:$I$89,3,0)*VLOOKUP('Données projet'!$B$9,Paramètres!$A$1:$I$89,5,0)</f>
        <v>264.14699999999988</v>
      </c>
      <c r="P83" s="14">
        <f t="shared" si="87"/>
        <v>63.605535018865886</v>
      </c>
      <c r="Q83" s="22">
        <f t="shared" si="54"/>
        <v>570.83566515785787</v>
      </c>
      <c r="R83" s="62">
        <f t="shared" si="55"/>
        <v>864.16899849119113</v>
      </c>
      <c r="S83" s="62">
        <f ca="1">AVERAGE(OFFSET($R$3,0,0,'Données projet'!$E$9+1,1))-AVERAGE(OFFSET($H$3,0,0,'Données projet'!$E$9+1,1))</f>
        <v>477.00263959594946</v>
      </c>
      <c r="T83" s="62">
        <f t="shared" si="88"/>
        <v>254.25036207346591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8.9320512820512761</v>
      </c>
      <c r="AI83" s="14">
        <f>IF('Données projet'!$A$62&gt;35,AI82+AH83-AQ82,IF(A83&lt;'Données projet'!$A$62,$AF$205^A83,IF(A83='Données projet'!$A$62,'Données projet'!$B$62,AI82+AH83-AQ82)))</f>
        <v>319.77564102564065</v>
      </c>
      <c r="AJ83" s="14">
        <f>AI83*VLOOKUP('Données projet'!$B$10,Paramètres!$A$1:$I$89,3,0)*VLOOKUP('Données projet'!$B$10,Paramètres!$A$1:$I$89,5,0)</f>
        <v>149.65499999999983</v>
      </c>
      <c r="AK83" s="14">
        <f t="shared" si="89"/>
        <v>38.500172628917376</v>
      </c>
      <c r="AL83" s="22">
        <f t="shared" si="58"/>
        <v>327.70359232869743</v>
      </c>
      <c r="AM83" s="62">
        <f t="shared" si="59"/>
        <v>621.03692566203074</v>
      </c>
      <c r="AN83" s="62">
        <f ca="1">AVERAGE(OFFSET($AM$3,0,0,'Données projet'!$E$10+1,1))-AVERAGE(OFFSET($H$3,0,0,'Données projet'!$E$10+1,1))</f>
        <v>245.47494516762282</v>
      </c>
      <c r="AO83" s="62">
        <f t="shared" si="90"/>
        <v>145.54897745089966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5.9</v>
      </c>
      <c r="BD83" s="13">
        <f>IF('Données projet'!$A$88&gt;35,BD82+BC83-BL82,IF(A83&lt;'Données projet'!$A$88,$BA$205^A83,IF(A83='Données projet'!$A$88,'Données projet'!$B$88,BD82+BC83-BL82)))</f>
        <v>260.49999999999989</v>
      </c>
      <c r="BE83" s="14">
        <f>BD83*VLOOKUP('Données projet'!$B$11,Paramètres!$A$1:$I$89,3,0)*VLOOKUP('Données projet'!$B$11,Paramètres!$A$1:$I$89,5,0)</f>
        <v>235.70039999999989</v>
      </c>
      <c r="BF83" s="14">
        <f t="shared" si="91"/>
        <v>57.513479567871634</v>
      </c>
      <c r="BG83" s="22">
        <f t="shared" si="61"/>
        <v>510.68084024737624</v>
      </c>
      <c r="BH83" s="62">
        <f t="shared" si="62"/>
        <v>804.01417358070955</v>
      </c>
      <c r="BI83" s="62">
        <f ca="1">AVERAGE(OFFSET($BH$3,0,0,'Données projet'!$E$11+1,1))-AVERAGE(OFFSET($H$3,0,0,'Données projet'!$E$11+1,1))</f>
        <v>430.21146937947236</v>
      </c>
      <c r="BJ83" s="62">
        <f t="shared" si="92"/>
        <v>231.36959598460686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projet'!$B$12,Paramètres!$A$1:$I$89,3,0)*VLOOKUP('Données projet'!$B$12,Paramètres!$A$1:$I$89,5,0)</f>
        <v>8.8675733422860506E-14</v>
      </c>
      <c r="CA83" s="14">
        <f t="shared" si="93"/>
        <v>1.3509285393066301E-12</v>
      </c>
      <c r="CB83" s="22">
        <f t="shared" si="64"/>
        <v>2.5073107750038623E-12</v>
      </c>
      <c r="CC83" s="62">
        <f t="shared" si="65"/>
        <v>293.33333333333582</v>
      </c>
      <c r="CD83" s="62">
        <f ca="1">AVERAGE(OFFSET($CC$3,0,0,'Données projet'!$E$12+1,1))-AVERAGE(OFFSET($H$3,0,0,'Données projet'!$E$12+1,1))</f>
        <v>299.07024205218266</v>
      </c>
      <c r="CE83" s="62">
        <f t="shared" si="94"/>
        <v>328.70296497136366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187.17948717948718</v>
      </c>
      <c r="CR83" s="13">
        <f>VLOOKUP(A83,'Données projet'!$A$139:$I$159,9,0)</f>
        <v>3.4615384615384643</v>
      </c>
      <c r="CS83" s="13">
        <f t="array" ref="CS83">INDEX(CR:CR,MIN(IF(ISNUMBER(CR83:CR279),ROW(CR83:CR279),"")))</f>
        <v>3.4615384615384643</v>
      </c>
      <c r="CT83" s="13">
        <f>IF('Données projet'!$A$140&gt;35,CT82+CS83-DB82,IF(A83&lt;'Données projet'!$A$140,$CQ$205^A83,IF(A83='Données projet'!$A$140,'Données projet'!$B$140,CT82+CS83-DB82)))</f>
        <v>187.17948717948727</v>
      </c>
      <c r="CU83" s="18">
        <f>CT83*VLOOKUP('Données projet'!$B$13,Paramètres!$A$1:$I$89,3,0)*VLOOKUP('Données projet'!$B$13,Paramètres!$A$1:$I$89,5,0)</f>
        <v>178.12000000000009</v>
      </c>
      <c r="CV83" s="14">
        <f t="shared" si="95"/>
        <v>44.903665560241663</v>
      </c>
      <c r="CW83" s="22">
        <f t="shared" si="67"/>
        <v>388.4328841840877</v>
      </c>
      <c r="CX83" s="62">
        <f t="shared" si="68"/>
        <v>681.76621751742096</v>
      </c>
      <c r="CY83" s="62">
        <f ca="1">AVERAGE(OFFSET($CX$3,0,0,'Données projet'!$E$13+1,1))-AVERAGE(OFFSET($H$3,0,0,'Données projet'!$E$13+1,1))</f>
        <v>300.36889324671682</v>
      </c>
      <c r="CZ83" s="62">
        <f t="shared" si="96"/>
        <v>214.36051699039683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21.794871794871796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projet'!$B$9,Paramètres!$A$1:$I$89,3,0)*VLOOKUP('Données projet'!$B$9,Paramètres!$A$1:$I$89,5,0)</f>
        <v>270.12959999999987</v>
      </c>
      <c r="P84" s="14">
        <f t="shared" si="87"/>
        <v>64.876772910497735</v>
      </c>
      <c r="Q84" s="22">
        <f t="shared" si="54"/>
        <v>583.46943281911661</v>
      </c>
      <c r="R84" s="62">
        <f t="shared" si="55"/>
        <v>876.80276615244998</v>
      </c>
      <c r="S84" s="62">
        <f ca="1">AVERAGE(OFFSET($R$3,0,0,'Données projet'!$E$9+1,1))-AVERAGE(OFFSET($H$3,0,0,'Données projet'!$E$9+1,1))</f>
        <v>477.00263959594946</v>
      </c>
      <c r="T84" s="62">
        <f t="shared" si="88"/>
        <v>254.25036207346591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>
        <f>VLOOKUP(A84,'Données projet'!$A$61:$I$81,2,0)</f>
        <v>328.7076923076923</v>
      </c>
      <c r="AG84" s="13">
        <f>VLOOKUP(A84,'Données projet'!$A$61:$I$81,9,0)</f>
        <v>8.9320512820512761</v>
      </c>
      <c r="AH84" s="13">
        <f t="array" ref="AH84">INDEX(AG:AG,MIN(IF(ISNUMBER(AG84:AG280),ROW(AG84:AG280),"")))</f>
        <v>8.9320512820512761</v>
      </c>
      <c r="AI84" s="14">
        <f>IF('Données projet'!$A$62&gt;35,AI83+AH84-AQ83,IF(A84&lt;'Données projet'!$A$62,$AF$205^A84,IF(A84='Données projet'!$A$62,'Données projet'!$B$62,AI83+AH84-AQ83)))</f>
        <v>328.7076923076919</v>
      </c>
      <c r="AJ84" s="14">
        <f>AI84*VLOOKUP('Données projet'!$B$10,Paramètres!$A$1:$I$89,3,0)*VLOOKUP('Données projet'!$B$10,Paramètres!$A$1:$I$89,5,0)</f>
        <v>153.83519999999982</v>
      </c>
      <c r="AK84" s="14">
        <f t="shared" si="89"/>
        <v>39.44886382269889</v>
      </c>
      <c r="AL84" s="22">
        <f t="shared" si="58"/>
        <v>336.63641115786692</v>
      </c>
      <c r="AM84" s="62">
        <f t="shared" si="59"/>
        <v>629.96974449120023</v>
      </c>
      <c r="AN84" s="62">
        <f ca="1">AVERAGE(OFFSET($AM$3,0,0,'Données projet'!$E$10+1,1))-AVERAGE(OFFSET($H$3,0,0,'Données projet'!$E$10+1,1))</f>
        <v>245.47494516762282</v>
      </c>
      <c r="AO84" s="62">
        <f t="shared" si="90"/>
        <v>145.54897745089966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5.9</v>
      </c>
      <c r="BD84" s="13">
        <f>IF('Données projet'!$A$88&gt;35,BD83+BC84-BL83,IF(A84&lt;'Données projet'!$A$88,$BA$205^A84,IF(A84='Données projet'!$A$88,'Données projet'!$B$88,BD83+BC84-BL83)))</f>
        <v>266.39999999999986</v>
      </c>
      <c r="BE84" s="14">
        <f>BD84*VLOOKUP('Données projet'!$B$11,Paramètres!$A$1:$I$89,3,0)*VLOOKUP('Données projet'!$B$11,Paramètres!$A$1:$I$89,5,0)</f>
        <v>241.03871999999987</v>
      </c>
      <c r="BF84" s="14">
        <f t="shared" si="91"/>
        <v>58.66295994697046</v>
      </c>
      <c r="BG84" s="22">
        <f t="shared" si="61"/>
        <v>521.98042590763998</v>
      </c>
      <c r="BH84" s="62">
        <f t="shared" si="62"/>
        <v>815.31375924097324</v>
      </c>
      <c r="BI84" s="62">
        <f ca="1">AVERAGE(OFFSET($BH$3,0,0,'Données projet'!$E$11+1,1))-AVERAGE(OFFSET($H$3,0,0,'Données projet'!$E$11+1,1))</f>
        <v>430.21146937947236</v>
      </c>
      <c r="BJ84" s="62">
        <f t="shared" si="92"/>
        <v>231.36959598460686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8.8675733422860506E-14</v>
      </c>
      <c r="CA84" s="14">
        <f t="shared" si="93"/>
        <v>1.3509285393066301E-12</v>
      </c>
      <c r="CB84" s="22">
        <f t="shared" si="64"/>
        <v>2.5073107750038623E-12</v>
      </c>
      <c r="CC84" s="62">
        <f t="shared" si="65"/>
        <v>293.33333333333582</v>
      </c>
      <c r="CD84" s="62">
        <f ca="1">AVERAGE(OFFSET($CC$3,0,0,'Données projet'!$E$12+1,1))-AVERAGE(OFFSET($H$3,0,0,'Données projet'!$E$12+1,1))</f>
        <v>299.07024205218266</v>
      </c>
      <c r="CE84" s="62">
        <f t="shared" si="94"/>
        <v>328.70296497136366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3.2051282051282044</v>
      </c>
      <c r="CT84" s="13">
        <f>IF('Données projet'!$A$140&gt;35,CT83+CS84-DB83,IF(A84&lt;'Données projet'!$A$140,$CQ$205^A84,IF(A84='Données projet'!$A$140,'Données projet'!$B$140,CT83+CS84-DB83)))</f>
        <v>168.58974358974368</v>
      </c>
      <c r="CU84" s="18">
        <f>CT84*VLOOKUP('Données projet'!$B$13,Paramètres!$A$1:$I$89,3,0)*VLOOKUP('Données projet'!$B$13,Paramètres!$A$1:$I$89,5,0)</f>
        <v>160.43000000000006</v>
      </c>
      <c r="CV84" s="14">
        <f t="shared" si="95"/>
        <v>40.939487952030774</v>
      </c>
      <c r="CW84" s="22">
        <f t="shared" si="67"/>
        <v>350.718524849787</v>
      </c>
      <c r="CX84" s="62">
        <f t="shared" si="68"/>
        <v>644.05185818312032</v>
      </c>
      <c r="CY84" s="62">
        <f ca="1">AVERAGE(OFFSET($CX$3,0,0,'Données projet'!$E$13+1,1))-AVERAGE(OFFSET($H$3,0,0,'Données projet'!$E$13+1,1))</f>
        <v>300.36889324671682</v>
      </c>
      <c r="CZ84" s="62">
        <f t="shared" si="96"/>
        <v>214.36051699039683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projet'!$B$9,Paramètres!$A$1:$I$89,3,0)*VLOOKUP('Données projet'!$B$9,Paramètres!$A$1:$I$89,5,0)</f>
        <v>276.11219999999986</v>
      </c>
      <c r="P85" s="14">
        <f t="shared" si="87"/>
        <v>66.144737580152963</v>
      </c>
      <c r="Q85" s="22">
        <f t="shared" si="54"/>
        <v>596.09749961876616</v>
      </c>
      <c r="R85" s="62">
        <f t="shared" si="55"/>
        <v>889.43083295209954</v>
      </c>
      <c r="S85" s="62">
        <f ca="1">AVERAGE(OFFSET($R$3,0,0,'Données projet'!$E$9+1,1))-AVERAGE(OFFSET($H$3,0,0,'Données projet'!$E$9+1,1))</f>
        <v>477.00263959594946</v>
      </c>
      <c r="T85" s="62">
        <f t="shared" si="88"/>
        <v>254.25036207346591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9.0717948717948698</v>
      </c>
      <c r="AI85" s="14">
        <f>IF('Données projet'!$A$62&gt;35,AI84+AH85-AQ84,IF(A85&lt;'Données projet'!$A$62,$AF$205^A85,IF(A85='Données projet'!$A$62,'Données projet'!$B$62,AI84+AH85-AQ84)))</f>
        <v>337.77948717948675</v>
      </c>
      <c r="AJ85" s="14">
        <f>AI85*VLOOKUP('Données projet'!$B$10,Paramètres!$A$1:$I$89,3,0)*VLOOKUP('Données projet'!$B$10,Paramètres!$A$1:$I$89,5,0)</f>
        <v>158.08079999999978</v>
      </c>
      <c r="AK85" s="14">
        <f t="shared" si="89"/>
        <v>40.409330933945405</v>
      </c>
      <c r="AL85" s="22">
        <f t="shared" si="58"/>
        <v>345.70364470995446</v>
      </c>
      <c r="AM85" s="62">
        <f t="shared" si="59"/>
        <v>639.03697804328772</v>
      </c>
      <c r="AN85" s="62">
        <f ca="1">AVERAGE(OFFSET($AM$3,0,0,'Données projet'!$E$10+1,1))-AVERAGE(OFFSET($H$3,0,0,'Données projet'!$E$10+1,1))</f>
        <v>245.47494516762282</v>
      </c>
      <c r="AO85" s="62">
        <f t="shared" si="90"/>
        <v>145.54897745089966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5.9</v>
      </c>
      <c r="BD85" s="13">
        <f>IF('Données projet'!$A$88&gt;35,BD84+BC85-BL84,IF(A85&lt;'Données projet'!$A$88,$BA$205^A85,IF(A85='Données projet'!$A$88,'Données projet'!$B$88,BD84+BC85-BL84)))</f>
        <v>272.29999999999984</v>
      </c>
      <c r="BE85" s="14">
        <f>BD85*VLOOKUP('Données projet'!$B$11,Paramètres!$A$1:$I$89,3,0)*VLOOKUP('Données projet'!$B$11,Paramètres!$A$1:$I$89,5,0)</f>
        <v>246.37703999999982</v>
      </c>
      <c r="BF85" s="14">
        <f t="shared" si="91"/>
        <v>59.809480609038189</v>
      </c>
      <c r="BG85" s="22">
        <f t="shared" si="61"/>
        <v>533.27485672740784</v>
      </c>
      <c r="BH85" s="62">
        <f t="shared" si="62"/>
        <v>826.60819006074121</v>
      </c>
      <c r="BI85" s="62">
        <f ca="1">AVERAGE(OFFSET($BH$3,0,0,'Données projet'!$E$11+1,1))-AVERAGE(OFFSET($H$3,0,0,'Données projet'!$E$11+1,1))</f>
        <v>430.21146937947236</v>
      </c>
      <c r="BJ85" s="62">
        <f t="shared" si="92"/>
        <v>231.36959598460686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8.8675733422860506E-14</v>
      </c>
      <c r="CA85" s="14">
        <f t="shared" si="93"/>
        <v>1.3509285393066301E-12</v>
      </c>
      <c r="CB85" s="22">
        <f t="shared" si="64"/>
        <v>2.5073107750038623E-12</v>
      </c>
      <c r="CC85" s="62">
        <f t="shared" si="65"/>
        <v>293.33333333333582</v>
      </c>
      <c r="CD85" s="62">
        <f ca="1">AVERAGE(OFFSET($CC$3,0,0,'Données projet'!$E$12+1,1))-AVERAGE(OFFSET($H$3,0,0,'Données projet'!$E$12+1,1))</f>
        <v>299.07024205218266</v>
      </c>
      <c r="CE85" s="62">
        <f t="shared" si="94"/>
        <v>328.70296497136366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3.2051282051282044</v>
      </c>
      <c r="CT85" s="13">
        <f>IF('Données projet'!$A$140&gt;35,CT84+CS85-DB84,IF(A85&lt;'Données projet'!$A$140,$CQ$205^A85,IF(A85='Données projet'!$A$140,'Données projet'!$B$140,CT84+CS85-DB84)))</f>
        <v>171.79487179487188</v>
      </c>
      <c r="CU85" s="18">
        <f>CT85*VLOOKUP('Données projet'!$B$13,Paramètres!$A$1:$I$89,3,0)*VLOOKUP('Données projet'!$B$13,Paramètres!$A$1:$I$89,5,0)</f>
        <v>163.48000000000008</v>
      </c>
      <c r="CV85" s="14">
        <f t="shared" si="95"/>
        <v>41.626453475605999</v>
      </c>
      <c r="CW85" s="22">
        <f t="shared" si="67"/>
        <v>357.22707313668053</v>
      </c>
      <c r="CX85" s="62">
        <f t="shared" si="68"/>
        <v>650.56040647001385</v>
      </c>
      <c r="CY85" s="62">
        <f ca="1">AVERAGE(OFFSET($CX$3,0,0,'Données projet'!$E$13+1,1))-AVERAGE(OFFSET($H$3,0,0,'Données projet'!$E$13+1,1))</f>
        <v>300.36889324671682</v>
      </c>
      <c r="CZ85" s="62">
        <f t="shared" si="96"/>
        <v>214.36051699039683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projet'!$B$9,Paramètres!$A$1:$I$89,3,0)*VLOOKUP('Données projet'!$B$9,Paramètres!$A$1:$I$89,5,0)</f>
        <v>282.09479999999985</v>
      </c>
      <c r="P86" s="14">
        <f t="shared" si="87"/>
        <v>67.409508117681739</v>
      </c>
      <c r="Q86" s="22">
        <f t="shared" si="54"/>
        <v>608.72000330496201</v>
      </c>
      <c r="R86" s="62">
        <f t="shared" si="55"/>
        <v>902.05333663829538</v>
      </c>
      <c r="S86" s="62">
        <f ca="1">AVERAGE(OFFSET($R$3,0,0,'Données projet'!$E$9+1,1))-AVERAGE(OFFSET($H$3,0,0,'Données projet'!$E$9+1,1))</f>
        <v>477.00263959594946</v>
      </c>
      <c r="T86" s="62">
        <f t="shared" si="88"/>
        <v>254.25036207346591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9.0717948717948698</v>
      </c>
      <c r="AI86" s="14">
        <f>IF('Données projet'!$A$62&gt;35,AI85+AH86-AQ85,IF(A86&lt;'Données projet'!$A$62,$AF$205^A86,IF(A86='Données projet'!$A$62,'Données projet'!$B$62,AI85+AH86-AQ85)))</f>
        <v>346.8512820512816</v>
      </c>
      <c r="AJ86" s="14">
        <f>AI86*VLOOKUP('Données projet'!$B$10,Paramètres!$A$1:$I$89,3,0)*VLOOKUP('Données projet'!$B$10,Paramètres!$A$1:$I$89,5,0)</f>
        <v>162.32639999999978</v>
      </c>
      <c r="AK86" s="14">
        <f t="shared" si="89"/>
        <v>41.366799766899412</v>
      </c>
      <c r="AL86" s="22">
        <f t="shared" si="58"/>
        <v>354.76565626068276</v>
      </c>
      <c r="AM86" s="62">
        <f t="shared" si="59"/>
        <v>648.09898959401607</v>
      </c>
      <c r="AN86" s="62">
        <f ca="1">AVERAGE(OFFSET($AM$3,0,0,'Données projet'!$E$10+1,1))-AVERAGE(OFFSET($H$3,0,0,'Données projet'!$E$10+1,1))</f>
        <v>245.47494516762282</v>
      </c>
      <c r="AO86" s="62">
        <f t="shared" si="90"/>
        <v>145.54897745089966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5.9</v>
      </c>
      <c r="BD86" s="13">
        <f>IF('Données projet'!$A$88&gt;35,BD85+BC86-BL85,IF(A86&lt;'Données projet'!$A$88,$BA$205^A86,IF(A86='Données projet'!$A$88,'Données projet'!$B$88,BD85+BC86-BL85)))</f>
        <v>278.19999999999982</v>
      </c>
      <c r="BE86" s="14">
        <f>BD86*VLOOKUP('Données projet'!$B$11,Paramètres!$A$1:$I$89,3,0)*VLOOKUP('Données projet'!$B$11,Paramètres!$A$1:$I$89,5,0)</f>
        <v>251.71535999999983</v>
      </c>
      <c r="BF86" s="14">
        <f t="shared" si="91"/>
        <v>60.953113068801812</v>
      </c>
      <c r="BG86" s="22">
        <f t="shared" si="61"/>
        <v>544.5642572614961</v>
      </c>
      <c r="BH86" s="62">
        <f t="shared" si="62"/>
        <v>837.89759059482935</v>
      </c>
      <c r="BI86" s="62">
        <f ca="1">AVERAGE(OFFSET($BH$3,0,0,'Données projet'!$E$11+1,1))-AVERAGE(OFFSET($H$3,0,0,'Données projet'!$E$11+1,1))</f>
        <v>430.21146937947236</v>
      </c>
      <c r="BJ86" s="62">
        <f t="shared" si="92"/>
        <v>231.36959598460686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8.8675733422860506E-14</v>
      </c>
      <c r="CA86" s="14">
        <f t="shared" si="93"/>
        <v>1.3509285393066301E-12</v>
      </c>
      <c r="CB86" s="22">
        <f t="shared" si="64"/>
        <v>2.5073107750038623E-12</v>
      </c>
      <c r="CC86" s="62">
        <f t="shared" si="65"/>
        <v>293.33333333333582</v>
      </c>
      <c r="CD86" s="62">
        <f ca="1">AVERAGE(OFFSET($CC$3,0,0,'Données projet'!$E$12+1,1))-AVERAGE(OFFSET($H$3,0,0,'Données projet'!$E$12+1,1))</f>
        <v>299.07024205218266</v>
      </c>
      <c r="CE86" s="62">
        <f t="shared" si="94"/>
        <v>328.70296497136366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3.2051282051282044</v>
      </c>
      <c r="CT86" s="13">
        <f>IF('Données projet'!$A$140&gt;35,CT85+CS86-DB85,IF(A86&lt;'Données projet'!$A$140,$CQ$205^A86,IF(A86='Données projet'!$A$140,'Données projet'!$B$140,CT85+CS86-DB85)))</f>
        <v>175.00000000000009</v>
      </c>
      <c r="CU86" s="18">
        <f>CT86*VLOOKUP('Données projet'!$B$13,Paramètres!$A$1:$I$89,3,0)*VLOOKUP('Données projet'!$B$13,Paramètres!$A$1:$I$89,5,0)</f>
        <v>166.53000000000009</v>
      </c>
      <c r="CV86" s="14">
        <f t="shared" si="95"/>
        <v>42.311928683446958</v>
      </c>
      <c r="CW86" s="22">
        <f t="shared" si="67"/>
        <v>363.73302579033697</v>
      </c>
      <c r="CX86" s="62">
        <f t="shared" si="68"/>
        <v>657.06635912367028</v>
      </c>
      <c r="CY86" s="62">
        <f ca="1">AVERAGE(OFFSET($CX$3,0,0,'Données projet'!$E$13+1,1))-AVERAGE(OFFSET($H$3,0,0,'Données projet'!$E$13+1,1))</f>
        <v>300.36889324671682</v>
      </c>
      <c r="CZ86" s="62">
        <f t="shared" si="96"/>
        <v>214.36051699039683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projet'!$B$9,Paramètres!$A$1:$I$89,3,0)*VLOOKUP('Données projet'!$B$9,Paramètres!$A$1:$I$89,5,0)</f>
        <v>288.07739999999984</v>
      </c>
      <c r="P87" s="14">
        <f t="shared" si="87"/>
        <v>68.671160066636261</v>
      </c>
      <c r="Q87" s="22">
        <f t="shared" si="54"/>
        <v>621.33707544939125</v>
      </c>
      <c r="R87" s="62">
        <f t="shared" si="55"/>
        <v>914.67040878272451</v>
      </c>
      <c r="S87" s="62">
        <f ca="1">AVERAGE(OFFSET($R$3,0,0,'Données projet'!$E$9+1,1))-AVERAGE(OFFSET($H$3,0,0,'Données projet'!$E$9+1,1))</f>
        <v>477.00263959594946</v>
      </c>
      <c r="T87" s="62">
        <f t="shared" si="88"/>
        <v>254.25036207346591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9.0717948717948698</v>
      </c>
      <c r="AI87" s="14">
        <f>IF('Données projet'!$A$62&gt;35,AI86+AH87-AQ86,IF(A87&lt;'Données projet'!$A$62,$AF$205^A87,IF(A87='Données projet'!$A$62,'Données projet'!$B$62,AI86+AH87-AQ86)))</f>
        <v>355.92307692307645</v>
      </c>
      <c r="AJ87" s="14">
        <f>AI87*VLOOKUP('Données projet'!$B$10,Paramètres!$A$1:$I$89,3,0)*VLOOKUP('Données projet'!$B$10,Paramètres!$A$1:$I$89,5,0)</f>
        <v>166.57199999999978</v>
      </c>
      <c r="AK87" s="14">
        <f t="shared" si="89"/>
        <v>42.321357755693079</v>
      </c>
      <c r="AL87" s="22">
        <f t="shared" si="58"/>
        <v>363.82259809116505</v>
      </c>
      <c r="AM87" s="62">
        <f t="shared" si="59"/>
        <v>657.15593142449836</v>
      </c>
      <c r="AN87" s="62">
        <f ca="1">AVERAGE(OFFSET($AM$3,0,0,'Données projet'!$E$10+1,1))-AVERAGE(OFFSET($H$3,0,0,'Données projet'!$E$10+1,1))</f>
        <v>245.47494516762282</v>
      </c>
      <c r="AO87" s="62">
        <f t="shared" si="90"/>
        <v>145.54897745089966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5.9</v>
      </c>
      <c r="BD87" s="13">
        <f>IF('Données projet'!$A$88&gt;35,BD86+BC87-BL86,IF(A87&lt;'Données projet'!$A$88,$BA$205^A87,IF(A87='Données projet'!$A$88,'Données projet'!$B$88,BD86+BC87-BL86)))</f>
        <v>284.0999999999998</v>
      </c>
      <c r="BE87" s="14">
        <f>BD87*VLOOKUP('Données projet'!$B$11,Paramètres!$A$1:$I$89,3,0)*VLOOKUP('Données projet'!$B$11,Paramètres!$A$1:$I$89,5,0)</f>
        <v>257.05367999999982</v>
      </c>
      <c r="BF87" s="14">
        <f t="shared" si="91"/>
        <v>62.093925634350327</v>
      </c>
      <c r="BG87" s="22">
        <f t="shared" si="61"/>
        <v>555.84874647982645</v>
      </c>
      <c r="BH87" s="62">
        <f t="shared" si="62"/>
        <v>849.18207981315982</v>
      </c>
      <c r="BI87" s="62">
        <f ca="1">AVERAGE(OFFSET($BH$3,0,0,'Données projet'!$E$11+1,1))-AVERAGE(OFFSET($H$3,0,0,'Données projet'!$E$11+1,1))</f>
        <v>430.21146937947236</v>
      </c>
      <c r="BJ87" s="62">
        <f t="shared" si="92"/>
        <v>231.36959598460686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8.8675733422860506E-14</v>
      </c>
      <c r="CA87" s="14">
        <f t="shared" si="93"/>
        <v>1.3509285393066301E-12</v>
      </c>
      <c r="CB87" s="22">
        <f t="shared" si="64"/>
        <v>2.5073107750038623E-12</v>
      </c>
      <c r="CC87" s="62">
        <f t="shared" si="65"/>
        <v>293.33333333333582</v>
      </c>
      <c r="CD87" s="62">
        <f ca="1">AVERAGE(OFFSET($CC$3,0,0,'Données projet'!$E$12+1,1))-AVERAGE(OFFSET($H$3,0,0,'Données projet'!$E$12+1,1))</f>
        <v>299.07024205218266</v>
      </c>
      <c r="CE87" s="62">
        <f t="shared" si="94"/>
        <v>328.70296497136366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3.2051282051282044</v>
      </c>
      <c r="CT87" s="13">
        <f>IF('Données projet'!$A$140&gt;35,CT86+CS87-DB86,IF(A87&lt;'Données projet'!$A$140,$CQ$205^A87,IF(A87='Données projet'!$A$140,'Données projet'!$B$140,CT86+CS87-DB86)))</f>
        <v>178.20512820512829</v>
      </c>
      <c r="CU87" s="18">
        <f>CT87*VLOOKUP('Données projet'!$B$13,Paramètres!$A$1:$I$89,3,0)*VLOOKUP('Données projet'!$B$13,Paramètres!$A$1:$I$89,5,0)</f>
        <v>169.5800000000001</v>
      </c>
      <c r="CV87" s="14">
        <f t="shared" si="95"/>
        <v>42.995944018844192</v>
      </c>
      <c r="CW87" s="22">
        <f t="shared" si="67"/>
        <v>370.23643583282046</v>
      </c>
      <c r="CX87" s="62">
        <f t="shared" si="68"/>
        <v>663.56976916615372</v>
      </c>
      <c r="CY87" s="62">
        <f ca="1">AVERAGE(OFFSET($CX$3,0,0,'Données projet'!$E$13+1,1))-AVERAGE(OFFSET($H$3,0,0,'Données projet'!$E$13+1,1))</f>
        <v>300.36889324671682</v>
      </c>
      <c r="CZ87" s="62">
        <f t="shared" si="96"/>
        <v>214.36051699039683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projet'!$B$9,Paramètres!$A$1:$I$89,3,0)*VLOOKUP('Données projet'!$B$9,Paramètres!$A$1:$I$89,5,0)</f>
        <v>294.05999999999977</v>
      </c>
      <c r="P88" s="14">
        <f t="shared" si="87"/>
        <v>69.929765653573313</v>
      </c>
      <c r="Q88" s="22">
        <f t="shared" si="54"/>
        <v>633.94884184663977</v>
      </c>
      <c r="R88" s="62">
        <f t="shared" si="55"/>
        <v>927.28217517997314</v>
      </c>
      <c r="S88" s="62">
        <f ca="1">AVERAGE(OFFSET($R$3,0,0,'Données projet'!$E$9+1,1))-AVERAGE(OFFSET($H$3,0,0,'Données projet'!$E$9+1,1))</f>
        <v>477.00263959594946</v>
      </c>
      <c r="T88" s="62">
        <f t="shared" si="88"/>
        <v>254.25036207346591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9.0717948717948698</v>
      </c>
      <c r="AI88" s="14">
        <f>IF('Données projet'!$A$62&gt;35,AI87+AH88-AQ87,IF(A88&lt;'Données projet'!$A$62,$AF$205^A88,IF(A88='Données projet'!$A$62,'Données projet'!$B$62,AI87+AH88-AQ87)))</f>
        <v>364.9948717948713</v>
      </c>
      <c r="AJ88" s="14">
        <f>AI88*VLOOKUP('Données projet'!$B$10,Paramètres!$A$1:$I$89,3,0)*VLOOKUP('Données projet'!$B$10,Paramètres!$A$1:$I$89,5,0)</f>
        <v>170.81759999999977</v>
      </c>
      <c r="AK88" s="14">
        <f t="shared" si="89"/>
        <v>43.273087623453243</v>
      </c>
      <c r="AL88" s="22">
        <f t="shared" si="58"/>
        <v>372.87461427751396</v>
      </c>
      <c r="AM88" s="62">
        <f t="shared" si="59"/>
        <v>666.20794761084721</v>
      </c>
      <c r="AN88" s="62">
        <f ca="1">AVERAGE(OFFSET($AM$3,0,0,'Données projet'!$E$10+1,1))-AVERAGE(OFFSET($H$3,0,0,'Données projet'!$E$10+1,1))</f>
        <v>245.47494516762282</v>
      </c>
      <c r="AO88" s="62">
        <f t="shared" si="90"/>
        <v>145.54897745089966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290</v>
      </c>
      <c r="BB88" s="13">
        <f>VLOOKUP(A88,'Données projet'!$A$87:$I$107,9,0)</f>
        <v>5.9</v>
      </c>
      <c r="BC88" s="13">
        <f t="array" ref="BC88">INDEX(BB:BB,MIN(IF(ISNUMBER(BB88:BB284),ROW(BB88:BB284),"")))</f>
        <v>5.9</v>
      </c>
      <c r="BD88" s="13">
        <f>IF('Données projet'!$A$88&gt;35,BD87+BC88-BL87,IF(A88&lt;'Données projet'!$A$88,$BA$205^A88,IF(A88='Données projet'!$A$88,'Données projet'!$B$88,BD87+BC88-BL87)))</f>
        <v>289.99999999999977</v>
      </c>
      <c r="BE88" s="14">
        <f>BD88*VLOOKUP('Données projet'!$B$11,Paramètres!$A$1:$I$89,3,0)*VLOOKUP('Données projet'!$B$11,Paramètres!$A$1:$I$89,5,0)</f>
        <v>262.39199999999977</v>
      </c>
      <c r="BF88" s="14">
        <f t="shared" si="91"/>
        <v>63.231983614474892</v>
      </c>
      <c r="BG88" s="22">
        <f t="shared" si="61"/>
        <v>567.12843812854328</v>
      </c>
      <c r="BH88" s="62">
        <f t="shared" si="62"/>
        <v>860.46177146187665</v>
      </c>
      <c r="BI88" s="62">
        <f ca="1">AVERAGE(OFFSET($BH$3,0,0,'Données projet'!$E$11+1,1))-AVERAGE(OFFSET($H$3,0,0,'Données projet'!$E$11+1,1))</f>
        <v>430.21146937947236</v>
      </c>
      <c r="BJ88" s="62">
        <f t="shared" si="92"/>
        <v>231.36959598460686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42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8.8675733422860506E-14</v>
      </c>
      <c r="CA88" s="14">
        <f t="shared" si="93"/>
        <v>1.3509285393066301E-12</v>
      </c>
      <c r="CB88" s="22">
        <f t="shared" si="64"/>
        <v>2.5073107750038623E-12</v>
      </c>
      <c r="CC88" s="62">
        <f t="shared" si="65"/>
        <v>293.33333333333582</v>
      </c>
      <c r="CD88" s="62">
        <f ca="1">AVERAGE(OFFSET($CC$3,0,0,'Données projet'!$E$12+1,1))-AVERAGE(OFFSET($H$3,0,0,'Données projet'!$E$12+1,1))</f>
        <v>299.07024205218266</v>
      </c>
      <c r="CE88" s="62">
        <f t="shared" si="94"/>
        <v>328.70296497136366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181.41025641025641</v>
      </c>
      <c r="CR88" s="13">
        <f>VLOOKUP(A88,'Données projet'!$A$139:$I$159,9,0)</f>
        <v>3.2051282051282044</v>
      </c>
      <c r="CS88" s="13">
        <f t="array" ref="CS88">INDEX(CR:CR,MIN(IF(ISNUMBER(CR88:CR284),ROW(CR88:CR284),"")))</f>
        <v>3.2051282051282044</v>
      </c>
      <c r="CT88" s="13">
        <f>IF('Données projet'!$A$140&gt;35,CT87+CS88-DB87,IF(A88&lt;'Données projet'!$A$140,$CQ$205^A88,IF(A88='Données projet'!$A$140,'Données projet'!$B$140,CT87+CS88-DB87)))</f>
        <v>181.41025641025649</v>
      </c>
      <c r="CU88" s="18">
        <f>CT88*VLOOKUP('Données projet'!$B$13,Paramètres!$A$1:$I$89,3,0)*VLOOKUP('Données projet'!$B$13,Paramètres!$A$1:$I$89,5,0)</f>
        <v>172.63000000000008</v>
      </c>
      <c r="CV88" s="14">
        <f t="shared" si="95"/>
        <v>43.678528767297273</v>
      </c>
      <c r="CW88" s="22">
        <f t="shared" si="67"/>
        <v>376.73735426970956</v>
      </c>
      <c r="CX88" s="62">
        <f t="shared" si="68"/>
        <v>670.07068760304287</v>
      </c>
      <c r="CY88" s="62">
        <f ca="1">AVERAGE(OFFSET($CX$3,0,0,'Données projet'!$E$13+1,1))-AVERAGE(OFFSET($H$3,0,0,'Données projet'!$E$13+1,1))</f>
        <v>300.36889324671682</v>
      </c>
      <c r="CZ88" s="62">
        <f t="shared" si="96"/>
        <v>214.36051699039683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projet'!$B$9,Paramètres!$A$1:$I$89,3,0)*VLOOKUP('Données projet'!$B$9,Paramètres!$A$1:$I$89,5,0)</f>
        <v>256.74479999999977</v>
      </c>
      <c r="P89" s="14">
        <f t="shared" si="87"/>
        <v>62.027992887126103</v>
      </c>
      <c r="Q89" s="22">
        <f t="shared" si="54"/>
        <v>555.19594761174415</v>
      </c>
      <c r="R89" s="62">
        <f t="shared" si="55"/>
        <v>848.52928094507752</v>
      </c>
      <c r="S89" s="62">
        <f ca="1">AVERAGE(OFFSET($R$3,0,0,'Données projet'!$E$9+1,1))-AVERAGE(OFFSET($H$3,0,0,'Données projet'!$E$9+1,1))</f>
        <v>477.00263959594946</v>
      </c>
      <c r="T89" s="62">
        <f t="shared" si="88"/>
        <v>254.25036207346591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9.0717948717948698</v>
      </c>
      <c r="AI89" s="14">
        <f>IF('Données projet'!$A$62&gt;35,AI88+AH89-AQ88,IF(A89&lt;'Données projet'!$A$62,$AF$205^A89,IF(A89='Données projet'!$A$62,'Données projet'!$B$62,AI88+AH89-AQ88)))</f>
        <v>374.06666666666615</v>
      </c>
      <c r="AJ89" s="14">
        <f>AI89*VLOOKUP('Données projet'!$B$10,Paramètres!$A$1:$I$89,3,0)*VLOOKUP('Données projet'!$B$10,Paramètres!$A$1:$I$89,5,0)</f>
        <v>175.06319999999977</v>
      </c>
      <c r="AK89" s="14">
        <f t="shared" si="89"/>
        <v>44.222067746824685</v>
      </c>
      <c r="AL89" s="22">
        <f t="shared" si="58"/>
        <v>381.92184132571924</v>
      </c>
      <c r="AM89" s="62">
        <f t="shared" si="59"/>
        <v>675.2551746590525</v>
      </c>
      <c r="AN89" s="62">
        <f ca="1">AVERAGE(OFFSET($AM$3,0,0,'Données projet'!$E$10+1,1))-AVERAGE(OFFSET($H$3,0,0,'Données projet'!$E$10+1,1))</f>
        <v>245.47494516762282</v>
      </c>
      <c r="AO89" s="62">
        <f t="shared" si="90"/>
        <v>145.54897745089966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5.2</v>
      </c>
      <c r="BD89" s="13">
        <f>IF('Données projet'!$A$88&gt;35,BD88+BC89-BL88,IF(A89&lt;'Données projet'!$A$88,$BA$205^A89,IF(A89='Données projet'!$A$88,'Données projet'!$B$88,BD88+BC89-BL88)))</f>
        <v>253.19999999999976</v>
      </c>
      <c r="BE89" s="14">
        <f>BD89*VLOOKUP('Données projet'!$B$11,Paramètres!$A$1:$I$89,3,0)*VLOOKUP('Données projet'!$B$11,Paramètres!$A$1:$I$89,5,0)</f>
        <v>229.09535999999977</v>
      </c>
      <c r="BF89" s="14">
        <f t="shared" si="91"/>
        <v>56.087032370558362</v>
      </c>
      <c r="BG89" s="22">
        <f t="shared" si="61"/>
        <v>496.69266671205543</v>
      </c>
      <c r="BH89" s="62">
        <f t="shared" si="62"/>
        <v>790.02600004538874</v>
      </c>
      <c r="BI89" s="62">
        <f ca="1">AVERAGE(OFFSET($BH$3,0,0,'Données projet'!$E$11+1,1))-AVERAGE(OFFSET($H$3,0,0,'Données projet'!$E$11+1,1))</f>
        <v>430.21146937947236</v>
      </c>
      <c r="BJ89" s="62">
        <f t="shared" si="92"/>
        <v>231.36959598460686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8.8675733422860506E-14</v>
      </c>
      <c r="CA89" s="14">
        <f t="shared" si="93"/>
        <v>1.3509285393066301E-12</v>
      </c>
      <c r="CB89" s="22">
        <f t="shared" si="64"/>
        <v>2.5073107750038623E-12</v>
      </c>
      <c r="CC89" s="62">
        <f t="shared" si="65"/>
        <v>293.33333333333582</v>
      </c>
      <c r="CD89" s="62">
        <f ca="1">AVERAGE(OFFSET($CC$3,0,0,'Données projet'!$E$12+1,1))-AVERAGE(OFFSET($H$3,0,0,'Données projet'!$E$12+1,1))</f>
        <v>299.07024205218266</v>
      </c>
      <c r="CE89" s="62">
        <f t="shared" si="94"/>
        <v>328.70296497136366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3.2051282051282044</v>
      </c>
      <c r="CT89" s="13">
        <f>IF('Données projet'!$A$140&gt;35,CT88+CS89-DB88,IF(A89&lt;'Données projet'!$A$140,$CQ$205^A89,IF(A89='Données projet'!$A$140,'Données projet'!$B$140,CT88+CS89-DB88)))</f>
        <v>184.6153846153847</v>
      </c>
      <c r="CU89" s="18">
        <f>CT89*VLOOKUP('Données projet'!$B$13,Paramètres!$A$1:$I$89,3,0)*VLOOKUP('Données projet'!$B$13,Paramètres!$A$1:$I$89,5,0)</f>
        <v>175.68000000000009</v>
      </c>
      <c r="CV89" s="14">
        <f t="shared" si="95"/>
        <v>44.359711120210719</v>
      </c>
      <c r="CW89" s="22">
        <f t="shared" si="67"/>
        <v>383.23583020103388</v>
      </c>
      <c r="CX89" s="62">
        <f t="shared" si="68"/>
        <v>676.56916353436714</v>
      </c>
      <c r="CY89" s="62">
        <f ca="1">AVERAGE(OFFSET($CX$3,0,0,'Données projet'!$E$13+1,1))-AVERAGE(OFFSET($H$3,0,0,'Données projet'!$E$13+1,1))</f>
        <v>300.36889324671682</v>
      </c>
      <c r="CZ89" s="62">
        <f t="shared" si="96"/>
        <v>214.36051699039683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projet'!$B$9,Paramètres!$A$1:$I$89,3,0)*VLOOKUP('Données projet'!$B$9,Paramètres!$A$1:$I$89,5,0)</f>
        <v>262.01759999999973</v>
      </c>
      <c r="P90" s="14">
        <f t="shared" si="87"/>
        <v>63.152255067978103</v>
      </c>
      <c r="Q90" s="22">
        <f t="shared" si="54"/>
        <v>566.33749757672797</v>
      </c>
      <c r="R90" s="62">
        <f t="shared" si="55"/>
        <v>859.67083091006134</v>
      </c>
      <c r="S90" s="62">
        <f ca="1">AVERAGE(OFFSET($R$3,0,0,'Données projet'!$E$9+1,1))-AVERAGE(OFFSET($H$3,0,0,'Données projet'!$E$9+1,1))</f>
        <v>477.00263959594946</v>
      </c>
      <c r="T90" s="62">
        <f t="shared" si="88"/>
        <v>254.25036207346591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383.13846153846151</v>
      </c>
      <c r="AG90" s="13">
        <f>VLOOKUP(A90,'Données projet'!$A$61:$I$81,9,0)</f>
        <v>9.0717948717948698</v>
      </c>
      <c r="AH90" s="13">
        <f t="array" ref="AH90">INDEX(AG:AG,MIN(IF(ISNUMBER(AG90:AG286),ROW(AG90:AG286),"")))</f>
        <v>9.0717948717948698</v>
      </c>
      <c r="AI90" s="14">
        <f>IF('Données projet'!$A$62&gt;35,AI89+AH90-AQ89,IF(A90&lt;'Données projet'!$A$62,$AF$205^A90,IF(A90='Données projet'!$A$62,'Données projet'!$B$62,AI89+AH90-AQ89)))</f>
        <v>383.138461538461</v>
      </c>
      <c r="AJ90" s="14">
        <f>AI90*VLOOKUP('Données projet'!$B$10,Paramètres!$A$1:$I$89,3,0)*VLOOKUP('Données projet'!$B$10,Paramètres!$A$1:$I$89,5,0)</f>
        <v>179.30879999999974</v>
      </c>
      <c r="AK90" s="14">
        <f t="shared" si="89"/>
        <v>45.168372484136519</v>
      </c>
      <c r="AL90" s="22">
        <f t="shared" si="58"/>
        <v>390.96440874320393</v>
      </c>
      <c r="AM90" s="62">
        <f t="shared" si="59"/>
        <v>684.29774207653725</v>
      </c>
      <c r="AN90" s="62">
        <f ca="1">AVERAGE(OFFSET($AM$3,0,0,'Données projet'!$E$10+1,1))-AVERAGE(OFFSET($H$3,0,0,'Données projet'!$E$10+1,1))</f>
        <v>245.47494516762282</v>
      </c>
      <c r="AO90" s="62">
        <f t="shared" si="90"/>
        <v>145.54897745089966</v>
      </c>
      <c r="AP90" s="16">
        <f>IF(ISNA(VLOOKUP(A90,'Données projet'!$A$61:$I$81,3,0)),0,VLOOKUP(A90,'Données projet'!$A$61:$I$81,3,0))</f>
        <v>4</v>
      </c>
      <c r="AQ90" s="16">
        <f>IF(ISNA(VLOOKUP(A90,'Données projet'!$A$61:$I$81,4,0)),0,VLOOKUP(A90,'Données projet'!$A$61:$I$81,4,0))</f>
        <v>82.938461538461524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5.2</v>
      </c>
      <c r="BD90" s="13">
        <f>IF('Données projet'!$A$88&gt;35,BD89+BC90-BL89,IF(A90&lt;'Données projet'!$A$88,$BA$205^A90,IF(A90='Données projet'!$A$88,'Données projet'!$B$88,BD89+BC90-BL89)))</f>
        <v>258.39999999999975</v>
      </c>
      <c r="BE90" s="14">
        <f>BD90*VLOOKUP('Données projet'!$B$11,Paramètres!$A$1:$I$89,3,0)*VLOOKUP('Données projet'!$B$11,Paramètres!$A$1:$I$89,5,0)</f>
        <v>233.80031999999977</v>
      </c>
      <c r="BF90" s="14">
        <f t="shared" si="91"/>
        <v>57.103614181373779</v>
      </c>
      <c r="BG90" s="22">
        <f t="shared" si="61"/>
        <v>506.65768536589218</v>
      </c>
      <c r="BH90" s="62">
        <f t="shared" si="62"/>
        <v>799.99101869922549</v>
      </c>
      <c r="BI90" s="62">
        <f ca="1">AVERAGE(OFFSET($BH$3,0,0,'Données projet'!$E$11+1,1))-AVERAGE(OFFSET($H$3,0,0,'Données projet'!$E$11+1,1))</f>
        <v>430.21146937947236</v>
      </c>
      <c r="BJ90" s="62">
        <f t="shared" si="92"/>
        <v>231.36959598460686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8.8675733422860506E-14</v>
      </c>
      <c r="CA90" s="14">
        <f t="shared" si="93"/>
        <v>1.3509285393066301E-12</v>
      </c>
      <c r="CB90" s="22">
        <f t="shared" si="64"/>
        <v>2.5073107750038623E-12</v>
      </c>
      <c r="CC90" s="62">
        <f t="shared" si="65"/>
        <v>293.33333333333582</v>
      </c>
      <c r="CD90" s="62">
        <f ca="1">AVERAGE(OFFSET($CC$3,0,0,'Données projet'!$E$12+1,1))-AVERAGE(OFFSET($H$3,0,0,'Données projet'!$E$12+1,1))</f>
        <v>299.07024205218266</v>
      </c>
      <c r="CE90" s="62">
        <f t="shared" si="94"/>
        <v>328.70296497136366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3.2051282051282044</v>
      </c>
      <c r="CT90" s="13">
        <f>IF('Données projet'!$A$140&gt;35,CT89+CS90-DB89,IF(A90&lt;'Données projet'!$A$140,$CQ$205^A90,IF(A90='Données projet'!$A$140,'Données projet'!$B$140,CT89+CS90-DB89)))</f>
        <v>187.8205128205129</v>
      </c>
      <c r="CU90" s="18">
        <f>CT90*VLOOKUP('Données projet'!$B$13,Paramètres!$A$1:$I$89,3,0)*VLOOKUP('Données projet'!$B$13,Paramètres!$A$1:$I$89,5,0)</f>
        <v>178.7300000000001</v>
      </c>
      <c r="CV90" s="14">
        <f t="shared" si="95"/>
        <v>45.039518234041026</v>
      </c>
      <c r="CW90" s="22">
        <f t="shared" si="67"/>
        <v>389.73191092428829</v>
      </c>
      <c r="CX90" s="62">
        <f t="shared" si="68"/>
        <v>683.06524425762154</v>
      </c>
      <c r="CY90" s="62">
        <f ca="1">AVERAGE(OFFSET($CX$3,0,0,'Données projet'!$E$13+1,1))-AVERAGE(OFFSET($H$3,0,0,'Données projet'!$E$13+1,1))</f>
        <v>300.36889324671682</v>
      </c>
      <c r="CZ90" s="62">
        <f t="shared" si="96"/>
        <v>214.36051699039683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projet'!$B$9,Paramètres!$A$1:$I$89,3,0)*VLOOKUP('Données projet'!$B$9,Paramètres!$A$1:$I$89,5,0)</f>
        <v>267.29039999999975</v>
      </c>
      <c r="P91" s="14">
        <f t="shared" si="87"/>
        <v>64.273886654661325</v>
      </c>
      <c r="Q91" s="22">
        <f t="shared" si="54"/>
        <v>577.47446592353469</v>
      </c>
      <c r="R91" s="62">
        <f t="shared" si="55"/>
        <v>870.80779925686807</v>
      </c>
      <c r="S91" s="62">
        <f ca="1">AVERAGE(OFFSET($R$3,0,0,'Données projet'!$E$9+1,1))-AVERAGE(OFFSET($H$3,0,0,'Données projet'!$E$9+1,1))</f>
        <v>477.00263959594946</v>
      </c>
      <c r="T91" s="62">
        <f t="shared" si="88"/>
        <v>254.25036207346591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8.1205128205128201</v>
      </c>
      <c r="AI91" s="14">
        <f>IF('Données projet'!$A$62&gt;35,AI90+AH91-AQ90,IF(A91&lt;'Données projet'!$A$62,$AF$205^A91,IF(A91='Données projet'!$A$62,'Données projet'!$B$62,AI90+AH91-AQ90)))</f>
        <v>308.32051282051231</v>
      </c>
      <c r="AJ91" s="14">
        <f>AI91*VLOOKUP('Données projet'!$B$10,Paramètres!$A$1:$I$89,3,0)*VLOOKUP('Données projet'!$B$10,Paramètres!$A$1:$I$89,5,0)</f>
        <v>144.29399999999976</v>
      </c>
      <c r="AK91" s="14">
        <f t="shared" si="89"/>
        <v>37.278964348289335</v>
      </c>
      <c r="AL91" s="22">
        <f t="shared" si="58"/>
        <v>316.23957957327008</v>
      </c>
      <c r="AM91" s="62">
        <f t="shared" si="59"/>
        <v>609.57291290660339</v>
      </c>
      <c r="AN91" s="62">
        <f ca="1">AVERAGE(OFFSET($AM$3,0,0,'Données projet'!$E$10+1,1))-AVERAGE(OFFSET($H$3,0,0,'Données projet'!$E$10+1,1))</f>
        <v>245.47494516762282</v>
      </c>
      <c r="AO91" s="62">
        <f t="shared" si="90"/>
        <v>145.54897745089966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5.2</v>
      </c>
      <c r="BD91" s="13">
        <f>IF('Données projet'!$A$88&gt;35,BD90+BC91-BL90,IF(A91&lt;'Données projet'!$A$88,$BA$205^A91,IF(A91='Données projet'!$A$88,'Données projet'!$B$88,BD90+BC91-BL90)))</f>
        <v>263.59999999999974</v>
      </c>
      <c r="BE91" s="14">
        <f>BD91*VLOOKUP('Données projet'!$B$11,Paramètres!$A$1:$I$89,3,0)*VLOOKUP('Données projet'!$B$11,Paramètres!$A$1:$I$89,5,0)</f>
        <v>238.50527999999974</v>
      </c>
      <c r="BF91" s="14">
        <f t="shared" si="91"/>
        <v>58.117817352909832</v>
      </c>
      <c r="BG91" s="22">
        <f t="shared" si="61"/>
        <v>516.61856122298411</v>
      </c>
      <c r="BH91" s="62">
        <f t="shared" si="62"/>
        <v>809.95189455631748</v>
      </c>
      <c r="BI91" s="62">
        <f ca="1">AVERAGE(OFFSET($BH$3,0,0,'Données projet'!$E$11+1,1))-AVERAGE(OFFSET($H$3,0,0,'Données projet'!$E$11+1,1))</f>
        <v>430.21146937947236</v>
      </c>
      <c r="BJ91" s="62">
        <f t="shared" si="92"/>
        <v>231.36959598460686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8.8675733422860506E-14</v>
      </c>
      <c r="CA91" s="14">
        <f t="shared" si="93"/>
        <v>1.3509285393066301E-12</v>
      </c>
      <c r="CB91" s="22">
        <f t="shared" si="64"/>
        <v>2.5073107750038623E-12</v>
      </c>
      <c r="CC91" s="62">
        <f t="shared" si="65"/>
        <v>293.33333333333582</v>
      </c>
      <c r="CD91" s="62">
        <f ca="1">AVERAGE(OFFSET($CC$3,0,0,'Données projet'!$E$12+1,1))-AVERAGE(OFFSET($H$3,0,0,'Données projet'!$E$12+1,1))</f>
        <v>299.07024205218266</v>
      </c>
      <c r="CE91" s="62">
        <f t="shared" si="94"/>
        <v>328.70296497136366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3.2051282051282044</v>
      </c>
      <c r="CT91" s="13">
        <f>IF('Données projet'!$A$140&gt;35,CT90+CS91-DB90,IF(A91&lt;'Données projet'!$A$140,$CQ$205^A91,IF(A91='Données projet'!$A$140,'Données projet'!$B$140,CT90+CS91-DB90)))</f>
        <v>191.02564102564111</v>
      </c>
      <c r="CU91" s="18">
        <f>CT91*VLOOKUP('Données projet'!$B$13,Paramètres!$A$1:$I$89,3,0)*VLOOKUP('Données projet'!$B$13,Paramètres!$A$1:$I$89,5,0)</f>
        <v>181.78000000000009</v>
      </c>
      <c r="CV91" s="14">
        <f t="shared" si="95"/>
        <v>45.717976285292302</v>
      </c>
      <c r="CW91" s="22">
        <f t="shared" si="67"/>
        <v>396.22564203021756</v>
      </c>
      <c r="CX91" s="62">
        <f t="shared" si="68"/>
        <v>689.55897536355087</v>
      </c>
      <c r="CY91" s="62">
        <f ca="1">AVERAGE(OFFSET($CX$3,0,0,'Données projet'!$E$13+1,1))-AVERAGE(OFFSET($H$3,0,0,'Données projet'!$E$13+1,1))</f>
        <v>300.36889324671682</v>
      </c>
      <c r="CZ91" s="62">
        <f t="shared" si="96"/>
        <v>214.36051699039683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projet'!$B$9,Paramètres!$A$1:$I$89,3,0)*VLOOKUP('Données projet'!$B$9,Paramètres!$A$1:$I$89,5,0)</f>
        <v>272.56319999999977</v>
      </c>
      <c r="P92" s="14">
        <f t="shared" si="87"/>
        <v>65.392945522034552</v>
      </c>
      <c r="Q92" s="22">
        <f t="shared" si="54"/>
        <v>588.6069534508764</v>
      </c>
      <c r="R92" s="62">
        <f t="shared" si="55"/>
        <v>881.94028678420977</v>
      </c>
      <c r="S92" s="62">
        <f ca="1">AVERAGE(OFFSET($R$3,0,0,'Données projet'!$E$9+1,1))-AVERAGE(OFFSET($H$3,0,0,'Données projet'!$E$9+1,1))</f>
        <v>477.00263959594946</v>
      </c>
      <c r="T92" s="62">
        <f t="shared" si="88"/>
        <v>254.25036207346591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8.1205128205128201</v>
      </c>
      <c r="AI92" s="14">
        <f>IF('Données projet'!$A$62&gt;35,AI91+AH92-AQ91,IF(A92&lt;'Données projet'!$A$62,$AF$205^A92,IF(A92='Données projet'!$A$62,'Données projet'!$B$62,AI91+AH92-AQ91)))</f>
        <v>316.44102564102513</v>
      </c>
      <c r="AJ92" s="14">
        <f>AI92*VLOOKUP('Données projet'!$B$10,Paramètres!$A$1:$I$89,3,0)*VLOOKUP('Données projet'!$B$10,Paramètres!$A$1:$I$89,5,0)</f>
        <v>148.09439999999975</v>
      </c>
      <c r="AK92" s="14">
        <f t="shared" si="89"/>
        <v>38.145209470220848</v>
      </c>
      <c r="AL92" s="22">
        <f t="shared" si="58"/>
        <v>324.36731982730089</v>
      </c>
      <c r="AM92" s="62">
        <f t="shared" si="59"/>
        <v>617.70065316063415</v>
      </c>
      <c r="AN92" s="62">
        <f ca="1">AVERAGE(OFFSET($AM$3,0,0,'Données projet'!$E$10+1,1))-AVERAGE(OFFSET($H$3,0,0,'Données projet'!$E$10+1,1))</f>
        <v>245.47494516762282</v>
      </c>
      <c r="AO92" s="62">
        <f t="shared" si="90"/>
        <v>145.54897745089966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5.2</v>
      </c>
      <c r="BD92" s="13">
        <f>IF('Données projet'!$A$88&gt;35,BD91+BC92-BL91,IF(A92&lt;'Données projet'!$A$88,$BA$205^A92,IF(A92='Données projet'!$A$88,'Données projet'!$B$88,BD91+BC92-BL91)))</f>
        <v>268.79999999999973</v>
      </c>
      <c r="BE92" s="14">
        <f>BD92*VLOOKUP('Données projet'!$B$11,Paramètres!$A$1:$I$89,3,0)*VLOOKUP('Données projet'!$B$11,Paramètres!$A$1:$I$89,5,0)</f>
        <v>243.21023999999974</v>
      </c>
      <c r="BF92" s="14">
        <f t="shared" si="91"/>
        <v>59.129694216846687</v>
      </c>
      <c r="BG92" s="22">
        <f t="shared" si="61"/>
        <v>526.57538542767418</v>
      </c>
      <c r="BH92" s="62">
        <f t="shared" si="62"/>
        <v>819.90871876100755</v>
      </c>
      <c r="BI92" s="62">
        <f ca="1">AVERAGE(OFFSET($BH$3,0,0,'Données projet'!$E$11+1,1))-AVERAGE(OFFSET($H$3,0,0,'Données projet'!$E$11+1,1))</f>
        <v>430.21146937947236</v>
      </c>
      <c r="BJ92" s="62">
        <f t="shared" si="92"/>
        <v>231.36959598460686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8.8675733422860506E-14</v>
      </c>
      <c r="CA92" s="14">
        <f t="shared" si="93"/>
        <v>1.3509285393066301E-12</v>
      </c>
      <c r="CB92" s="22">
        <f t="shared" si="64"/>
        <v>2.5073107750038623E-12</v>
      </c>
      <c r="CC92" s="62">
        <f t="shared" si="65"/>
        <v>293.33333333333582</v>
      </c>
      <c r="CD92" s="62">
        <f ca="1">AVERAGE(OFFSET($CC$3,0,0,'Données projet'!$E$12+1,1))-AVERAGE(OFFSET($H$3,0,0,'Données projet'!$E$12+1,1))</f>
        <v>299.07024205218266</v>
      </c>
      <c r="CE92" s="62">
        <f t="shared" si="94"/>
        <v>328.70296497136366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3.2051282051282044</v>
      </c>
      <c r="CT92" s="13">
        <f>IF('Données projet'!$A$140&gt;35,CT91+CS92-DB91,IF(A92&lt;'Données projet'!$A$140,$CQ$205^A92,IF(A92='Données projet'!$A$140,'Données projet'!$B$140,CT91+CS92-DB91)))</f>
        <v>194.23076923076931</v>
      </c>
      <c r="CU92" s="18">
        <f>CT92*VLOOKUP('Données projet'!$B$13,Paramètres!$A$1:$I$89,3,0)*VLOOKUP('Données projet'!$B$13,Paramètres!$A$1:$I$89,5,0)</f>
        <v>184.8300000000001</v>
      </c>
      <c r="CV92" s="14">
        <f t="shared" si="95"/>
        <v>46.395110521715885</v>
      </c>
      <c r="CW92" s="22">
        <f t="shared" si="67"/>
        <v>402.71706749198864</v>
      </c>
      <c r="CX92" s="62">
        <f t="shared" si="68"/>
        <v>696.05040082532196</v>
      </c>
      <c r="CY92" s="62">
        <f ca="1">AVERAGE(OFFSET($CX$3,0,0,'Données projet'!$E$13+1,1))-AVERAGE(OFFSET($H$3,0,0,'Données projet'!$E$13+1,1))</f>
        <v>300.36889324671682</v>
      </c>
      <c r="CZ92" s="62">
        <f t="shared" si="96"/>
        <v>214.36051699039683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projet'!$B$9,Paramètres!$A$1:$I$89,3,0)*VLOOKUP('Données projet'!$B$9,Paramètres!$A$1:$I$89,5,0)</f>
        <v>277.83599999999973</v>
      </c>
      <c r="P93" s="14">
        <f t="shared" si="87"/>
        <v>66.509487177652261</v>
      </c>
      <c r="Q93" s="22">
        <f t="shared" si="54"/>
        <v>599.73505683441056</v>
      </c>
      <c r="R93" s="62">
        <f t="shared" si="55"/>
        <v>893.06839016774393</v>
      </c>
      <c r="S93" s="62">
        <f ca="1">AVERAGE(OFFSET($R$3,0,0,'Données projet'!$E$9+1,1))-AVERAGE(OFFSET($H$3,0,0,'Données projet'!$E$9+1,1))</f>
        <v>477.00263959594946</v>
      </c>
      <c r="T93" s="62">
        <f t="shared" si="88"/>
        <v>254.25036207346591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8.1205128205128201</v>
      </c>
      <c r="AI93" s="14">
        <f>IF('Données projet'!$A$62&gt;35,AI92+AH93-AQ92,IF(A93&lt;'Données projet'!$A$62,$AF$205^A93,IF(A93='Données projet'!$A$62,'Données projet'!$B$62,AI92+AH93-AQ92)))</f>
        <v>324.56153846153796</v>
      </c>
      <c r="AJ93" s="14">
        <f>AI93*VLOOKUP('Données projet'!$B$10,Paramètres!$A$1:$I$89,3,0)*VLOOKUP('Données projet'!$B$10,Paramètres!$A$1:$I$89,5,0)</f>
        <v>151.89479999999978</v>
      </c>
      <c r="AK93" s="14">
        <f t="shared" si="89"/>
        <v>39.008870628729497</v>
      </c>
      <c r="AL93" s="22">
        <f t="shared" si="58"/>
        <v>332.49055967837018</v>
      </c>
      <c r="AM93" s="62">
        <f t="shared" si="59"/>
        <v>625.82389301170349</v>
      </c>
      <c r="AN93" s="62">
        <f ca="1">AVERAGE(OFFSET($AM$3,0,0,'Données projet'!$E$10+1,1))-AVERAGE(OFFSET($H$3,0,0,'Données projet'!$E$10+1,1))</f>
        <v>245.47494516762282</v>
      </c>
      <c r="AO93" s="62">
        <f t="shared" si="90"/>
        <v>145.54897745089966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5.2</v>
      </c>
      <c r="BD93" s="13">
        <f>IF('Données projet'!$A$88&gt;35,BD92+BC93-BL92,IF(A93&lt;'Données projet'!$A$88,$BA$205^A93,IF(A93='Données projet'!$A$88,'Données projet'!$B$88,BD92+BC93-BL92)))</f>
        <v>273.99999999999972</v>
      </c>
      <c r="BE93" s="14">
        <f>BD93*VLOOKUP('Données projet'!$B$11,Paramètres!$A$1:$I$89,3,0)*VLOOKUP('Données projet'!$B$11,Paramètres!$A$1:$I$89,5,0)</f>
        <v>247.91519999999971</v>
      </c>
      <c r="BF93" s="14">
        <f t="shared" si="91"/>
        <v>60.139294964297406</v>
      </c>
      <c r="BG93" s="22">
        <f t="shared" si="61"/>
        <v>536.52824539615074</v>
      </c>
      <c r="BH93" s="62">
        <f t="shared" si="62"/>
        <v>829.86157872948411</v>
      </c>
      <c r="BI93" s="62">
        <f ca="1">AVERAGE(OFFSET($BH$3,0,0,'Données projet'!$E$11+1,1))-AVERAGE(OFFSET($H$3,0,0,'Données projet'!$E$11+1,1))</f>
        <v>430.21146937947236</v>
      </c>
      <c r="BJ93" s="62">
        <f t="shared" si="92"/>
        <v>231.36959598460686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8.8675733422860506E-14</v>
      </c>
      <c r="CA93" s="14">
        <f t="shared" si="93"/>
        <v>1.3509285393066301E-12</v>
      </c>
      <c r="CB93" s="22">
        <f t="shared" si="64"/>
        <v>2.5073107750038623E-12</v>
      </c>
      <c r="CC93" s="62">
        <f t="shared" si="65"/>
        <v>293.33333333333582</v>
      </c>
      <c r="CD93" s="62">
        <f ca="1">AVERAGE(OFFSET($CC$3,0,0,'Données projet'!$E$12+1,1))-AVERAGE(OFFSET($H$3,0,0,'Données projet'!$E$12+1,1))</f>
        <v>299.07024205218266</v>
      </c>
      <c r="CE93" s="62">
        <f t="shared" si="94"/>
        <v>328.70296497136366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197.43589743589743</v>
      </c>
      <c r="CR93" s="13">
        <f>VLOOKUP(A93,'Données projet'!$A$139:$I$159,9,0)</f>
        <v>3.2051282051282044</v>
      </c>
      <c r="CS93" s="13">
        <f t="array" ref="CS93">INDEX(CR:CR,MIN(IF(ISNUMBER(CR93:CR289),ROW(CR93:CR289),"")))</f>
        <v>3.2051282051282044</v>
      </c>
      <c r="CT93" s="13">
        <f>IF('Données projet'!$A$140&gt;35,CT92+CS93-DB92,IF(A93&lt;'Données projet'!$A$140,$CQ$205^A93,IF(A93='Données projet'!$A$140,'Données projet'!$B$140,CT92+CS93-DB92)))</f>
        <v>197.43589743589752</v>
      </c>
      <c r="CU93" s="18">
        <f>CT93*VLOOKUP('Données projet'!$B$13,Paramètres!$A$1:$I$89,3,0)*VLOOKUP('Données projet'!$B$13,Paramètres!$A$1:$I$89,5,0)</f>
        <v>187.88000000000008</v>
      </c>
      <c r="CV93" s="14">
        <f t="shared" si="95"/>
        <v>47.070945310035327</v>
      </c>
      <c r="CW93" s="22">
        <f t="shared" si="67"/>
        <v>409.20622974831167</v>
      </c>
      <c r="CX93" s="62">
        <f t="shared" si="68"/>
        <v>702.53956308164493</v>
      </c>
      <c r="CY93" s="62">
        <f ca="1">AVERAGE(OFFSET($CX$3,0,0,'Données projet'!$E$13+1,1))-AVERAGE(OFFSET($H$3,0,0,'Données projet'!$E$13+1,1))</f>
        <v>300.36889324671682</v>
      </c>
      <c r="CZ93" s="62">
        <f t="shared" si="96"/>
        <v>214.36051699039683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21.153846153846153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projet'!$B$9,Paramètres!$A$1:$I$89,3,0)*VLOOKUP('Données projet'!$B$9,Paramètres!$A$1:$I$89,5,0)</f>
        <v>283.10879999999975</v>
      </c>
      <c r="P94" s="14">
        <f t="shared" si="87"/>
        <v>67.623564901653808</v>
      </c>
      <c r="Q94" s="22">
        <f t="shared" si="54"/>
        <v>610.85886887037998</v>
      </c>
      <c r="R94" s="62">
        <f t="shared" si="55"/>
        <v>904.19220220371335</v>
      </c>
      <c r="S94" s="62">
        <f ca="1">AVERAGE(OFFSET($R$3,0,0,'Données projet'!$E$9+1,1))-AVERAGE(OFFSET($H$3,0,0,'Données projet'!$E$9+1,1))</f>
        <v>477.00263959594946</v>
      </c>
      <c r="T94" s="62">
        <f t="shared" si="88"/>
        <v>254.25036207346591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8.1205128205128201</v>
      </c>
      <c r="AI94" s="14">
        <f>IF('Données projet'!$A$62&gt;35,AI93+AH94-AQ93,IF(A94&lt;'Données projet'!$A$62,$AF$205^A94,IF(A94='Données projet'!$A$62,'Données projet'!$B$62,AI93+AH94-AQ93)))</f>
        <v>332.68205128205079</v>
      </c>
      <c r="AJ94" s="14">
        <f>AI94*VLOOKUP('Données projet'!$B$10,Paramètres!$A$1:$I$89,3,0)*VLOOKUP('Données projet'!$B$10,Paramètres!$A$1:$I$89,5,0)</f>
        <v>155.69519999999977</v>
      </c>
      <c r="AK94" s="14">
        <f t="shared" si="89"/>
        <v>39.870019909996607</v>
      </c>
      <c r="AL94" s="22">
        <f t="shared" si="58"/>
        <v>340.60942467657702</v>
      </c>
      <c r="AM94" s="62">
        <f t="shared" si="59"/>
        <v>633.94275800991034</v>
      </c>
      <c r="AN94" s="62">
        <f ca="1">AVERAGE(OFFSET($AM$3,0,0,'Données projet'!$E$10+1,1))-AVERAGE(OFFSET($H$3,0,0,'Données projet'!$E$10+1,1))</f>
        <v>245.47494516762282</v>
      </c>
      <c r="AO94" s="62">
        <f t="shared" si="90"/>
        <v>145.54897745089966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5.2</v>
      </c>
      <c r="BD94" s="13">
        <f>IF('Données projet'!$A$88&gt;35,BD93+BC94-BL93,IF(A94&lt;'Données projet'!$A$88,$BA$205^A94,IF(A94='Données projet'!$A$88,'Données projet'!$B$88,BD93+BC94-BL93)))</f>
        <v>279.1999999999997</v>
      </c>
      <c r="BE94" s="14">
        <f>BD94*VLOOKUP('Données projet'!$B$11,Paramètres!$A$1:$I$89,3,0)*VLOOKUP('Données projet'!$B$11,Paramètres!$A$1:$I$89,5,0)</f>
        <v>252.62015999999971</v>
      </c>
      <c r="BF94" s="14">
        <f t="shared" si="91"/>
        <v>61.146667772298713</v>
      </c>
      <c r="BG94" s="22">
        <f t="shared" si="61"/>
        <v>546.477225036753</v>
      </c>
      <c r="BH94" s="62">
        <f t="shared" si="62"/>
        <v>839.81055837008626</v>
      </c>
      <c r="BI94" s="62">
        <f ca="1">AVERAGE(OFFSET($BH$3,0,0,'Données projet'!$E$11+1,1))-AVERAGE(OFFSET($H$3,0,0,'Données projet'!$E$11+1,1))</f>
        <v>430.21146937947236</v>
      </c>
      <c r="BJ94" s="62">
        <f t="shared" si="92"/>
        <v>231.36959598460686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8.8675733422860506E-14</v>
      </c>
      <c r="CA94" s="14">
        <f t="shared" si="93"/>
        <v>1.3509285393066301E-12</v>
      </c>
      <c r="CB94" s="22">
        <f t="shared" si="64"/>
        <v>2.5073107750038623E-12</v>
      </c>
      <c r="CC94" s="62">
        <f t="shared" si="65"/>
        <v>293.33333333333582</v>
      </c>
      <c r="CD94" s="62">
        <f ca="1">AVERAGE(OFFSET($CC$3,0,0,'Données projet'!$E$12+1,1))-AVERAGE(OFFSET($H$3,0,0,'Données projet'!$E$12+1,1))</f>
        <v>299.07024205218266</v>
      </c>
      <c r="CE94" s="62">
        <f t="shared" si="94"/>
        <v>328.70296497136366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2.9487179487179502</v>
      </c>
      <c r="CT94" s="13">
        <f>IF('Données projet'!$A$140&gt;35,CT93+CS94-DB93,IF(A94&lt;'Données projet'!$A$140,$CQ$205^A94,IF(A94='Données projet'!$A$140,'Données projet'!$B$140,CT93+CS94-DB93)))</f>
        <v>179.23076923076931</v>
      </c>
      <c r="CU94" s="18">
        <f>CT94*VLOOKUP('Données projet'!$B$13,Paramètres!$A$1:$I$89,3,0)*VLOOKUP('Données projet'!$B$13,Paramètres!$A$1:$I$89,5,0)</f>
        <v>170.55600000000007</v>
      </c>
      <c r="CV94" s="14">
        <f t="shared" si="95"/>
        <v>43.214525415201543</v>
      </c>
      <c r="CW94" s="22">
        <f t="shared" si="67"/>
        <v>372.31699843147612</v>
      </c>
      <c r="CX94" s="62">
        <f t="shared" si="68"/>
        <v>665.65033176480938</v>
      </c>
      <c r="CY94" s="62">
        <f ca="1">AVERAGE(OFFSET($CX$3,0,0,'Données projet'!$E$13+1,1))-AVERAGE(OFFSET($H$3,0,0,'Données projet'!$E$13+1,1))</f>
        <v>300.36889324671682</v>
      </c>
      <c r="CZ94" s="62">
        <f t="shared" si="96"/>
        <v>214.36051699039683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projet'!$B$9,Paramètres!$A$1:$I$89,3,0)*VLOOKUP('Données projet'!$B$9,Paramètres!$A$1:$I$89,5,0)</f>
        <v>288.38159999999971</v>
      </c>
      <c r="P95" s="14">
        <f t="shared" si="87"/>
        <v>68.735229875936554</v>
      </c>
      <c r="Q95" s="22">
        <f t="shared" si="54"/>
        <v>621.97847870058888</v>
      </c>
      <c r="R95" s="62">
        <f t="shared" si="55"/>
        <v>915.31181203392225</v>
      </c>
      <c r="S95" s="62">
        <f ca="1">AVERAGE(OFFSET($R$3,0,0,'Données projet'!$E$9+1,1))-AVERAGE(OFFSET($H$3,0,0,'Données projet'!$E$9+1,1))</f>
        <v>477.00263959594946</v>
      </c>
      <c r="T95" s="62">
        <f t="shared" si="88"/>
        <v>254.25036207346591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8.1205128205128201</v>
      </c>
      <c r="AI95" s="14">
        <f>IF('Données projet'!$A$62&gt;35,AI94+AH95-AQ94,IF(A95&lt;'Données projet'!$A$62,$AF$205^A95,IF(A95='Données projet'!$A$62,'Données projet'!$B$62,AI94+AH95-AQ94)))</f>
        <v>340.80256410256362</v>
      </c>
      <c r="AJ95" s="14">
        <f>AI95*VLOOKUP('Données projet'!$B$10,Paramètres!$A$1:$I$89,3,0)*VLOOKUP('Données projet'!$B$10,Paramètres!$A$1:$I$89,5,0)</f>
        <v>159.49559999999977</v>
      </c>
      <c r="AK95" s="14">
        <f t="shared" si="89"/>
        <v>40.728725680425562</v>
      </c>
      <c r="AL95" s="22">
        <f t="shared" si="58"/>
        <v>348.72403389340735</v>
      </c>
      <c r="AM95" s="62">
        <f t="shared" si="59"/>
        <v>642.05736722674067</v>
      </c>
      <c r="AN95" s="62">
        <f ca="1">AVERAGE(OFFSET($AM$3,0,0,'Données projet'!$E$10+1,1))-AVERAGE(OFFSET($H$3,0,0,'Données projet'!$E$10+1,1))</f>
        <v>245.47494516762282</v>
      </c>
      <c r="AO95" s="62">
        <f t="shared" si="90"/>
        <v>145.54897745089966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5.2</v>
      </c>
      <c r="BD95" s="13">
        <f>IF('Données projet'!$A$88&gt;35,BD94+BC95-BL94,IF(A95&lt;'Données projet'!$A$88,$BA$205^A95,IF(A95='Données projet'!$A$88,'Données projet'!$B$88,BD94+BC95-BL94)))</f>
        <v>284.39999999999969</v>
      </c>
      <c r="BE95" s="14">
        <f>BD95*VLOOKUP('Données projet'!$B$11,Paramètres!$A$1:$I$89,3,0)*VLOOKUP('Données projet'!$B$11,Paramètres!$A$1:$I$89,5,0)</f>
        <v>257.32511999999969</v>
      </c>
      <c r="BF95" s="14">
        <f t="shared" si="91"/>
        <v>62.151858920612597</v>
      </c>
      <c r="BG95" s="22">
        <f t="shared" si="61"/>
        <v>556.42240495339968</v>
      </c>
      <c r="BH95" s="62">
        <f t="shared" si="62"/>
        <v>849.75573828673305</v>
      </c>
      <c r="BI95" s="62">
        <f ca="1">AVERAGE(OFFSET($BH$3,0,0,'Données projet'!$E$11+1,1))-AVERAGE(OFFSET($H$3,0,0,'Données projet'!$E$11+1,1))</f>
        <v>430.21146937947236</v>
      </c>
      <c r="BJ95" s="62">
        <f t="shared" si="92"/>
        <v>231.36959598460686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8.8675733422860506E-14</v>
      </c>
      <c r="CA95" s="14">
        <f t="shared" si="93"/>
        <v>1.3509285393066301E-12</v>
      </c>
      <c r="CB95" s="22">
        <f t="shared" si="64"/>
        <v>2.5073107750038623E-12</v>
      </c>
      <c r="CC95" s="62">
        <f t="shared" si="65"/>
        <v>293.33333333333582</v>
      </c>
      <c r="CD95" s="62">
        <f ca="1">AVERAGE(OFFSET($CC$3,0,0,'Données projet'!$E$12+1,1))-AVERAGE(OFFSET($H$3,0,0,'Données projet'!$E$12+1,1))</f>
        <v>299.07024205218266</v>
      </c>
      <c r="CE95" s="62">
        <f t="shared" si="94"/>
        <v>328.70296497136366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2.9487179487179502</v>
      </c>
      <c r="CT95" s="13">
        <f>IF('Données projet'!$A$140&gt;35,CT94+CS95-DB94,IF(A95&lt;'Données projet'!$A$140,$CQ$205^A95,IF(A95='Données projet'!$A$140,'Données projet'!$B$140,CT94+CS95-DB94)))</f>
        <v>182.17948717948727</v>
      </c>
      <c r="CU95" s="18">
        <f>CT95*VLOOKUP('Données projet'!$B$13,Paramètres!$A$1:$I$89,3,0)*VLOOKUP('Données projet'!$B$13,Paramètres!$A$1:$I$89,5,0)</f>
        <v>173.36200000000008</v>
      </c>
      <c r="CV95" s="14">
        <f t="shared" si="95"/>
        <v>43.84213939003628</v>
      </c>
      <c r="CW95" s="22">
        <f t="shared" si="67"/>
        <v>378.29720943764664</v>
      </c>
      <c r="CX95" s="62">
        <f t="shared" si="68"/>
        <v>671.6305427709799</v>
      </c>
      <c r="CY95" s="62">
        <f ca="1">AVERAGE(OFFSET($CX$3,0,0,'Données projet'!$E$13+1,1))-AVERAGE(OFFSET($H$3,0,0,'Données projet'!$E$13+1,1))</f>
        <v>300.36889324671682</v>
      </c>
      <c r="CZ95" s="62">
        <f t="shared" si="96"/>
        <v>214.36051699039683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projet'!$B$9,Paramètres!$A$1:$I$89,3,0)*VLOOKUP('Données projet'!$B$9,Paramètres!$A$1:$I$89,5,0)</f>
        <v>293.65439999999973</v>
      </c>
      <c r="P96" s="14">
        <f t="shared" si="87"/>
        <v>69.844531303614474</v>
      </c>
      <c r="Q96" s="22">
        <f t="shared" si="54"/>
        <v>633.09397202046136</v>
      </c>
      <c r="R96" s="62">
        <f t="shared" si="55"/>
        <v>926.42730535379474</v>
      </c>
      <c r="S96" s="62">
        <f ca="1">AVERAGE(OFFSET($R$3,0,0,'Données projet'!$E$9+1,1))-AVERAGE(OFFSET($H$3,0,0,'Données projet'!$E$9+1,1))</f>
        <v>477.00263959594946</v>
      </c>
      <c r="T96" s="62">
        <f t="shared" si="88"/>
        <v>254.25036207346591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>
        <f>VLOOKUP(A96,'Données projet'!$A$61:$I$81,2,0)</f>
        <v>348.92307692307691</v>
      </c>
      <c r="AG96" s="13">
        <f>VLOOKUP(A96,'Données projet'!$A$61:$I$81,9,0)</f>
        <v>8.1205128205128201</v>
      </c>
      <c r="AH96" s="13">
        <f t="array" ref="AH96">INDEX(AG:AG,MIN(IF(ISNUMBER(AG96:AG292),ROW(AG96:AG292),"")))</f>
        <v>8.1205128205128201</v>
      </c>
      <c r="AI96" s="14">
        <f>IF('Données projet'!$A$62&gt;35,AI95+AH96-AQ95,IF(A96&lt;'Données projet'!$A$62,$AF$205^A96,IF(A96='Données projet'!$A$62,'Données projet'!$B$62,AI95+AH96-AQ95)))</f>
        <v>348.92307692307645</v>
      </c>
      <c r="AJ96" s="14">
        <f>AI96*VLOOKUP('Données projet'!$B$10,Paramètres!$A$1:$I$89,3,0)*VLOOKUP('Données projet'!$B$10,Paramètres!$A$1:$I$89,5,0)</f>
        <v>163.29599999999979</v>
      </c>
      <c r="AK96" s="14">
        <f t="shared" si="89"/>
        <v>41.585052862581854</v>
      </c>
      <c r="AL96" s="22">
        <f t="shared" si="58"/>
        <v>356.8345004023297</v>
      </c>
      <c r="AM96" s="62">
        <f t="shared" si="59"/>
        <v>650.16783373566295</v>
      </c>
      <c r="AN96" s="62">
        <f ca="1">AVERAGE(OFFSET($AM$3,0,0,'Données projet'!$E$10+1,1))-AVERAGE(OFFSET($H$3,0,0,'Données projet'!$E$10+1,1))</f>
        <v>245.47494516762282</v>
      </c>
      <c r="AO96" s="62">
        <f t="shared" si="90"/>
        <v>145.54897745089966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5.2</v>
      </c>
      <c r="BD96" s="13">
        <f>IF('Données projet'!$A$88&gt;35,BD95+BC96-BL95,IF(A96&lt;'Données projet'!$A$88,$BA$205^A96,IF(A96='Données projet'!$A$88,'Données projet'!$B$88,BD95+BC96-BL95)))</f>
        <v>289.59999999999968</v>
      </c>
      <c r="BE96" s="14">
        <f>BD96*VLOOKUP('Données projet'!$B$11,Paramètres!$A$1:$I$89,3,0)*VLOOKUP('Données projet'!$B$11,Paramètres!$A$1:$I$89,5,0)</f>
        <v>262.03007999999966</v>
      </c>
      <c r="BF96" s="14">
        <f t="shared" si="91"/>
        <v>63.154912899742527</v>
      </c>
      <c r="BG96" s="22">
        <f t="shared" si="61"/>
        <v>566.36386263371753</v>
      </c>
      <c r="BH96" s="62">
        <f t="shared" si="62"/>
        <v>859.6971959670509</v>
      </c>
      <c r="BI96" s="62">
        <f ca="1">AVERAGE(OFFSET($BH$3,0,0,'Données projet'!$E$11+1,1))-AVERAGE(OFFSET($H$3,0,0,'Données projet'!$E$11+1,1))</f>
        <v>430.21146937947236</v>
      </c>
      <c r="BJ96" s="62">
        <f t="shared" si="92"/>
        <v>231.36959598460686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8.8675733422860506E-14</v>
      </c>
      <c r="CA96" s="14">
        <f t="shared" si="93"/>
        <v>1.3509285393066301E-12</v>
      </c>
      <c r="CB96" s="22">
        <f t="shared" si="64"/>
        <v>2.5073107750038623E-12</v>
      </c>
      <c r="CC96" s="62">
        <f t="shared" si="65"/>
        <v>293.33333333333582</v>
      </c>
      <c r="CD96" s="62">
        <f ca="1">AVERAGE(OFFSET($CC$3,0,0,'Données projet'!$E$12+1,1))-AVERAGE(OFFSET($H$3,0,0,'Données projet'!$E$12+1,1))</f>
        <v>299.07024205218266</v>
      </c>
      <c r="CE96" s="62">
        <f t="shared" si="94"/>
        <v>328.70296497136366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2.9487179487179502</v>
      </c>
      <c r="CT96" s="13">
        <f>IF('Données projet'!$A$140&gt;35,CT95+CS96-DB95,IF(A96&lt;'Données projet'!$A$140,$CQ$205^A96,IF(A96='Données projet'!$A$140,'Données projet'!$B$140,CT95+CS96-DB95)))</f>
        <v>185.12820512820522</v>
      </c>
      <c r="CU96" s="18">
        <f>CT96*VLOOKUP('Données projet'!$B$13,Paramètres!$A$1:$I$89,3,0)*VLOOKUP('Données projet'!$B$13,Paramètres!$A$1:$I$89,5,0)</f>
        <v>176.16800000000009</v>
      </c>
      <c r="CV96" s="14">
        <f t="shared" si="95"/>
        <v>44.468571982879908</v>
      </c>
      <c r="CW96" s="22">
        <f t="shared" si="67"/>
        <v>384.27536287018273</v>
      </c>
      <c r="CX96" s="62">
        <f t="shared" si="68"/>
        <v>677.60869620351605</v>
      </c>
      <c r="CY96" s="62">
        <f ca="1">AVERAGE(OFFSET($CX$3,0,0,'Données projet'!$E$13+1,1))-AVERAGE(OFFSET($H$3,0,0,'Données projet'!$E$13+1,1))</f>
        <v>300.36889324671682</v>
      </c>
      <c r="CZ96" s="62">
        <f t="shared" si="96"/>
        <v>214.36051699039683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projet'!$B$9,Paramètres!$A$1:$I$89,3,0)*VLOOKUP('Données projet'!$B$9,Paramètres!$A$1:$I$89,5,0)</f>
        <v>298.92719999999969</v>
      </c>
      <c r="P97" s="14">
        <f t="shared" si="87"/>
        <v>70.951516519653524</v>
      </c>
      <c r="Q97" s="22">
        <f t="shared" si="54"/>
        <v>644.20543127172925</v>
      </c>
      <c r="R97" s="62">
        <f t="shared" si="55"/>
        <v>937.53876460506262</v>
      </c>
      <c r="S97" s="62">
        <f ca="1">AVERAGE(OFFSET($R$3,0,0,'Données projet'!$E$9+1,1))-AVERAGE(OFFSET($H$3,0,0,'Données projet'!$E$9+1,1))</f>
        <v>477.00263959594946</v>
      </c>
      <c r="T97" s="62">
        <f t="shared" si="88"/>
        <v>254.25036207346591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8.1576923076923151</v>
      </c>
      <c r="AI97" s="14">
        <f>IF('Données projet'!$A$62&gt;35,AI96+AH97-AQ96,IF(A97&lt;'Données projet'!$A$62,$AF$205^A97,IF(A97='Données projet'!$A$62,'Données projet'!$B$62,AI96+AH97-AQ96)))</f>
        <v>357.08076923076874</v>
      </c>
      <c r="AJ97" s="14">
        <f>AI97*VLOOKUP('Données projet'!$B$10,Paramètres!$A$1:$I$89,3,0)*VLOOKUP('Données projet'!$B$10,Paramètres!$A$1:$I$89,5,0)</f>
        <v>167.11379999999977</v>
      </c>
      <c r="AK97" s="14">
        <f t="shared" si="89"/>
        <v>42.442968004718075</v>
      </c>
      <c r="AL97" s="22">
        <f t="shared" si="58"/>
        <v>364.97803760821688</v>
      </c>
      <c r="AM97" s="62">
        <f t="shared" si="59"/>
        <v>658.31137094155019</v>
      </c>
      <c r="AN97" s="62">
        <f ca="1">AVERAGE(OFFSET($AM$3,0,0,'Données projet'!$E$10+1,1))-AVERAGE(OFFSET($H$3,0,0,'Données projet'!$E$10+1,1))</f>
        <v>245.47494516762282</v>
      </c>
      <c r="AO97" s="62">
        <f t="shared" si="90"/>
        <v>145.54897745089966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5.2</v>
      </c>
      <c r="BD97" s="13">
        <f>IF('Données projet'!$A$88&gt;35,BD96+BC97-BL96,IF(A97&lt;'Données projet'!$A$88,$BA$205^A97,IF(A97='Données projet'!$A$88,'Données projet'!$B$88,BD96+BC97-BL96)))</f>
        <v>294.79999999999967</v>
      </c>
      <c r="BE97" s="14">
        <f>BD97*VLOOKUP('Données projet'!$B$11,Paramètres!$A$1:$I$89,3,0)*VLOOKUP('Données projet'!$B$11,Paramètres!$A$1:$I$89,5,0)</f>
        <v>266.73503999999969</v>
      </c>
      <c r="BF97" s="14">
        <f t="shared" si="91"/>
        <v>64.155872510973168</v>
      </c>
      <c r="BG97" s="22">
        <f t="shared" si="61"/>
        <v>576.30167262327768</v>
      </c>
      <c r="BH97" s="62">
        <f t="shared" si="62"/>
        <v>869.63500595661094</v>
      </c>
      <c r="BI97" s="62">
        <f ca="1">AVERAGE(OFFSET($BH$3,0,0,'Données projet'!$E$11+1,1))-AVERAGE(OFFSET($H$3,0,0,'Données projet'!$E$11+1,1))</f>
        <v>430.21146937947236</v>
      </c>
      <c r="BJ97" s="62">
        <f t="shared" si="92"/>
        <v>231.36959598460686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8.8675733422860506E-14</v>
      </c>
      <c r="CA97" s="14">
        <f t="shared" si="93"/>
        <v>1.3509285393066301E-12</v>
      </c>
      <c r="CB97" s="22">
        <f t="shared" si="64"/>
        <v>2.5073107750038623E-12</v>
      </c>
      <c r="CC97" s="62">
        <f t="shared" si="65"/>
        <v>293.33333333333582</v>
      </c>
      <c r="CD97" s="62">
        <f ca="1">AVERAGE(OFFSET($CC$3,0,0,'Données projet'!$E$12+1,1))-AVERAGE(OFFSET($H$3,0,0,'Données projet'!$E$12+1,1))</f>
        <v>299.07024205218266</v>
      </c>
      <c r="CE97" s="62">
        <f t="shared" si="94"/>
        <v>328.70296497136366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2.9487179487179502</v>
      </c>
      <c r="CT97" s="13">
        <f>IF('Données projet'!$A$140&gt;35,CT96+CS97-DB96,IF(A97&lt;'Données projet'!$A$140,$CQ$205^A97,IF(A97='Données projet'!$A$140,'Données projet'!$B$140,CT96+CS97-DB96)))</f>
        <v>188.07692307692318</v>
      </c>
      <c r="CU97" s="18">
        <f>CT97*VLOOKUP('Données projet'!$B$13,Paramètres!$A$1:$I$89,3,0)*VLOOKUP('Données projet'!$B$13,Paramètres!$A$1:$I$89,5,0)</f>
        <v>178.9740000000001</v>
      </c>
      <c r="CV97" s="14">
        <f t="shared" si="95"/>
        <v>45.093844183386395</v>
      </c>
      <c r="CW97" s="22">
        <f t="shared" si="67"/>
        <v>390.25149528606488</v>
      </c>
      <c r="CX97" s="62">
        <f t="shared" si="68"/>
        <v>683.58482861939819</v>
      </c>
      <c r="CY97" s="62">
        <f ca="1">AVERAGE(OFFSET($CX$3,0,0,'Données projet'!$E$13+1,1))-AVERAGE(OFFSET($H$3,0,0,'Données projet'!$E$13+1,1))</f>
        <v>300.36889324671682</v>
      </c>
      <c r="CZ97" s="62">
        <f t="shared" si="96"/>
        <v>214.36051699039683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projet'!$B$9,Paramètres!$A$1:$I$89,3,0)*VLOOKUP('Données projet'!$B$9,Paramètres!$A$1:$I$89,5,0)</f>
        <v>304.19999999999965</v>
      </c>
      <c r="P98" s="14">
        <f t="shared" si="87"/>
        <v>72.056231093481003</v>
      </c>
      <c r="Q98" s="22">
        <f t="shared" si="54"/>
        <v>655.31293582114552</v>
      </c>
      <c r="R98" s="62">
        <f t="shared" si="55"/>
        <v>948.64626915447889</v>
      </c>
      <c r="S98" s="62">
        <f ca="1">AVERAGE(OFFSET($R$3,0,0,'Données projet'!$E$9+1,1))-AVERAGE(OFFSET($H$3,0,0,'Données projet'!$E$9+1,1))</f>
        <v>477.00263959594946</v>
      </c>
      <c r="T98" s="62">
        <f t="shared" si="88"/>
        <v>254.25036207346591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8.1576923076923151</v>
      </c>
      <c r="AI98" s="14">
        <f>IF('Données projet'!$A$62&gt;35,AI97+AH98-AQ97,IF(A98&lt;'Données projet'!$A$62,$AF$205^A98,IF(A98='Données projet'!$A$62,'Données projet'!$B$62,AI97+AH98-AQ97)))</f>
        <v>365.23846153846102</v>
      </c>
      <c r="AJ98" s="14">
        <f>AI98*VLOOKUP('Données projet'!$B$10,Paramètres!$A$1:$I$89,3,0)*VLOOKUP('Données projet'!$B$10,Paramètres!$A$1:$I$89,5,0)</f>
        <v>170.93159999999975</v>
      </c>
      <c r="AK98" s="14">
        <f t="shared" si="89"/>
        <v>43.298604585177706</v>
      </c>
      <c r="AL98" s="22">
        <f t="shared" si="58"/>
        <v>373.11760631918406</v>
      </c>
      <c r="AM98" s="62">
        <f t="shared" si="59"/>
        <v>666.45093965251738</v>
      </c>
      <c r="AN98" s="62">
        <f ca="1">AVERAGE(OFFSET($AM$3,0,0,'Données projet'!$E$10+1,1))-AVERAGE(OFFSET($H$3,0,0,'Données projet'!$E$10+1,1))</f>
        <v>245.47494516762282</v>
      </c>
      <c r="AO98" s="62">
        <f t="shared" si="90"/>
        <v>145.54897745089966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300</v>
      </c>
      <c r="BB98" s="13">
        <f>VLOOKUP(A98,'Données projet'!$A$87:$I$107,9,0)</f>
        <v>5.2</v>
      </c>
      <c r="BC98" s="13">
        <f t="array" ref="BC98">INDEX(BB:BB,MIN(IF(ISNUMBER(BB98:BB294),ROW(BB98:BB294),"")))</f>
        <v>5.2</v>
      </c>
      <c r="BD98" s="13">
        <f>IF('Données projet'!$A$88&gt;35,BD97+BC98-BL97,IF(A98&lt;'Données projet'!$A$88,$BA$205^A98,IF(A98='Données projet'!$A$88,'Données projet'!$B$88,BD97+BC98-BL97)))</f>
        <v>299.99999999999966</v>
      </c>
      <c r="BE98" s="14">
        <f>BD98*VLOOKUP('Données projet'!$B$11,Paramètres!$A$1:$I$89,3,0)*VLOOKUP('Données projet'!$B$11,Paramètres!$A$1:$I$89,5,0)</f>
        <v>271.43999999999971</v>
      </c>
      <c r="BF98" s="14">
        <f t="shared" si="91"/>
        <v>65.154778959151116</v>
      </c>
      <c r="BG98" s="22">
        <f t="shared" si="61"/>
        <v>586.23590668718782</v>
      </c>
      <c r="BH98" s="62">
        <f t="shared" si="62"/>
        <v>879.56924002052119</v>
      </c>
      <c r="BI98" s="62">
        <f ca="1">AVERAGE(OFFSET($BH$3,0,0,'Données projet'!$E$11+1,1))-AVERAGE(OFFSET($H$3,0,0,'Données projet'!$E$11+1,1))</f>
        <v>430.21146937947236</v>
      </c>
      <c r="BJ98" s="62">
        <f t="shared" si="92"/>
        <v>231.36959598460686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42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8.8675733422860506E-14</v>
      </c>
      <c r="CA98" s="14">
        <f t="shared" si="93"/>
        <v>1.3509285393066301E-12</v>
      </c>
      <c r="CB98" s="22">
        <f t="shared" si="64"/>
        <v>2.5073107750038623E-12</v>
      </c>
      <c r="CC98" s="62">
        <f t="shared" si="65"/>
        <v>293.33333333333582</v>
      </c>
      <c r="CD98" s="62">
        <f ca="1">AVERAGE(OFFSET($CC$3,0,0,'Données projet'!$E$12+1,1))-AVERAGE(OFFSET($H$3,0,0,'Données projet'!$E$12+1,1))</f>
        <v>299.07024205218266</v>
      </c>
      <c r="CE98" s="62">
        <f t="shared" si="94"/>
        <v>328.70296497136366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191.02564102564102</v>
      </c>
      <c r="CR98" s="13">
        <f>VLOOKUP(A98,'Données projet'!$A$139:$I$159,9,0)</f>
        <v>2.9487179487179502</v>
      </c>
      <c r="CS98" s="13">
        <f t="array" ref="CS98">INDEX(CR:CR,MIN(IF(ISNUMBER(CR98:CR294),ROW(CR98:CR294),"")))</f>
        <v>2.9487179487179502</v>
      </c>
      <c r="CT98" s="13">
        <f>IF('Données projet'!$A$140&gt;35,CT97+CS98-DB97,IF(A98&lt;'Données projet'!$A$140,$CQ$205^A98,IF(A98='Données projet'!$A$140,'Données projet'!$B$140,CT97+CS98-DB97)))</f>
        <v>191.02564102564114</v>
      </c>
      <c r="CU98" s="18">
        <f>CT98*VLOOKUP('Données projet'!$B$13,Paramètres!$A$1:$I$89,3,0)*VLOOKUP('Données projet'!$B$13,Paramètres!$A$1:$I$89,5,0)</f>
        <v>181.78000000000011</v>
      </c>
      <c r="CV98" s="14">
        <f t="shared" si="95"/>
        <v>45.717976285292302</v>
      </c>
      <c r="CW98" s="22">
        <f t="shared" si="67"/>
        <v>396.22564203021761</v>
      </c>
      <c r="CX98" s="62">
        <f t="shared" si="68"/>
        <v>689.55897536355087</v>
      </c>
      <c r="CY98" s="62">
        <f ca="1">AVERAGE(OFFSET($CX$3,0,0,'Données projet'!$E$13+1,1))-AVERAGE(OFFSET($H$3,0,0,'Données projet'!$E$13+1,1))</f>
        <v>300.36889324671682</v>
      </c>
      <c r="CZ98" s="62">
        <f t="shared" si="96"/>
        <v>214.36051699039683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projet'!$B$9,Paramètres!$A$1:$I$89,3,0)*VLOOKUP('Données projet'!$B$9,Paramètres!$A$1:$I$89,5,0)</f>
        <v>266.37779999999964</v>
      </c>
      <c r="P99" s="14">
        <f t="shared" si="87"/>
        <v>64.079943804672666</v>
      </c>
      <c r="Q99" s="22">
        <f t="shared" ref="Q99:Q130" si="107">(O99+P99)*0.475*44/12</f>
        <v>575.54723712647092</v>
      </c>
      <c r="R99" s="62">
        <f t="shared" si="55"/>
        <v>868.88057045980418</v>
      </c>
      <c r="S99" s="62">
        <f ca="1">AVERAGE(OFFSET($R$3,0,0,'Données projet'!$E$9+1,1))-AVERAGE(OFFSET($H$3,0,0,'Données projet'!$E$9+1,1))</f>
        <v>477.00263959594946</v>
      </c>
      <c r="T99" s="62">
        <f t="shared" si="88"/>
        <v>254.25036207346591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8.1576923076923151</v>
      </c>
      <c r="AI99" s="14">
        <f>IF('Données projet'!$A$62&gt;35,AI98+AH99-AQ98,IF(A99&lt;'Données projet'!$A$62,$AF$205^A99,IF(A99='Données projet'!$A$62,'Données projet'!$B$62,AI98+AH99-AQ98)))</f>
        <v>373.39615384615331</v>
      </c>
      <c r="AJ99" s="14">
        <f>AI99*VLOOKUP('Données projet'!$B$10,Paramètres!$A$1:$I$89,3,0)*VLOOKUP('Données projet'!$B$10,Paramètres!$A$1:$I$89,5,0)</f>
        <v>174.74939999999975</v>
      </c>
      <c r="AK99" s="14">
        <f t="shared" si="89"/>
        <v>44.152019355804249</v>
      </c>
      <c r="AL99" s="22">
        <f t="shared" si="58"/>
        <v>381.25330537802529</v>
      </c>
      <c r="AM99" s="62">
        <f t="shared" si="59"/>
        <v>674.58663871135855</v>
      </c>
      <c r="AN99" s="62">
        <f ca="1">AVERAGE(OFFSET($AM$3,0,0,'Données projet'!$E$10+1,1))-AVERAGE(OFFSET($H$3,0,0,'Données projet'!$E$10+1,1))</f>
        <v>245.47494516762282</v>
      </c>
      <c r="AO99" s="62">
        <f t="shared" si="90"/>
        <v>145.54897745089966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4.7</v>
      </c>
      <c r="BD99" s="13">
        <f>IF('Données projet'!$A$88&gt;35,BD98+BC99-BL98,IF(A99&lt;'Données projet'!$A$88,$BA$205^A99,IF(A99='Données projet'!$A$88,'Données projet'!$B$88,BD98+BC99-BL98)))</f>
        <v>262.69999999999965</v>
      </c>
      <c r="BE99" s="14">
        <f>BD99*VLOOKUP('Données projet'!$B$11,Paramètres!$A$1:$I$89,3,0)*VLOOKUP('Données projet'!$B$11,Paramètres!$A$1:$I$89,5,0)</f>
        <v>237.69095999999968</v>
      </c>
      <c r="BF99" s="14">
        <f t="shared" si="91"/>
        <v>57.942450096949344</v>
      </c>
      <c r="BG99" s="22">
        <f t="shared" si="61"/>
        <v>514.89485591885284</v>
      </c>
      <c r="BH99" s="62">
        <f t="shared" si="62"/>
        <v>808.22818925218621</v>
      </c>
      <c r="BI99" s="62">
        <f ca="1">AVERAGE(OFFSET($BH$3,0,0,'Données projet'!$E$11+1,1))-AVERAGE(OFFSET($H$3,0,0,'Données projet'!$E$11+1,1))</f>
        <v>430.21146937947236</v>
      </c>
      <c r="BJ99" s="62">
        <f t="shared" si="92"/>
        <v>231.36959598460686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8.8675733422860506E-14</v>
      </c>
      <c r="CA99" s="14">
        <f t="shared" si="93"/>
        <v>1.3509285393066301E-12</v>
      </c>
      <c r="CB99" s="22">
        <f t="shared" si="64"/>
        <v>2.5073107750038623E-12</v>
      </c>
      <c r="CC99" s="62">
        <f t="shared" si="65"/>
        <v>293.33333333333582</v>
      </c>
      <c r="CD99" s="62">
        <f ca="1">AVERAGE(OFFSET($CC$3,0,0,'Données projet'!$E$12+1,1))-AVERAGE(OFFSET($H$3,0,0,'Données projet'!$E$12+1,1))</f>
        <v>299.07024205218266</v>
      </c>
      <c r="CE99" s="62">
        <f t="shared" si="94"/>
        <v>328.70296497136366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2.9487179487179502</v>
      </c>
      <c r="CT99" s="13">
        <f>IF('Données projet'!$A$140&gt;35,CT98+CS99-DB98,IF(A99&lt;'Données projet'!$A$140,$CQ$205^A99,IF(A99='Données projet'!$A$140,'Données projet'!$B$140,CT98+CS99-DB98)))</f>
        <v>193.97435897435909</v>
      </c>
      <c r="CU99" s="18">
        <f>CT99*VLOOKUP('Données projet'!$B$13,Paramètres!$A$1:$I$89,3,0)*VLOOKUP('Données projet'!$B$13,Paramètres!$A$1:$I$89,5,0)</f>
        <v>184.58600000000013</v>
      </c>
      <c r="CV99" s="14">
        <f t="shared" si="95"/>
        <v>46.340987919869399</v>
      </c>
      <c r="CW99" s="22">
        <f t="shared" si="67"/>
        <v>402.19783729377281</v>
      </c>
      <c r="CX99" s="62">
        <f t="shared" si="68"/>
        <v>695.53117062710612</v>
      </c>
      <c r="CY99" s="62">
        <f ca="1">AVERAGE(OFFSET($CX$3,0,0,'Données projet'!$E$13+1,1))-AVERAGE(OFFSET($H$3,0,0,'Données projet'!$E$13+1,1))</f>
        <v>300.36889324671682</v>
      </c>
      <c r="CZ99" s="62">
        <f t="shared" si="96"/>
        <v>214.36051699039683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projet'!$B$9,Paramètres!$A$1:$I$89,3,0)*VLOOKUP('Données projet'!$B$9,Paramètres!$A$1:$I$89,5,0)</f>
        <v>271.14359999999965</v>
      </c>
      <c r="P100" s="14">
        <f t="shared" si="87"/>
        <v>65.091910336447413</v>
      </c>
      <c r="Q100" s="22">
        <f t="shared" si="107"/>
        <v>585.61018050264533</v>
      </c>
      <c r="R100" s="62">
        <f t="shared" si="55"/>
        <v>878.94351383597859</v>
      </c>
      <c r="S100" s="62">
        <f ca="1">AVERAGE(OFFSET($R$3,0,0,'Données projet'!$E$9+1,1))-AVERAGE(OFFSET($H$3,0,0,'Données projet'!$E$9+1,1))</f>
        <v>477.00263959594946</v>
      </c>
      <c r="T100" s="62">
        <f t="shared" si="88"/>
        <v>254.25036207346591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8.1576923076923151</v>
      </c>
      <c r="AI100" s="14">
        <f>IF('Données projet'!$A$62&gt;35,AI99+AH100-AQ99,IF(A100&lt;'Données projet'!$A$62,$AF$205^A100,IF(A100='Données projet'!$A$62,'Données projet'!$B$62,AI99+AH100-AQ99)))</f>
        <v>381.5538461538456</v>
      </c>
      <c r="AJ100" s="14">
        <f>AI100*VLOOKUP('Données projet'!$B$10,Paramètres!$A$1:$I$89,3,0)*VLOOKUP('Données projet'!$B$10,Paramètres!$A$1:$I$89,5,0)</f>
        <v>178.56719999999976</v>
      </c>
      <c r="AK100" s="14">
        <f t="shared" si="89"/>
        <v>45.003266447079469</v>
      </c>
      <c r="AL100" s="22">
        <f t="shared" si="58"/>
        <v>389.38522906199631</v>
      </c>
      <c r="AM100" s="62">
        <f t="shared" si="59"/>
        <v>682.71856239532963</v>
      </c>
      <c r="AN100" s="62">
        <f ca="1">AVERAGE(OFFSET($AM$3,0,0,'Données projet'!$E$10+1,1))-AVERAGE(OFFSET($H$3,0,0,'Données projet'!$E$10+1,1))</f>
        <v>245.47494516762282</v>
      </c>
      <c r="AO100" s="62">
        <f t="shared" si="90"/>
        <v>145.54897745089966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4.7</v>
      </c>
      <c r="BD100" s="13">
        <f>IF('Données projet'!$A$88&gt;35,BD99+BC100-BL99,IF(A100&lt;'Données projet'!$A$88,$BA$205^A100,IF(A100='Données projet'!$A$88,'Données projet'!$B$88,BD99+BC100-BL99)))</f>
        <v>267.39999999999964</v>
      </c>
      <c r="BE100" s="14">
        <f>BD100*VLOOKUP('Données projet'!$B$11,Paramètres!$A$1:$I$89,3,0)*VLOOKUP('Données projet'!$B$11,Paramètres!$A$1:$I$89,5,0)</f>
        <v>241.94351999999967</v>
      </c>
      <c r="BF100" s="14">
        <f t="shared" si="91"/>
        <v>58.857491789961337</v>
      </c>
      <c r="BG100" s="22">
        <f t="shared" si="61"/>
        <v>523.89509553418213</v>
      </c>
      <c r="BH100" s="62">
        <f t="shared" si="62"/>
        <v>817.2284288675155</v>
      </c>
      <c r="BI100" s="62">
        <f ca="1">AVERAGE(OFFSET($BH$3,0,0,'Données projet'!$E$11+1,1))-AVERAGE(OFFSET($H$3,0,0,'Données projet'!$E$11+1,1))</f>
        <v>430.21146937947236</v>
      </c>
      <c r="BJ100" s="62">
        <f t="shared" si="92"/>
        <v>231.36959598460686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8.8675733422860506E-14</v>
      </c>
      <c r="CA100" s="14">
        <f t="shared" si="93"/>
        <v>1.3509285393066301E-12</v>
      </c>
      <c r="CB100" s="22">
        <f t="shared" si="64"/>
        <v>2.5073107750038623E-12</v>
      </c>
      <c r="CC100" s="62">
        <f t="shared" si="65"/>
        <v>293.33333333333582</v>
      </c>
      <c r="CD100" s="62">
        <f ca="1">AVERAGE(OFFSET($CC$3,0,0,'Données projet'!$E$12+1,1))-AVERAGE(OFFSET($H$3,0,0,'Données projet'!$E$12+1,1))</f>
        <v>299.07024205218266</v>
      </c>
      <c r="CE100" s="62">
        <f t="shared" si="94"/>
        <v>328.70296497136366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2.9487179487179502</v>
      </c>
      <c r="CT100" s="13">
        <f>IF('Données projet'!$A$140&gt;35,CT99+CS100-DB99,IF(A100&lt;'Données projet'!$A$140,$CQ$205^A100,IF(A100='Données projet'!$A$140,'Données projet'!$B$140,CT99+CS100-DB99)))</f>
        <v>196.92307692307705</v>
      </c>
      <c r="CU100" s="18">
        <f>CT100*VLOOKUP('Données projet'!$B$13,Paramètres!$A$1:$I$89,3,0)*VLOOKUP('Données projet'!$B$13,Paramètres!$A$1:$I$89,5,0)</f>
        <v>187.39200000000011</v>
      </c>
      <c r="CV100" s="14">
        <f t="shared" si="95"/>
        <v>46.962898087285822</v>
      </c>
      <c r="CW100" s="22">
        <f t="shared" si="67"/>
        <v>408.16811416868967</v>
      </c>
      <c r="CX100" s="62">
        <f t="shared" si="68"/>
        <v>701.50144750202298</v>
      </c>
      <c r="CY100" s="62">
        <f ca="1">AVERAGE(OFFSET($CX$3,0,0,'Données projet'!$E$13+1,1))-AVERAGE(OFFSET($H$3,0,0,'Données projet'!$E$13+1,1))</f>
        <v>300.36889324671682</v>
      </c>
      <c r="CZ100" s="62">
        <f t="shared" si="96"/>
        <v>214.36051699039683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projet'!$B$9,Paramètres!$A$1:$I$89,3,0)*VLOOKUP('Données projet'!$B$9,Paramètres!$A$1:$I$89,5,0)</f>
        <v>275.90939999999961</v>
      </c>
      <c r="P101" s="14">
        <f t="shared" si="87"/>
        <v>66.101808465810961</v>
      </c>
      <c r="Q101" s="22">
        <f t="shared" si="107"/>
        <v>595.66952141128684</v>
      </c>
      <c r="R101" s="62">
        <f t="shared" si="55"/>
        <v>889.00285474462021</v>
      </c>
      <c r="S101" s="62">
        <f ca="1">AVERAGE(OFFSET($R$3,0,0,'Données projet'!$E$9+1,1))-AVERAGE(OFFSET($H$3,0,0,'Données projet'!$E$9+1,1))</f>
        <v>477.00263959594946</v>
      </c>
      <c r="T101" s="62">
        <f t="shared" si="88"/>
        <v>254.25036207346591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8.1576923076923151</v>
      </c>
      <c r="AI101" s="14">
        <f>IF('Données projet'!$A$62&gt;35,AI100+AH101-AQ100,IF(A101&lt;'Données projet'!$A$62,$AF$205^A101,IF(A101='Données projet'!$A$62,'Données projet'!$B$62,AI100+AH101-AQ100)))</f>
        <v>389.71153846153788</v>
      </c>
      <c r="AJ101" s="14">
        <f>AI101*VLOOKUP('Données projet'!$B$10,Paramètres!$A$1:$I$89,3,0)*VLOOKUP('Données projet'!$B$10,Paramètres!$A$1:$I$89,5,0)</f>
        <v>182.38499999999974</v>
      </c>
      <c r="AK101" s="14">
        <f t="shared" si="89"/>
        <v>45.852397542618846</v>
      </c>
      <c r="AL101" s="22">
        <f t="shared" si="58"/>
        <v>397.51346738672737</v>
      </c>
      <c r="AM101" s="62">
        <f t="shared" si="59"/>
        <v>690.84680072006063</v>
      </c>
      <c r="AN101" s="62">
        <f ca="1">AVERAGE(OFFSET($AM$3,0,0,'Données projet'!$E$10+1,1))-AVERAGE(OFFSET($H$3,0,0,'Données projet'!$E$10+1,1))</f>
        <v>245.47494516762282</v>
      </c>
      <c r="AO101" s="62">
        <f t="shared" si="90"/>
        <v>145.54897745089966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4.7</v>
      </c>
      <c r="BD101" s="13">
        <f>IF('Données projet'!$A$88&gt;35,BD100+BC101-BL100,IF(A101&lt;'Données projet'!$A$88,$BA$205^A101,IF(A101='Données projet'!$A$88,'Données projet'!$B$88,BD100+BC101-BL100)))</f>
        <v>272.09999999999962</v>
      </c>
      <c r="BE101" s="14">
        <f>BD101*VLOOKUP('Données projet'!$B$11,Paramètres!$A$1:$I$89,3,0)*VLOOKUP('Données projet'!$B$11,Paramètres!$A$1:$I$89,5,0)</f>
        <v>246.19607999999968</v>
      </c>
      <c r="BF101" s="14">
        <f t="shared" si="91"/>
        <v>59.770663189456016</v>
      </c>
      <c r="BG101" s="22">
        <f t="shared" si="61"/>
        <v>532.89207772163536</v>
      </c>
      <c r="BH101" s="62">
        <f t="shared" si="62"/>
        <v>826.22541105496862</v>
      </c>
      <c r="BI101" s="62">
        <f ca="1">AVERAGE(OFFSET($BH$3,0,0,'Données projet'!$E$11+1,1))-AVERAGE(OFFSET($H$3,0,0,'Données projet'!$E$11+1,1))</f>
        <v>430.21146937947236</v>
      </c>
      <c r="BJ101" s="62">
        <f t="shared" si="92"/>
        <v>231.36959598460686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8.8675733422860506E-14</v>
      </c>
      <c r="CA101" s="14">
        <f t="shared" si="93"/>
        <v>1.3509285393066301E-12</v>
      </c>
      <c r="CB101" s="22">
        <f t="shared" si="64"/>
        <v>2.5073107750038623E-12</v>
      </c>
      <c r="CC101" s="62">
        <f t="shared" si="65"/>
        <v>293.33333333333582</v>
      </c>
      <c r="CD101" s="62">
        <f ca="1">AVERAGE(OFFSET($CC$3,0,0,'Données projet'!$E$12+1,1))-AVERAGE(OFFSET($H$3,0,0,'Données projet'!$E$12+1,1))</f>
        <v>299.07024205218266</v>
      </c>
      <c r="CE101" s="62">
        <f t="shared" si="94"/>
        <v>328.70296497136366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2.9487179487179502</v>
      </c>
      <c r="CT101" s="13">
        <f>IF('Données projet'!$A$140&gt;35,CT100+CS101-DB100,IF(A101&lt;'Données projet'!$A$140,$CQ$205^A101,IF(A101='Données projet'!$A$140,'Données projet'!$B$140,CT100+CS101-DB100)))</f>
        <v>199.871794871795</v>
      </c>
      <c r="CU101" s="18">
        <f>CT101*VLOOKUP('Données projet'!$B$13,Paramètres!$A$1:$I$89,3,0)*VLOOKUP('Données projet'!$B$13,Paramètres!$A$1:$I$89,5,0)</f>
        <v>190.19800000000012</v>
      </c>
      <c r="CV101" s="14">
        <f t="shared" si="95"/>
        <v>47.583725186034627</v>
      </c>
      <c r="CW101" s="22">
        <f t="shared" si="67"/>
        <v>414.13650469901057</v>
      </c>
      <c r="CX101" s="62">
        <f t="shared" si="68"/>
        <v>707.46983803234389</v>
      </c>
      <c r="CY101" s="62">
        <f ca="1">AVERAGE(OFFSET($CX$3,0,0,'Données projet'!$E$13+1,1))-AVERAGE(OFFSET($H$3,0,0,'Données projet'!$E$13+1,1))</f>
        <v>300.36889324671682</v>
      </c>
      <c r="CZ101" s="62">
        <f t="shared" si="96"/>
        <v>214.36051699039683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projet'!$B$9,Paramètres!$A$1:$I$89,3,0)*VLOOKUP('Données projet'!$B$9,Paramètres!$A$1:$I$89,5,0)</f>
        <v>280.67519999999962</v>
      </c>
      <c r="P102" s="14">
        <f t="shared" si="87"/>
        <v>67.109678043026435</v>
      </c>
      <c r="Q102" s="22">
        <f t="shared" si="107"/>
        <v>605.72532925827045</v>
      </c>
      <c r="R102" s="62">
        <f t="shared" si="55"/>
        <v>899.05866259160371</v>
      </c>
      <c r="S102" s="62">
        <f ca="1">AVERAGE(OFFSET($R$3,0,0,'Données projet'!$E$9+1,1))-AVERAGE(OFFSET($H$3,0,0,'Données projet'!$E$9+1,1))</f>
        <v>477.00263959594946</v>
      </c>
      <c r="T102" s="62">
        <f t="shared" si="88"/>
        <v>254.25036207346591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>
        <f>VLOOKUP(A102,'Données projet'!$A$61:$I$81,2,0)</f>
        <v>397.8692307692308</v>
      </c>
      <c r="AG102" s="13">
        <f>VLOOKUP(A102,'Données projet'!$A$61:$I$81,9,0)</f>
        <v>8.1576923076923151</v>
      </c>
      <c r="AH102" s="13">
        <f t="array" ref="AH102">INDEX(AG:AG,MIN(IF(ISNUMBER(AG102:AG298),ROW(AG102:AG298),"")))</f>
        <v>8.1576923076923151</v>
      </c>
      <c r="AI102" s="14">
        <f>IF('Données projet'!$A$62&gt;35,AI101+AH102-AQ101,IF(A102&lt;'Données projet'!$A$62,$AF$205^A102,IF(A102='Données projet'!$A$62,'Données projet'!$B$62,AI101+AH102-AQ101)))</f>
        <v>397.86923076923017</v>
      </c>
      <c r="AJ102" s="14">
        <f>AI102*VLOOKUP('Données projet'!$B$10,Paramètres!$A$1:$I$89,3,0)*VLOOKUP('Données projet'!$B$10,Paramètres!$A$1:$I$89,5,0)</f>
        <v>186.20279999999971</v>
      </c>
      <c r="AK102" s="14">
        <f t="shared" si="89"/>
        <v>46.699462038644107</v>
      </c>
      <c r="AL102" s="22">
        <f t="shared" si="58"/>
        <v>405.63810638397126</v>
      </c>
      <c r="AM102" s="62">
        <f t="shared" si="59"/>
        <v>698.97143971730452</v>
      </c>
      <c r="AN102" s="62">
        <f ca="1">AVERAGE(OFFSET($AM$3,0,0,'Données projet'!$E$10+1,1))-AVERAGE(OFFSET($H$3,0,0,'Données projet'!$E$10+1,1))</f>
        <v>245.47494516762282</v>
      </c>
      <c r="AO102" s="62">
        <f t="shared" si="90"/>
        <v>145.54897745089966</v>
      </c>
      <c r="AP102" s="16">
        <f>IF(ISNA(VLOOKUP(A102,'Données projet'!$A$61:$I$81,3,0)),0,VLOOKUP(A102,'Données projet'!$A$61:$I$81,3,0))</f>
        <v>5</v>
      </c>
      <c r="AQ102" s="16">
        <f>IF(ISNA(VLOOKUP(A102,'Données projet'!$A$61:$I$81,4,0)),0,VLOOKUP(A102,'Données projet'!$A$61:$I$81,4,0))</f>
        <v>198.32307692307691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4.7</v>
      </c>
      <c r="BD102" s="13">
        <f>IF('Données projet'!$A$88&gt;35,BD101+BC102-BL101,IF(A102&lt;'Données projet'!$A$88,$BA$205^A102,IF(A102='Données projet'!$A$88,'Données projet'!$B$88,BD101+BC102-BL101)))</f>
        <v>276.79999999999961</v>
      </c>
      <c r="BE102" s="14">
        <f>BD102*VLOOKUP('Données projet'!$B$11,Paramètres!$A$1:$I$89,3,0)*VLOOKUP('Données projet'!$B$11,Paramètres!$A$1:$I$89,5,0)</f>
        <v>250.44863999999961</v>
      </c>
      <c r="BF102" s="14">
        <f t="shared" si="91"/>
        <v>60.682000328889949</v>
      </c>
      <c r="BG102" s="22">
        <f t="shared" si="61"/>
        <v>541.88586523948277</v>
      </c>
      <c r="BH102" s="62">
        <f t="shared" si="62"/>
        <v>835.21919857281614</v>
      </c>
      <c r="BI102" s="62">
        <f ca="1">AVERAGE(OFFSET($BH$3,0,0,'Données projet'!$E$11+1,1))-AVERAGE(OFFSET($H$3,0,0,'Données projet'!$E$11+1,1))</f>
        <v>430.21146937947236</v>
      </c>
      <c r="BJ102" s="62">
        <f t="shared" si="92"/>
        <v>231.36959598460686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8.8675733422860506E-14</v>
      </c>
      <c r="CA102" s="14">
        <f t="shared" si="93"/>
        <v>1.3509285393066301E-12</v>
      </c>
      <c r="CB102" s="22">
        <f t="shared" si="64"/>
        <v>2.5073107750038623E-12</v>
      </c>
      <c r="CC102" s="62">
        <f t="shared" si="65"/>
        <v>293.33333333333582</v>
      </c>
      <c r="CD102" s="62">
        <f ca="1">AVERAGE(OFFSET($CC$3,0,0,'Données projet'!$E$12+1,1))-AVERAGE(OFFSET($H$3,0,0,'Données projet'!$E$12+1,1))</f>
        <v>299.07024205218266</v>
      </c>
      <c r="CE102" s="62">
        <f t="shared" si="94"/>
        <v>328.70296497136366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2.9487179487179502</v>
      </c>
      <c r="CT102" s="13">
        <f>IF('Données projet'!$A$140&gt;35,CT101+CS102-DB101,IF(A102&lt;'Données projet'!$A$140,$CQ$205^A102,IF(A102='Données projet'!$A$140,'Données projet'!$B$140,CT101+CS102-DB101)))</f>
        <v>202.82051282051296</v>
      </c>
      <c r="CU102" s="18">
        <f>CT102*VLOOKUP('Données projet'!$B$13,Paramètres!$A$1:$I$89,3,0)*VLOOKUP('Données projet'!$B$13,Paramètres!$A$1:$I$89,5,0)</f>
        <v>193.00400000000013</v>
      </c>
      <c r="CV102" s="14">
        <f t="shared" si="95"/>
        <v>48.203487040577308</v>
      </c>
      <c r="CW102" s="22">
        <f t="shared" si="67"/>
        <v>420.10303992900572</v>
      </c>
      <c r="CX102" s="62">
        <f t="shared" si="68"/>
        <v>713.43637326233898</v>
      </c>
      <c r="CY102" s="62">
        <f ca="1">AVERAGE(OFFSET($CX$3,0,0,'Données projet'!$E$13+1,1))-AVERAGE(OFFSET($H$3,0,0,'Données projet'!$E$13+1,1))</f>
        <v>300.36889324671682</v>
      </c>
      <c r="CZ102" s="62">
        <f t="shared" si="96"/>
        <v>214.36051699039683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projet'!$B$9,Paramètres!$A$1:$I$89,3,0)*VLOOKUP('Données projet'!$B$9,Paramètres!$A$1:$I$89,5,0)</f>
        <v>285.44099999999958</v>
      </c>
      <c r="P103" s="14">
        <f t="shared" si="87"/>
        <v>68.115557487507047</v>
      </c>
      <c r="Q103" s="22">
        <f t="shared" si="107"/>
        <v>615.77767095740739</v>
      </c>
      <c r="R103" s="62">
        <f t="shared" si="55"/>
        <v>909.11100429074077</v>
      </c>
      <c r="S103" s="62">
        <f ca="1">AVERAGE(OFFSET($R$3,0,0,'Données projet'!$E$9+1,1))-AVERAGE(OFFSET($H$3,0,0,'Données projet'!$E$9+1,1))</f>
        <v>477.00263959594946</v>
      </c>
      <c r="T103" s="62">
        <f t="shared" si="88"/>
        <v>254.25036207346591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5.849230769230763</v>
      </c>
      <c r="AI103" s="14">
        <f>IF('Données projet'!$A$62&gt;35,AI102+AH103-AQ102,IF(A103&lt;'Données projet'!$A$62,$AF$205^A103,IF(A103='Données projet'!$A$62,'Données projet'!$B$62,AI102+AH103-AQ102)))</f>
        <v>205.39538461538402</v>
      </c>
      <c r="AJ103" s="14">
        <f>AI103*VLOOKUP('Données projet'!$B$10,Paramètres!$A$1:$I$89,3,0)*VLOOKUP('Données projet'!$B$10,Paramètres!$A$1:$I$89,5,0)</f>
        <v>96.125039999999714</v>
      </c>
      <c r="AK103" s="14">
        <f t="shared" si="89"/>
        <v>26.03672918496029</v>
      </c>
      <c r="AL103" s="22">
        <f t="shared" si="58"/>
        <v>212.76508133047199</v>
      </c>
      <c r="AM103" s="62">
        <f t="shared" si="59"/>
        <v>506.09841466380533</v>
      </c>
      <c r="AN103" s="62">
        <f ca="1">AVERAGE(OFFSET($AM$3,0,0,'Données projet'!$E$10+1,1))-AVERAGE(OFFSET($H$3,0,0,'Données projet'!$E$10+1,1))</f>
        <v>245.47494516762282</v>
      </c>
      <c r="AO103" s="62">
        <f t="shared" si="90"/>
        <v>145.54897745089966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4.7</v>
      </c>
      <c r="BD103" s="13">
        <f>IF('Données projet'!$A$88&gt;35,BD102+BC103-BL102,IF(A103&lt;'Données projet'!$A$88,$BA$205^A103,IF(A103='Données projet'!$A$88,'Données projet'!$B$88,BD102+BC103-BL102)))</f>
        <v>281.4999999999996</v>
      </c>
      <c r="BE103" s="14">
        <f>BD103*VLOOKUP('Données projet'!$B$11,Paramètres!$A$1:$I$89,3,0)*VLOOKUP('Données projet'!$B$11,Paramètres!$A$1:$I$89,5,0)</f>
        <v>254.70119999999963</v>
      </c>
      <c r="BF103" s="14">
        <f t="shared" si="91"/>
        <v>61.591537947915114</v>
      </c>
      <c r="BG103" s="22">
        <f t="shared" si="61"/>
        <v>550.87651859261814</v>
      </c>
      <c r="BH103" s="62">
        <f t="shared" si="62"/>
        <v>844.2098519259514</v>
      </c>
      <c r="BI103" s="62">
        <f ca="1">AVERAGE(OFFSET($BH$3,0,0,'Données projet'!$E$11+1,1))-AVERAGE(OFFSET($H$3,0,0,'Données projet'!$E$11+1,1))</f>
        <v>430.21146937947236</v>
      </c>
      <c r="BJ103" s="62">
        <f t="shared" si="92"/>
        <v>231.36959598460686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8.8675733422860506E-14</v>
      </c>
      <c r="CA103" s="14">
        <f t="shared" si="93"/>
        <v>1.3509285393066301E-12</v>
      </c>
      <c r="CB103" s="22">
        <f t="shared" si="64"/>
        <v>2.5073107750038623E-12</v>
      </c>
      <c r="CC103" s="62">
        <f t="shared" si="65"/>
        <v>293.33333333333582</v>
      </c>
      <c r="CD103" s="62">
        <f ca="1">AVERAGE(OFFSET($CC$3,0,0,'Données projet'!$E$12+1,1))-AVERAGE(OFFSET($H$3,0,0,'Données projet'!$E$12+1,1))</f>
        <v>299.07024205218266</v>
      </c>
      <c r="CE103" s="62">
        <f t="shared" si="94"/>
        <v>328.70296497136366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205.76923076923077</v>
      </c>
      <c r="CR103" s="13">
        <f>VLOOKUP(A103,'Données projet'!$A$139:$I$159,9,0)</f>
        <v>2.9487179487179502</v>
      </c>
      <c r="CS103" s="13">
        <f t="array" ref="CS103">INDEX(CR:CR,MIN(IF(ISNUMBER(CR103:CR299),ROW(CR103:CR299),"")))</f>
        <v>2.9487179487179502</v>
      </c>
      <c r="CT103" s="13">
        <f>IF('Données projet'!$A$140&gt;35,CT102+CS103-DB102,IF(A103&lt;'Données projet'!$A$140,$CQ$205^A103,IF(A103='Données projet'!$A$140,'Données projet'!$B$140,CT102+CS103-DB102)))</f>
        <v>205.76923076923092</v>
      </c>
      <c r="CU103" s="18">
        <f>CT103*VLOOKUP('Données projet'!$B$13,Paramètres!$A$1:$I$89,3,0)*VLOOKUP('Données projet'!$B$13,Paramètres!$A$1:$I$89,5,0)</f>
        <v>195.81000000000014</v>
      </c>
      <c r="CV103" s="14">
        <f t="shared" si="95"/>
        <v>48.822200927333348</v>
      </c>
      <c r="CW103" s="22">
        <f t="shared" si="67"/>
        <v>426.06774994843914</v>
      </c>
      <c r="CX103" s="62">
        <f t="shared" si="68"/>
        <v>719.40108328177246</v>
      </c>
      <c r="CY103" s="62">
        <f ca="1">AVERAGE(OFFSET($CX$3,0,0,'Données projet'!$E$13+1,1))-AVERAGE(OFFSET($H$3,0,0,'Données projet'!$E$13+1,1))</f>
        <v>300.36889324671682</v>
      </c>
      <c r="CZ103" s="62">
        <f t="shared" si="96"/>
        <v>214.36051699039683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19.871794871794872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projet'!$B$9,Paramètres!$A$1:$I$89,3,0)*VLOOKUP('Données projet'!$B$9,Paramètres!$A$1:$I$89,5,0)</f>
        <v>290.20679999999959</v>
      </c>
      <c r="P104" s="14">
        <f t="shared" si="87"/>
        <v>69.119483862208341</v>
      </c>
      <c r="Q104" s="22">
        <f t="shared" si="107"/>
        <v>625.82661106001206</v>
      </c>
      <c r="R104" s="62">
        <f t="shared" si="55"/>
        <v>919.15994439334531</v>
      </c>
      <c r="S104" s="62">
        <f ca="1">AVERAGE(OFFSET($R$3,0,0,'Données projet'!$E$9+1,1))-AVERAGE(OFFSET($H$3,0,0,'Données projet'!$E$9+1,1))</f>
        <v>477.00263959594946</v>
      </c>
      <c r="T104" s="62">
        <f t="shared" si="88"/>
        <v>254.25036207346591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5.849230769230763</v>
      </c>
      <c r="AI104" s="14">
        <f>IF('Données projet'!$A$62&gt;35,AI103+AH104-AQ103,IF(A104&lt;'Données projet'!$A$62,$AF$205^A104,IF(A104='Données projet'!$A$62,'Données projet'!$B$62,AI103+AH104-AQ103)))</f>
        <v>211.24461538461478</v>
      </c>
      <c r="AJ104" s="14">
        <f>AI104*VLOOKUP('Données projet'!$B$10,Paramètres!$A$1:$I$89,3,0)*VLOOKUP('Données projet'!$B$10,Paramètres!$A$1:$I$89,5,0)</f>
        <v>98.862479999999707</v>
      </c>
      <c r="AK104" s="14">
        <f t="shared" si="89"/>
        <v>26.690818919395912</v>
      </c>
      <c r="AL104" s="22">
        <f t="shared" si="58"/>
        <v>218.67199561794735</v>
      </c>
      <c r="AM104" s="62">
        <f t="shared" si="59"/>
        <v>512.00532895128072</v>
      </c>
      <c r="AN104" s="62">
        <f ca="1">AVERAGE(OFFSET($AM$3,0,0,'Données projet'!$E$10+1,1))-AVERAGE(OFFSET($H$3,0,0,'Données projet'!$E$10+1,1))</f>
        <v>245.47494516762282</v>
      </c>
      <c r="AO104" s="62">
        <f t="shared" si="90"/>
        <v>145.54897745089966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4.7</v>
      </c>
      <c r="BD104" s="13">
        <f>IF('Données projet'!$A$88&gt;35,BD103+BC104-BL103,IF(A104&lt;'Données projet'!$A$88,$BA$205^A104,IF(A104='Données projet'!$A$88,'Données projet'!$B$88,BD103+BC104-BL103)))</f>
        <v>286.19999999999959</v>
      </c>
      <c r="BE104" s="14">
        <f>BD104*VLOOKUP('Données projet'!$B$11,Paramètres!$A$1:$I$89,3,0)*VLOOKUP('Données projet'!$B$11,Paramètres!$A$1:$I$89,5,0)</f>
        <v>258.95375999999965</v>
      </c>
      <c r="BF104" s="14">
        <f t="shared" si="91"/>
        <v>62.499309559645205</v>
      </c>
      <c r="BG104" s="22">
        <f t="shared" si="61"/>
        <v>559.86409614971478</v>
      </c>
      <c r="BH104" s="62">
        <f t="shared" si="62"/>
        <v>853.19742948304815</v>
      </c>
      <c r="BI104" s="62">
        <f ca="1">AVERAGE(OFFSET($BH$3,0,0,'Données projet'!$E$11+1,1))-AVERAGE(OFFSET($H$3,0,0,'Données projet'!$E$11+1,1))</f>
        <v>430.21146937947236</v>
      </c>
      <c r="BJ104" s="62">
        <f t="shared" si="92"/>
        <v>231.36959598460686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8.8675733422860506E-14</v>
      </c>
      <c r="CA104" s="14">
        <f t="shared" si="93"/>
        <v>1.3509285393066301E-12</v>
      </c>
      <c r="CB104" s="22">
        <f t="shared" si="64"/>
        <v>2.5073107750038623E-12</v>
      </c>
      <c r="CC104" s="62">
        <f t="shared" si="65"/>
        <v>293.33333333333582</v>
      </c>
      <c r="CD104" s="62">
        <f ca="1">AVERAGE(OFFSET($CC$3,0,0,'Données projet'!$E$12+1,1))-AVERAGE(OFFSET($H$3,0,0,'Données projet'!$E$12+1,1))</f>
        <v>299.07024205218266</v>
      </c>
      <c r="CE104" s="62">
        <f t="shared" si="94"/>
        <v>328.70296497136366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2.6282051282051269</v>
      </c>
      <c r="CT104" s="13">
        <f>IF('Données projet'!$A$140&gt;35,CT103+CS104-DB103,IF(A104&lt;'Données projet'!$A$140,$CQ$205^A104,IF(A104='Données projet'!$A$140,'Données projet'!$B$140,CT103+CS104-DB103)))</f>
        <v>188.52564102564119</v>
      </c>
      <c r="CU104" s="18">
        <f>CT104*VLOOKUP('Données projet'!$B$13,Paramètres!$A$1:$I$89,3,0)*VLOOKUP('Données projet'!$B$13,Paramètres!$A$1:$I$89,5,0)</f>
        <v>179.40100000000018</v>
      </c>
      <c r="CV104" s="14">
        <f t="shared" si="95"/>
        <v>45.188893859860038</v>
      </c>
      <c r="CW104" s="22">
        <f t="shared" si="67"/>
        <v>391.16073180592321</v>
      </c>
      <c r="CX104" s="62">
        <f t="shared" si="68"/>
        <v>684.49406513925646</v>
      </c>
      <c r="CY104" s="62">
        <f ca="1">AVERAGE(OFFSET($CX$3,0,0,'Données projet'!$E$13+1,1))-AVERAGE(OFFSET($H$3,0,0,'Données projet'!$E$13+1,1))</f>
        <v>300.36889324671682</v>
      </c>
      <c r="CZ104" s="62">
        <f t="shared" si="96"/>
        <v>214.36051699039683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projet'!$B$9,Paramètres!$A$1:$I$89,3,0)*VLOOKUP('Données projet'!$B$9,Paramètres!$A$1:$I$89,5,0)</f>
        <v>294.9725999999996</v>
      </c>
      <c r="P105" s="14">
        <f t="shared" si="87"/>
        <v>70.121492942994351</v>
      </c>
      <c r="Q105" s="22">
        <f t="shared" si="107"/>
        <v>635.87221187571447</v>
      </c>
      <c r="R105" s="62">
        <f t="shared" si="55"/>
        <v>929.20554520904784</v>
      </c>
      <c r="S105" s="62">
        <f ca="1">AVERAGE(OFFSET($R$3,0,0,'Données projet'!$E$9+1,1))-AVERAGE(OFFSET($H$3,0,0,'Données projet'!$E$9+1,1))</f>
        <v>477.00263959594946</v>
      </c>
      <c r="T105" s="62">
        <f t="shared" si="88"/>
        <v>254.25036207346591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5.849230769230763</v>
      </c>
      <c r="AI105" s="14">
        <f>IF('Données projet'!$A$62&gt;35,AI104+AH105-AQ104,IF(A105&lt;'Données projet'!$A$62,$AF$205^A105,IF(A105='Données projet'!$A$62,'Données projet'!$B$62,AI104+AH105-AQ104)))</f>
        <v>217.09384615384553</v>
      </c>
      <c r="AJ105" s="14">
        <f>AI105*VLOOKUP('Données projet'!$B$10,Paramètres!$A$1:$I$89,3,0)*VLOOKUP('Données projet'!$B$10,Paramètres!$A$1:$I$89,5,0)</f>
        <v>101.59991999999971</v>
      </c>
      <c r="AK105" s="14">
        <f t="shared" si="89"/>
        <v>27.342803604001922</v>
      </c>
      <c r="AL105" s="22">
        <f t="shared" si="58"/>
        <v>224.57524361030281</v>
      </c>
      <c r="AM105" s="62">
        <f t="shared" si="59"/>
        <v>517.90857694363615</v>
      </c>
      <c r="AN105" s="62">
        <f ca="1">AVERAGE(OFFSET($AM$3,0,0,'Données projet'!$E$10+1,1))-AVERAGE(OFFSET($H$3,0,0,'Données projet'!$E$10+1,1))</f>
        <v>245.47494516762282</v>
      </c>
      <c r="AO105" s="62">
        <f t="shared" si="90"/>
        <v>145.54897745089966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4.7</v>
      </c>
      <c r="BD105" s="13">
        <f>IF('Données projet'!$A$88&gt;35,BD104+BC105-BL104,IF(A105&lt;'Données projet'!$A$88,$BA$205^A105,IF(A105='Données projet'!$A$88,'Données projet'!$B$88,BD104+BC105-BL104)))</f>
        <v>290.89999999999958</v>
      </c>
      <c r="BE105" s="14">
        <f>BD105*VLOOKUP('Données projet'!$B$11,Paramètres!$A$1:$I$89,3,0)*VLOOKUP('Données projet'!$B$11,Paramètres!$A$1:$I$89,5,0)</f>
        <v>263.20631999999961</v>
      </c>
      <c r="BF105" s="14">
        <f t="shared" si="91"/>
        <v>63.405347513378558</v>
      </c>
      <c r="BG105" s="22">
        <f t="shared" si="61"/>
        <v>568.84865425246687</v>
      </c>
      <c r="BH105" s="62">
        <f t="shared" si="62"/>
        <v>862.18198758580024</v>
      </c>
      <c r="BI105" s="62">
        <f ca="1">AVERAGE(OFFSET($BH$3,0,0,'Données projet'!$E$11+1,1))-AVERAGE(OFFSET($H$3,0,0,'Données projet'!$E$11+1,1))</f>
        <v>430.21146937947236</v>
      </c>
      <c r="BJ105" s="62">
        <f t="shared" si="92"/>
        <v>231.36959598460686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8.8675733422860506E-14</v>
      </c>
      <c r="CA105" s="14">
        <f t="shared" si="93"/>
        <v>1.3509285393066301E-12</v>
      </c>
      <c r="CB105" s="22">
        <f t="shared" si="64"/>
        <v>2.5073107750038623E-12</v>
      </c>
      <c r="CC105" s="62">
        <f t="shared" si="65"/>
        <v>293.33333333333582</v>
      </c>
      <c r="CD105" s="62">
        <f ca="1">AVERAGE(OFFSET($CC$3,0,0,'Données projet'!$E$12+1,1))-AVERAGE(OFFSET($H$3,0,0,'Données projet'!$E$12+1,1))</f>
        <v>299.07024205218266</v>
      </c>
      <c r="CE105" s="62">
        <f t="shared" si="94"/>
        <v>328.70296497136366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2.6282051282051269</v>
      </c>
      <c r="CT105" s="13">
        <f>IF('Données projet'!$A$140&gt;35,CT104+CS105-DB104,IF(A105&lt;'Données projet'!$A$140,$CQ$205^A105,IF(A105='Données projet'!$A$140,'Données projet'!$B$140,CT104+CS105-DB104)))</f>
        <v>191.15384615384633</v>
      </c>
      <c r="CU105" s="18">
        <f>CT105*VLOOKUP('Données projet'!$B$13,Paramètres!$A$1:$I$89,3,0)*VLOOKUP('Données projet'!$B$13,Paramètres!$A$1:$I$89,5,0)</f>
        <v>181.90200000000019</v>
      </c>
      <c r="CV105" s="14">
        <f t="shared" si="95"/>
        <v>45.745086906996853</v>
      </c>
      <c r="CW105" s="22">
        <f t="shared" si="67"/>
        <v>396.48534302968648</v>
      </c>
      <c r="CX105" s="62">
        <f t="shared" si="68"/>
        <v>689.81867636301979</v>
      </c>
      <c r="CY105" s="62">
        <f ca="1">AVERAGE(OFFSET($CX$3,0,0,'Données projet'!$E$13+1,1))-AVERAGE(OFFSET($H$3,0,0,'Données projet'!$E$13+1,1))</f>
        <v>300.36889324671682</v>
      </c>
      <c r="CZ105" s="62">
        <f t="shared" si="96"/>
        <v>214.36051699039683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projet'!$B$9,Paramètres!$A$1:$I$89,3,0)*VLOOKUP('Données projet'!$B$9,Paramètres!$A$1:$I$89,5,0)</f>
        <v>299.73839999999961</v>
      </c>
      <c r="P106" s="14">
        <f t="shared" si="87"/>
        <v>71.121619283394352</v>
      </c>
      <c r="Q106" s="22">
        <f t="shared" si="107"/>
        <v>645.91453358524438</v>
      </c>
      <c r="R106" s="62">
        <f t="shared" si="55"/>
        <v>939.24786691857776</v>
      </c>
      <c r="S106" s="62">
        <f ca="1">AVERAGE(OFFSET($R$3,0,0,'Données projet'!$E$9+1,1))-AVERAGE(OFFSET($H$3,0,0,'Données projet'!$E$9+1,1))</f>
        <v>477.00263959594946</v>
      </c>
      <c r="T106" s="62">
        <f t="shared" si="88"/>
        <v>254.25036207346591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5.849230769230763</v>
      </c>
      <c r="AI106" s="14">
        <f>IF('Données projet'!$A$62&gt;35,AI105+AH106-AQ105,IF(A106&lt;'Données projet'!$A$62,$AF$205^A106,IF(A106='Données projet'!$A$62,'Données projet'!$B$62,AI105+AH106-AQ105)))</f>
        <v>222.94307692307629</v>
      </c>
      <c r="AJ106" s="14">
        <f>AI106*VLOOKUP('Données projet'!$B$10,Paramètres!$A$1:$I$89,3,0)*VLOOKUP('Données projet'!$B$10,Paramètres!$A$1:$I$89,5,0)</f>
        <v>104.33735999999971</v>
      </c>
      <c r="AK106" s="14">
        <f t="shared" si="89"/>
        <v>27.992746473996831</v>
      </c>
      <c r="AL106" s="22">
        <f t="shared" si="58"/>
        <v>230.47493544221061</v>
      </c>
      <c r="AM106" s="62">
        <f t="shared" si="59"/>
        <v>523.80826877554387</v>
      </c>
      <c r="AN106" s="62">
        <f ca="1">AVERAGE(OFFSET($AM$3,0,0,'Données projet'!$E$10+1,1))-AVERAGE(OFFSET($H$3,0,0,'Données projet'!$E$10+1,1))</f>
        <v>245.47494516762282</v>
      </c>
      <c r="AO106" s="62">
        <f t="shared" si="90"/>
        <v>145.54897745089966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4.7</v>
      </c>
      <c r="BD106" s="13">
        <f>IF('Données projet'!$A$88&gt;35,BD105+BC106-BL105,IF(A106&lt;'Données projet'!$A$88,$BA$205^A106,IF(A106='Données projet'!$A$88,'Données projet'!$B$88,BD105+BC106-BL105)))</f>
        <v>295.59999999999957</v>
      </c>
      <c r="BE106" s="14">
        <f>BD106*VLOOKUP('Données projet'!$B$11,Paramètres!$A$1:$I$89,3,0)*VLOOKUP('Données projet'!$B$11,Paramètres!$A$1:$I$89,5,0)</f>
        <v>267.45887999999962</v>
      </c>
      <c r="BF106" s="14">
        <f t="shared" si="91"/>
        <v>64.309683053152327</v>
      </c>
      <c r="BG106" s="22">
        <f t="shared" si="61"/>
        <v>577.83024731757303</v>
      </c>
      <c r="BH106" s="62">
        <f t="shared" si="62"/>
        <v>871.1635806509064</v>
      </c>
      <c r="BI106" s="62">
        <f ca="1">AVERAGE(OFFSET($BH$3,0,0,'Données projet'!$E$11+1,1))-AVERAGE(OFFSET($H$3,0,0,'Données projet'!$E$11+1,1))</f>
        <v>430.21146937947236</v>
      </c>
      <c r="BJ106" s="62">
        <f t="shared" si="92"/>
        <v>231.36959598460686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8.8675733422860506E-14</v>
      </c>
      <c r="CA106" s="14">
        <f t="shared" si="93"/>
        <v>1.3509285393066301E-12</v>
      </c>
      <c r="CB106" s="22">
        <f t="shared" si="64"/>
        <v>2.5073107750038623E-12</v>
      </c>
      <c r="CC106" s="62">
        <f t="shared" si="65"/>
        <v>293.33333333333582</v>
      </c>
      <c r="CD106" s="62">
        <f ca="1">AVERAGE(OFFSET($CC$3,0,0,'Données projet'!$E$12+1,1))-AVERAGE(OFFSET($H$3,0,0,'Données projet'!$E$12+1,1))</f>
        <v>299.07024205218266</v>
      </c>
      <c r="CE106" s="62">
        <f t="shared" si="94"/>
        <v>328.70296497136366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2.6282051282051269</v>
      </c>
      <c r="CT106" s="13">
        <f>IF('Données projet'!$A$140&gt;35,CT105+CS106-DB105,IF(A106&lt;'Données projet'!$A$140,$CQ$205^A106,IF(A106='Données projet'!$A$140,'Données projet'!$B$140,CT105+CS106-DB105)))</f>
        <v>193.78205128205147</v>
      </c>
      <c r="CU106" s="18">
        <f>CT106*VLOOKUP('Données projet'!$B$13,Paramètres!$A$1:$I$89,3,0)*VLOOKUP('Données projet'!$B$13,Paramètres!$A$1:$I$89,5,0)</f>
        <v>184.40300000000019</v>
      </c>
      <c r="CV106" s="14">
        <f t="shared" si="95"/>
        <v>46.300390503711469</v>
      </c>
      <c r="CW106" s="22">
        <f t="shared" si="67"/>
        <v>401.80840512729782</v>
      </c>
      <c r="CX106" s="62">
        <f t="shared" si="68"/>
        <v>695.14173846063113</v>
      </c>
      <c r="CY106" s="62">
        <f ca="1">AVERAGE(OFFSET($CX$3,0,0,'Données projet'!$E$13+1,1))-AVERAGE(OFFSET($H$3,0,0,'Données projet'!$E$13+1,1))</f>
        <v>300.36889324671682</v>
      </c>
      <c r="CZ106" s="62">
        <f t="shared" si="96"/>
        <v>214.36051699039683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projet'!$B$9,Paramètres!$A$1:$I$89,3,0)*VLOOKUP('Données projet'!$B$9,Paramètres!$A$1:$I$89,5,0)</f>
        <v>304.50419999999957</v>
      </c>
      <c r="P107" s="14">
        <f t="shared" si="87"/>
        <v>72.11989627512429</v>
      </c>
      <c r="Q107" s="22">
        <f t="shared" si="107"/>
        <v>655.95363434584067</v>
      </c>
      <c r="R107" s="62">
        <f t="shared" si="55"/>
        <v>949.28696767917404</v>
      </c>
      <c r="S107" s="62">
        <f ca="1">AVERAGE(OFFSET($R$3,0,0,'Données projet'!$E$9+1,1))-AVERAGE(OFFSET($H$3,0,0,'Données projet'!$E$9+1,1))</f>
        <v>477.00263959594946</v>
      </c>
      <c r="T107" s="62">
        <f t="shared" si="88"/>
        <v>254.25036207346591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>
        <f>VLOOKUP(A107,'Données projet'!$A$61:$I$81,2,0)</f>
        <v>228.7923076923077</v>
      </c>
      <c r="AG107" s="13">
        <f>VLOOKUP(A107,'Données projet'!$A$61:$I$81,9,0)</f>
        <v>5.849230769230763</v>
      </c>
      <c r="AH107" s="13">
        <f t="array" ref="AH107">INDEX(AG:AG,MIN(IF(ISNUMBER(AG107:AG303),ROW(AG107:AG303),"")))</f>
        <v>5.849230769230763</v>
      </c>
      <c r="AI107" s="14">
        <f>IF('Données projet'!$A$62&gt;35,AI106+AH107-AQ106,IF(A107&lt;'Données projet'!$A$62,$AF$205^A107,IF(A107='Données projet'!$A$62,'Données projet'!$B$62,AI106+AH107-AQ106)))</f>
        <v>228.79230769230705</v>
      </c>
      <c r="AJ107" s="14">
        <f>AI107*VLOOKUP('Données projet'!$B$10,Paramètres!$A$1:$I$89,3,0)*VLOOKUP('Données projet'!$B$10,Paramètres!$A$1:$I$89,5,0)</f>
        <v>107.0747999999997</v>
      </c>
      <c r="AK107" s="14">
        <f t="shared" si="89"/>
        <v>28.640707257492455</v>
      </c>
      <c r="AL107" s="22">
        <f t="shared" si="58"/>
        <v>236.37117514013221</v>
      </c>
      <c r="AM107" s="62">
        <f t="shared" si="59"/>
        <v>529.70450847346547</v>
      </c>
      <c r="AN107" s="62">
        <f ca="1">AVERAGE(OFFSET($AM$3,0,0,'Données projet'!$E$10+1,1))-AVERAGE(OFFSET($H$3,0,0,'Données projet'!$E$10+1,1))</f>
        <v>245.47494516762282</v>
      </c>
      <c r="AO107" s="62">
        <f t="shared" si="90"/>
        <v>145.54897745089966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4.7</v>
      </c>
      <c r="BD107" s="13">
        <f>IF('Données projet'!$A$88&gt;35,BD106+BC107-BL106,IF(A107&lt;'Données projet'!$A$88,$BA$205^A107,IF(A107='Données projet'!$A$88,'Données projet'!$B$88,BD106+BC107-BL106)))</f>
        <v>300.29999999999956</v>
      </c>
      <c r="BE107" s="14">
        <f>BD107*VLOOKUP('Données projet'!$B$11,Paramètres!$A$1:$I$89,3,0)*VLOOKUP('Données projet'!$B$11,Paramètres!$A$1:$I$89,5,0)</f>
        <v>271.71143999999958</v>
      </c>
      <c r="BF107" s="14">
        <f t="shared" si="91"/>
        <v>65.212346372467266</v>
      </c>
      <c r="BG107" s="22">
        <f t="shared" si="61"/>
        <v>586.80892793204634</v>
      </c>
      <c r="BH107" s="62">
        <f t="shared" si="62"/>
        <v>880.1422612653796</v>
      </c>
      <c r="BI107" s="62">
        <f ca="1">AVERAGE(OFFSET($BH$3,0,0,'Données projet'!$E$11+1,1))-AVERAGE(OFFSET($H$3,0,0,'Données projet'!$E$11+1,1))</f>
        <v>430.21146937947236</v>
      </c>
      <c r="BJ107" s="62">
        <f t="shared" si="92"/>
        <v>231.36959598460686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8.8675733422860506E-14</v>
      </c>
      <c r="CA107" s="14">
        <f t="shared" si="93"/>
        <v>1.3509285393066301E-12</v>
      </c>
      <c r="CB107" s="22">
        <f t="shared" si="64"/>
        <v>2.5073107750038623E-12</v>
      </c>
      <c r="CC107" s="62">
        <f t="shared" si="65"/>
        <v>293.33333333333582</v>
      </c>
      <c r="CD107" s="62">
        <f ca="1">AVERAGE(OFFSET($CC$3,0,0,'Données projet'!$E$12+1,1))-AVERAGE(OFFSET($H$3,0,0,'Données projet'!$E$12+1,1))</f>
        <v>299.07024205218266</v>
      </c>
      <c r="CE107" s="62">
        <f t="shared" si="94"/>
        <v>328.70296497136366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2.6282051282051269</v>
      </c>
      <c r="CT107" s="13">
        <f>IF('Données projet'!$A$140&gt;35,CT106+CS107-DB106,IF(A107&lt;'Données projet'!$A$140,$CQ$205^A107,IF(A107='Données projet'!$A$140,'Données projet'!$B$140,CT106+CS107-DB106)))</f>
        <v>196.41025641025661</v>
      </c>
      <c r="CU107" s="18">
        <f>CT107*VLOOKUP('Données projet'!$B$13,Paramètres!$A$1:$I$89,3,0)*VLOOKUP('Données projet'!$B$13,Paramètres!$A$1:$I$89,5,0)</f>
        <v>186.9040000000002</v>
      </c>
      <c r="CV107" s="14">
        <f t="shared" si="95"/>
        <v>46.854818107718259</v>
      </c>
      <c r="CW107" s="22">
        <f t="shared" si="67"/>
        <v>407.12994153760968</v>
      </c>
      <c r="CX107" s="62">
        <f t="shared" si="68"/>
        <v>700.463274870943</v>
      </c>
      <c r="CY107" s="62">
        <f ca="1">AVERAGE(OFFSET($CX$3,0,0,'Données projet'!$E$13+1,1))-AVERAGE(OFFSET($H$3,0,0,'Données projet'!$E$13+1,1))</f>
        <v>300.36889324671682</v>
      </c>
      <c r="CZ107" s="62">
        <f t="shared" si="96"/>
        <v>214.36051699039683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projet'!$B$9,Paramètres!$A$1:$I$89,3,0)*VLOOKUP('Données projet'!$B$9,Paramètres!$A$1:$I$89,5,0)</f>
        <v>309.26999999999958</v>
      </c>
      <c r="P108" s="14">
        <f t="shared" si="87"/>
        <v>73.116356204710968</v>
      </c>
      <c r="Q108" s="22">
        <f t="shared" si="107"/>
        <v>665.98957038987078</v>
      </c>
      <c r="R108" s="62">
        <f t="shared" si="55"/>
        <v>959.32290372320404</v>
      </c>
      <c r="S108" s="62">
        <f ca="1">AVERAGE(OFFSET($R$3,0,0,'Données projet'!$E$9+1,1))-AVERAGE(OFFSET($H$3,0,0,'Données projet'!$E$9+1,1))</f>
        <v>477.00263959594946</v>
      </c>
      <c r="T108" s="62">
        <f t="shared" si="88"/>
        <v>254.25036207346591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5.4600000000000026</v>
      </c>
      <c r="AI108" s="14">
        <f>IF('Données projet'!$A$62&gt;35,AI107+AH108-AQ107,IF(A108&lt;'Données projet'!$A$62,$AF$205^A108,IF(A108='Données projet'!$A$62,'Données projet'!$B$62,AI107+AH108-AQ107)))</f>
        <v>234.25230769230706</v>
      </c>
      <c r="AJ108" s="14">
        <f>AI108*VLOOKUP('Données projet'!$B$10,Paramètres!$A$1:$I$89,3,0)*VLOOKUP('Données projet'!$B$10,Paramètres!$A$1:$I$89,5,0)</f>
        <v>109.63007999999969</v>
      </c>
      <c r="AK108" s="14">
        <f t="shared" si="89"/>
        <v>29.243811455610157</v>
      </c>
      <c r="AL108" s="22">
        <f t="shared" si="58"/>
        <v>241.87202761852049</v>
      </c>
      <c r="AM108" s="62">
        <f t="shared" si="59"/>
        <v>535.20536095185378</v>
      </c>
      <c r="AN108" s="62">
        <f ca="1">AVERAGE(OFFSET($AM$3,0,0,'Données projet'!$E$10+1,1))-AVERAGE(OFFSET($H$3,0,0,'Données projet'!$E$10+1,1))</f>
        <v>245.47494516762282</v>
      </c>
      <c r="AO108" s="62">
        <f t="shared" si="90"/>
        <v>145.54897745089966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305</v>
      </c>
      <c r="BB108" s="13">
        <f>VLOOKUP(A108,'Données projet'!$A$87:$I$107,9,0)</f>
        <v>4.7</v>
      </c>
      <c r="BC108" s="13">
        <f t="array" ref="BC108">INDEX(BB:BB,MIN(IF(ISNUMBER(BB108:BB304),ROW(BB108:BB304),"")))</f>
        <v>4.7</v>
      </c>
      <c r="BD108" s="13">
        <f>IF('Données projet'!$A$88&gt;35,BD107+BC108-BL107,IF(A108&lt;'Données projet'!$A$88,$BA$205^A108,IF(A108='Données projet'!$A$88,'Données projet'!$B$88,BD107+BC108-BL107)))</f>
        <v>304.99999999999955</v>
      </c>
      <c r="BE108" s="14">
        <f>BD108*VLOOKUP('Données projet'!$B$11,Paramètres!$A$1:$I$89,3,0)*VLOOKUP('Données projet'!$B$11,Paramètres!$A$1:$I$89,5,0)</f>
        <v>275.9639999999996</v>
      </c>
      <c r="BF108" s="14">
        <f t="shared" si="91"/>
        <v>66.113366665488797</v>
      </c>
      <c r="BG108" s="22">
        <f t="shared" si="61"/>
        <v>595.7847469423923</v>
      </c>
      <c r="BH108" s="62">
        <f t="shared" si="62"/>
        <v>889.11808027572556</v>
      </c>
      <c r="BI108" s="62">
        <f ca="1">AVERAGE(OFFSET($BH$3,0,0,'Données projet'!$E$11+1,1))-AVERAGE(OFFSET($H$3,0,0,'Données projet'!$E$11+1,1))</f>
        <v>430.21146937947236</v>
      </c>
      <c r="BJ108" s="62">
        <f t="shared" si="92"/>
        <v>231.36959598460686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41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8.8675733422860506E-14</v>
      </c>
      <c r="CA108" s="14">
        <f t="shared" si="93"/>
        <v>1.3509285393066301E-12</v>
      </c>
      <c r="CB108" s="22">
        <f t="shared" si="64"/>
        <v>2.5073107750038623E-12</v>
      </c>
      <c r="CC108" s="62">
        <f t="shared" si="65"/>
        <v>293.33333333333582</v>
      </c>
      <c r="CD108" s="62">
        <f ca="1">AVERAGE(OFFSET($CC$3,0,0,'Données projet'!$E$12+1,1))-AVERAGE(OFFSET($H$3,0,0,'Données projet'!$E$12+1,1))</f>
        <v>299.07024205218266</v>
      </c>
      <c r="CE108" s="62">
        <f t="shared" si="94"/>
        <v>328.70296497136366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2.6282051282051269</v>
      </c>
      <c r="CT108" s="13">
        <f>IF('Données projet'!$A$140&gt;35,CT107+CS108-DB107,IF(A108&lt;'Données projet'!$A$140,$CQ$205^A108,IF(A108='Données projet'!$A$140,'Données projet'!$B$140,CT107+CS108-DB107)))</f>
        <v>199.03846153846175</v>
      </c>
      <c r="CU108" s="18">
        <f>CT108*VLOOKUP('Données projet'!$B$13,Paramètres!$A$1:$I$89,3,0)*VLOOKUP('Données projet'!$B$13,Paramètres!$A$1:$I$89,5,0)</f>
        <v>189.4050000000002</v>
      </c>
      <c r="CV108" s="14">
        <f t="shared" si="95"/>
        <v>47.408382795872527</v>
      </c>
      <c r="CW108" s="22">
        <f t="shared" si="67"/>
        <v>412.44997503614496</v>
      </c>
      <c r="CX108" s="62">
        <f t="shared" si="68"/>
        <v>705.78330836947828</v>
      </c>
      <c r="CY108" s="62">
        <f ca="1">AVERAGE(OFFSET($CX$3,0,0,'Données projet'!$E$13+1,1))-AVERAGE(OFFSET($H$3,0,0,'Données projet'!$E$13+1,1))</f>
        <v>300.36889324671682</v>
      </c>
      <c r="CZ108" s="62">
        <f t="shared" si="96"/>
        <v>214.36051699039683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projet'!$B$9,Paramètres!$A$1:$I$89,3,0)*VLOOKUP('Données projet'!$B$9,Paramètres!$A$1:$I$89,5,0)</f>
        <v>271.75199999999955</v>
      </c>
      <c r="P109" s="14">
        <f t="shared" si="87"/>
        <v>65.22094782472486</v>
      </c>
      <c r="Q109" s="22">
        <f t="shared" si="107"/>
        <v>586.89455079472839</v>
      </c>
      <c r="R109" s="62">
        <f t="shared" si="55"/>
        <v>880.22788412806176</v>
      </c>
      <c r="S109" s="62">
        <f ca="1">AVERAGE(OFFSET($R$3,0,0,'Données projet'!$E$9+1,1))-AVERAGE(OFFSET($H$3,0,0,'Données projet'!$E$9+1,1))</f>
        <v>477.00263959594946</v>
      </c>
      <c r="T109" s="62">
        <f t="shared" si="88"/>
        <v>254.25036207346591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5.4600000000000026</v>
      </c>
      <c r="AI109" s="14">
        <f>IF('Données projet'!$A$62&gt;35,AI108+AH109-AQ108,IF(A109&lt;'Données projet'!$A$62,$AF$205^A109,IF(A109='Données projet'!$A$62,'Données projet'!$B$62,AI108+AH109-AQ108)))</f>
        <v>239.71230769230706</v>
      </c>
      <c r="AJ109" s="14">
        <f>AI109*VLOOKUP('Données projet'!$B$10,Paramètres!$A$1:$I$89,3,0)*VLOOKUP('Données projet'!$B$10,Paramètres!$A$1:$I$89,5,0)</f>
        <v>112.1853599999997</v>
      </c>
      <c r="AK109" s="14">
        <f t="shared" si="89"/>
        <v>29.84528144827167</v>
      </c>
      <c r="AL109" s="22">
        <f t="shared" si="58"/>
        <v>247.37003385573931</v>
      </c>
      <c r="AM109" s="62">
        <f t="shared" si="59"/>
        <v>540.70336718907265</v>
      </c>
      <c r="AN109" s="62">
        <f ca="1">AVERAGE(OFFSET($AM$3,0,0,'Données projet'!$E$10+1,1))-AVERAGE(OFFSET($H$3,0,0,'Données projet'!$E$10+1,1))</f>
        <v>245.47494516762282</v>
      </c>
      <c r="AO109" s="62">
        <f t="shared" si="90"/>
        <v>145.54897745089966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</v>
      </c>
      <c r="BD109" s="13">
        <f>IF('Données projet'!$A$88&gt;35,BD108+BC109-BL108,IF(A109&lt;'Données projet'!$A$88,$BA$205^A109,IF(A109='Données projet'!$A$88,'Données projet'!$B$88,BD108+BC109-BL108)))</f>
        <v>267.99999999999955</v>
      </c>
      <c r="BE109" s="14">
        <f>BD109*VLOOKUP('Données projet'!$B$11,Paramètres!$A$1:$I$89,3,0)*VLOOKUP('Données projet'!$B$11,Paramètres!$A$1:$I$89,5,0)</f>
        <v>242.48639999999955</v>
      </c>
      <c r="BF109" s="14">
        <f t="shared" si="91"/>
        <v>58.97417023537232</v>
      </c>
      <c r="BG109" s="22">
        <f t="shared" si="61"/>
        <v>525.0438264932726</v>
      </c>
      <c r="BH109" s="62">
        <f t="shared" si="62"/>
        <v>818.37715982660598</v>
      </c>
      <c r="BI109" s="62">
        <f ca="1">AVERAGE(OFFSET($BH$3,0,0,'Données projet'!$E$11+1,1))-AVERAGE(OFFSET($H$3,0,0,'Données projet'!$E$11+1,1))</f>
        <v>430.21146937947236</v>
      </c>
      <c r="BJ109" s="62">
        <f t="shared" si="92"/>
        <v>231.36959598460686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8.8675733422860506E-14</v>
      </c>
      <c r="CA109" s="14">
        <f t="shared" si="93"/>
        <v>1.3509285393066301E-12</v>
      </c>
      <c r="CB109" s="22">
        <f t="shared" si="64"/>
        <v>2.5073107750038623E-12</v>
      </c>
      <c r="CC109" s="62">
        <f t="shared" si="65"/>
        <v>293.33333333333582</v>
      </c>
      <c r="CD109" s="62">
        <f ca="1">AVERAGE(OFFSET($CC$3,0,0,'Données projet'!$E$12+1,1))-AVERAGE(OFFSET($H$3,0,0,'Données projet'!$E$12+1,1))</f>
        <v>299.07024205218266</v>
      </c>
      <c r="CE109" s="62">
        <f t="shared" si="94"/>
        <v>328.70296497136366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2.6282051282051269</v>
      </c>
      <c r="CT109" s="13">
        <f>IF('Données projet'!$A$140&gt;35,CT108+CS109-DB108,IF(A109&lt;'Données projet'!$A$140,$CQ$205^A109,IF(A109='Données projet'!$A$140,'Données projet'!$B$140,CT108+CS109-DB108)))</f>
        <v>201.66666666666688</v>
      </c>
      <c r="CU109" s="18">
        <f>CT109*VLOOKUP('Données projet'!$B$13,Paramètres!$A$1:$I$89,3,0)*VLOOKUP('Données projet'!$B$13,Paramètres!$A$1:$I$89,5,0)</f>
        <v>191.9060000000002</v>
      </c>
      <c r="CV109" s="14">
        <f t="shared" si="95"/>
        <v>47.961097279832373</v>
      </c>
      <c r="CW109" s="22">
        <f t="shared" si="67"/>
        <v>417.76852776237507</v>
      </c>
      <c r="CX109" s="62">
        <f t="shared" si="68"/>
        <v>711.10186109570839</v>
      </c>
      <c r="CY109" s="62">
        <f ca="1">AVERAGE(OFFSET($CX$3,0,0,'Données projet'!$E$13+1,1))-AVERAGE(OFFSET($H$3,0,0,'Données projet'!$E$13+1,1))</f>
        <v>300.36889324671682</v>
      </c>
      <c r="CZ109" s="62">
        <f t="shared" si="96"/>
        <v>214.36051699039683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projet'!$B$9,Paramètres!$A$1:$I$89,3,0)*VLOOKUP('Données projet'!$B$9,Paramètres!$A$1:$I$89,5,0)</f>
        <v>275.80799999999954</v>
      </c>
      <c r="P110" s="14">
        <f t="shared" si="87"/>
        <v>66.080342531440536</v>
      </c>
      <c r="Q110" s="22">
        <f t="shared" si="107"/>
        <v>595.45552990892475</v>
      </c>
      <c r="R110" s="62">
        <f t="shared" si="55"/>
        <v>888.788863242258</v>
      </c>
      <c r="S110" s="62">
        <f ca="1">AVERAGE(OFFSET($R$3,0,0,'Données projet'!$E$9+1,1))-AVERAGE(OFFSET($H$3,0,0,'Données projet'!$E$9+1,1))</f>
        <v>477.00263959594946</v>
      </c>
      <c r="T110" s="62">
        <f t="shared" si="88"/>
        <v>254.25036207346591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5.4600000000000026</v>
      </c>
      <c r="AI110" s="14">
        <f>IF('Données projet'!$A$62&gt;35,AI109+AH110-AQ109,IF(A110&lt;'Données projet'!$A$62,$AF$205^A110,IF(A110='Données projet'!$A$62,'Données projet'!$B$62,AI109+AH110-AQ109)))</f>
        <v>245.17230769230707</v>
      </c>
      <c r="AJ110" s="14">
        <f>AI110*VLOOKUP('Données projet'!$B$10,Paramètres!$A$1:$I$89,3,0)*VLOOKUP('Données projet'!$B$10,Paramètres!$A$1:$I$89,5,0)</f>
        <v>114.74063999999971</v>
      </c>
      <c r="AK110" s="14">
        <f t="shared" si="89"/>
        <v>30.445158743218197</v>
      </c>
      <c r="AL110" s="22">
        <f t="shared" si="58"/>
        <v>252.86526614443781</v>
      </c>
      <c r="AM110" s="62">
        <f t="shared" si="59"/>
        <v>546.19859947777115</v>
      </c>
      <c r="AN110" s="62">
        <f ca="1">AVERAGE(OFFSET($AM$3,0,0,'Données projet'!$E$10+1,1))-AVERAGE(OFFSET($H$3,0,0,'Données projet'!$E$10+1,1))</f>
        <v>245.47494516762282</v>
      </c>
      <c r="AO110" s="62">
        <f t="shared" si="90"/>
        <v>145.54897745089966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</v>
      </c>
      <c r="BD110" s="13">
        <f>IF('Données projet'!$A$88&gt;35,BD109+BC110-BL109,IF(A110&lt;'Données projet'!$A$88,$BA$205^A110,IF(A110='Données projet'!$A$88,'Données projet'!$B$88,BD109+BC110-BL109)))</f>
        <v>271.99999999999955</v>
      </c>
      <c r="BE110" s="14">
        <f>BD110*VLOOKUP('Données projet'!$B$11,Paramètres!$A$1:$I$89,3,0)*VLOOKUP('Données projet'!$B$11,Paramètres!$A$1:$I$89,5,0)</f>
        <v>246.10559999999958</v>
      </c>
      <c r="BF110" s="14">
        <f t="shared" si="91"/>
        <v>59.751253234371873</v>
      </c>
      <c r="BG110" s="22">
        <f t="shared" si="61"/>
        <v>532.70068604986363</v>
      </c>
      <c r="BH110" s="62">
        <f t="shared" si="62"/>
        <v>826.03401938319689</v>
      </c>
      <c r="BI110" s="62">
        <f ca="1">AVERAGE(OFFSET($BH$3,0,0,'Données projet'!$E$11+1,1))-AVERAGE(OFFSET($H$3,0,0,'Données projet'!$E$11+1,1))</f>
        <v>430.21146937947236</v>
      </c>
      <c r="BJ110" s="62">
        <f t="shared" si="92"/>
        <v>231.36959598460686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8.8675733422860506E-14</v>
      </c>
      <c r="CA110" s="14">
        <f t="shared" si="93"/>
        <v>1.3509285393066301E-12</v>
      </c>
      <c r="CB110" s="22">
        <f t="shared" si="64"/>
        <v>2.5073107750038623E-12</v>
      </c>
      <c r="CC110" s="62">
        <f t="shared" si="65"/>
        <v>293.33333333333582</v>
      </c>
      <c r="CD110" s="62">
        <f ca="1">AVERAGE(OFFSET($CC$3,0,0,'Données projet'!$E$12+1,1))-AVERAGE(OFFSET($H$3,0,0,'Données projet'!$E$12+1,1))</f>
        <v>299.07024205218266</v>
      </c>
      <c r="CE110" s="62">
        <f t="shared" si="94"/>
        <v>328.70296497136366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2.6282051282051269</v>
      </c>
      <c r="CT110" s="13">
        <f>IF('Données projet'!$A$140&gt;35,CT109+CS110-DB109,IF(A110&lt;'Données projet'!$A$140,$CQ$205^A110,IF(A110='Données projet'!$A$140,'Données projet'!$B$140,CT109+CS110-DB109)))</f>
        <v>204.29487179487202</v>
      </c>
      <c r="CU110" s="18">
        <f>CT110*VLOOKUP('Données projet'!$B$13,Paramètres!$A$1:$I$89,3,0)*VLOOKUP('Données projet'!$B$13,Paramètres!$A$1:$I$89,5,0)</f>
        <v>194.40700000000021</v>
      </c>
      <c r="CV110" s="14">
        <f t="shared" si="95"/>
        <v>48.512973920881578</v>
      </c>
      <c r="CW110" s="22">
        <f t="shared" si="67"/>
        <v>423.08562124553572</v>
      </c>
      <c r="CX110" s="62">
        <f t="shared" si="68"/>
        <v>716.41895457886903</v>
      </c>
      <c r="CY110" s="62">
        <f ca="1">AVERAGE(OFFSET($CX$3,0,0,'Données projet'!$E$13+1,1))-AVERAGE(OFFSET($H$3,0,0,'Données projet'!$E$13+1,1))</f>
        <v>300.36889324671682</v>
      </c>
      <c r="CZ110" s="62">
        <f t="shared" si="96"/>
        <v>214.36051699039683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projet'!$B$9,Paramètres!$A$1:$I$89,3,0)*VLOOKUP('Données projet'!$B$9,Paramètres!$A$1:$I$89,5,0)</f>
        <v>279.86399999999958</v>
      </c>
      <c r="P111" s="14">
        <f t="shared" si="87"/>
        <v>66.93826735896495</v>
      </c>
      <c r="Q111" s="22">
        <f t="shared" si="107"/>
        <v>604.01394898352987</v>
      </c>
      <c r="R111" s="62">
        <f t="shared" si="55"/>
        <v>897.34728231686313</v>
      </c>
      <c r="S111" s="62">
        <f ca="1">AVERAGE(OFFSET($R$3,0,0,'Données projet'!$E$9+1,1))-AVERAGE(OFFSET($H$3,0,0,'Données projet'!$E$9+1,1))</f>
        <v>477.00263959594946</v>
      </c>
      <c r="T111" s="62">
        <f t="shared" si="88"/>
        <v>254.25036207346591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5.4600000000000026</v>
      </c>
      <c r="AI111" s="14">
        <f>IF('Données projet'!$A$62&gt;35,AI110+AH111-AQ110,IF(A111&lt;'Données projet'!$A$62,$AF$205^A111,IF(A111='Données projet'!$A$62,'Données projet'!$B$62,AI110+AH111-AQ110)))</f>
        <v>250.63230769230708</v>
      </c>
      <c r="AJ111" s="14">
        <f>AI111*VLOOKUP('Données projet'!$B$10,Paramètres!$A$1:$I$89,3,0)*VLOOKUP('Données projet'!$B$10,Paramètres!$A$1:$I$89,5,0)</f>
        <v>117.29591999999971</v>
      </c>
      <c r="AK111" s="14">
        <f t="shared" si="89"/>
        <v>31.043482893881698</v>
      </c>
      <c r="AL111" s="22">
        <f t="shared" si="58"/>
        <v>258.35779337351011</v>
      </c>
      <c r="AM111" s="62">
        <f t="shared" si="59"/>
        <v>551.69112670684342</v>
      </c>
      <c r="AN111" s="62">
        <f ca="1">AVERAGE(OFFSET($AM$3,0,0,'Données projet'!$E$10+1,1))-AVERAGE(OFFSET($H$3,0,0,'Données projet'!$E$10+1,1))</f>
        <v>245.47494516762282</v>
      </c>
      <c r="AO111" s="62">
        <f t="shared" si="90"/>
        <v>145.54897745089966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</v>
      </c>
      <c r="BD111" s="13">
        <f>IF('Données projet'!$A$88&gt;35,BD110+BC111-BL110,IF(A111&lt;'Données projet'!$A$88,$BA$205^A111,IF(A111='Données projet'!$A$88,'Données projet'!$B$88,BD110+BC111-BL110)))</f>
        <v>275.99999999999955</v>
      </c>
      <c r="BE111" s="14">
        <f>BD111*VLOOKUP('Données projet'!$B$11,Paramètres!$A$1:$I$89,3,0)*VLOOKUP('Données projet'!$B$11,Paramètres!$A$1:$I$89,5,0)</f>
        <v>249.72479999999959</v>
      </c>
      <c r="BF111" s="14">
        <f t="shared" si="91"/>
        <v>60.527007137298092</v>
      </c>
      <c r="BG111" s="22">
        <f t="shared" si="61"/>
        <v>540.35523076412676</v>
      </c>
      <c r="BH111" s="62">
        <f t="shared" si="62"/>
        <v>833.68856409746013</v>
      </c>
      <c r="BI111" s="62">
        <f ca="1">AVERAGE(OFFSET($BH$3,0,0,'Données projet'!$E$11+1,1))-AVERAGE(OFFSET($H$3,0,0,'Données projet'!$E$11+1,1))</f>
        <v>430.21146937947236</v>
      </c>
      <c r="BJ111" s="62">
        <f t="shared" si="92"/>
        <v>231.36959598460686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8.8675733422860506E-14</v>
      </c>
      <c r="CA111" s="14">
        <f t="shared" si="93"/>
        <v>1.3509285393066301E-12</v>
      </c>
      <c r="CB111" s="22">
        <f t="shared" si="64"/>
        <v>2.5073107750038623E-12</v>
      </c>
      <c r="CC111" s="62">
        <f t="shared" si="65"/>
        <v>293.33333333333582</v>
      </c>
      <c r="CD111" s="62">
        <f ca="1">AVERAGE(OFFSET($CC$3,0,0,'Données projet'!$E$12+1,1))-AVERAGE(OFFSET($H$3,0,0,'Données projet'!$E$12+1,1))</f>
        <v>299.07024205218266</v>
      </c>
      <c r="CE111" s="62">
        <f t="shared" si="94"/>
        <v>328.70296497136366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2.6282051282051269</v>
      </c>
      <c r="CT111" s="13">
        <f>IF('Données projet'!$A$140&gt;35,CT110+CS111-DB110,IF(A111&lt;'Données projet'!$A$140,$CQ$205^A111,IF(A111='Données projet'!$A$140,'Données projet'!$B$140,CT110+CS111-DB110)))</f>
        <v>206.92307692307716</v>
      </c>
      <c r="CU111" s="18">
        <f>CT111*VLOOKUP('Données projet'!$B$13,Paramètres!$A$1:$I$89,3,0)*VLOOKUP('Données projet'!$B$13,Paramètres!$A$1:$I$89,5,0)</f>
        <v>196.90800000000021</v>
      </c>
      <c r="CV111" s="14">
        <f t="shared" si="95"/>
        <v>49.064024743967735</v>
      </c>
      <c r="CW111" s="22">
        <f t="shared" si="67"/>
        <v>428.40127642907754</v>
      </c>
      <c r="CX111" s="62">
        <f t="shared" si="68"/>
        <v>721.73460976241086</v>
      </c>
      <c r="CY111" s="62">
        <f ca="1">AVERAGE(OFFSET($CX$3,0,0,'Données projet'!$E$13+1,1))-AVERAGE(OFFSET($H$3,0,0,'Données projet'!$E$13+1,1))</f>
        <v>300.36889324671682</v>
      </c>
      <c r="CZ111" s="62">
        <f t="shared" si="96"/>
        <v>214.36051699039683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projet'!$B$9,Paramètres!$A$1:$I$89,3,0)*VLOOKUP('Données projet'!$B$9,Paramètres!$A$1:$I$89,5,0)</f>
        <v>283.91999999999956</v>
      </c>
      <c r="P112" s="14">
        <f t="shared" si="87"/>
        <v>67.794746071143507</v>
      </c>
      <c r="Q112" s="22">
        <f t="shared" si="107"/>
        <v>612.56984940724078</v>
      </c>
      <c r="R112" s="62">
        <f t="shared" si="55"/>
        <v>905.90318274057404</v>
      </c>
      <c r="S112" s="62">
        <f ca="1">AVERAGE(OFFSET($R$3,0,0,'Données projet'!$E$9+1,1))-AVERAGE(OFFSET($H$3,0,0,'Données projet'!$E$9+1,1))</f>
        <v>477.00263959594946</v>
      </c>
      <c r="T112" s="62">
        <f t="shared" si="88"/>
        <v>254.25036207346591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>
        <f>VLOOKUP(A112,'Données projet'!$A$61:$I$81,2,0)</f>
        <v>256.09230769230771</v>
      </c>
      <c r="AG112" s="13">
        <f>VLOOKUP(A112,'Données projet'!$A$61:$I$81,9,0)</f>
        <v>5.4600000000000026</v>
      </c>
      <c r="AH112" s="13">
        <f t="array" ref="AH112">INDEX(AG:AG,MIN(IF(ISNUMBER(AG112:AG308),ROW(AG112:AG308),"")))</f>
        <v>5.4600000000000026</v>
      </c>
      <c r="AI112" s="14">
        <f>IF('Données projet'!$A$62&gt;35,AI111+AH112-AQ111,IF(A112&lt;'Données projet'!$A$62,$AF$205^A112,IF(A112='Données projet'!$A$62,'Données projet'!$B$62,AI111+AH112-AQ111)))</f>
        <v>256.09230769230709</v>
      </c>
      <c r="AJ112" s="14">
        <f>AI112*VLOOKUP('Données projet'!$B$10,Paramètres!$A$1:$I$89,3,0)*VLOOKUP('Données projet'!$B$10,Paramètres!$A$1:$I$89,5,0)</f>
        <v>119.85119999999972</v>
      </c>
      <c r="AK112" s="14">
        <f t="shared" si="89"/>
        <v>31.640291631938162</v>
      </c>
      <c r="AL112" s="22">
        <f t="shared" si="58"/>
        <v>263.84768125895852</v>
      </c>
      <c r="AM112" s="62">
        <f t="shared" si="59"/>
        <v>557.18101459229183</v>
      </c>
      <c r="AN112" s="62">
        <f ca="1">AVERAGE(OFFSET($AM$3,0,0,'Données projet'!$E$10+1,1))-AVERAGE(OFFSET($H$3,0,0,'Données projet'!$E$10+1,1))</f>
        <v>245.47494516762282</v>
      </c>
      <c r="AO112" s="62">
        <f t="shared" si="90"/>
        <v>145.54897745089966</v>
      </c>
      <c r="AP112" s="16">
        <f>IF(ISNA(VLOOKUP(A112,'Données projet'!$A$61:$I$81,3,0)),0,VLOOKUP(A112,'Données projet'!$A$61:$I$81,3,0))</f>
        <v>6</v>
      </c>
      <c r="AQ112" s="16">
        <f>IF(ISNA(VLOOKUP(A112,'Données projet'!$A$61:$I$81,4,0)),0,VLOOKUP(A112,'Données projet'!$A$61:$I$81,4,0))</f>
        <v>256.09230769230771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IF('Données projet'!$A$88&gt;35,BD111+BC112-BL111,IF(A112&lt;'Données projet'!$A$88,$BA$205^A112,IF(A112='Données projet'!$A$88,'Données projet'!$B$88,BD111+BC112-BL111)))</f>
        <v>279.99999999999955</v>
      </c>
      <c r="BE112" s="14">
        <f>BD112*VLOOKUP('Données projet'!$B$11,Paramètres!$A$1:$I$89,3,0)*VLOOKUP('Données projet'!$B$11,Paramètres!$A$1:$I$89,5,0)</f>
        <v>253.34399999999957</v>
      </c>
      <c r="BF112" s="14">
        <f t="shared" si="91"/>
        <v>61.301453431926198</v>
      </c>
      <c r="BG112" s="22">
        <f t="shared" si="61"/>
        <v>548.00749806060401</v>
      </c>
      <c r="BH112" s="62">
        <f t="shared" si="62"/>
        <v>841.34083139393738</v>
      </c>
      <c r="BI112" s="62">
        <f ca="1">AVERAGE(OFFSET($BH$3,0,0,'Données projet'!$E$11+1,1))-AVERAGE(OFFSET($H$3,0,0,'Données projet'!$E$11+1,1))</f>
        <v>430.21146937947236</v>
      </c>
      <c r="BJ112" s="62">
        <f t="shared" si="92"/>
        <v>231.36959598460686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8.8675733422860506E-14</v>
      </c>
      <c r="CA112" s="14">
        <f t="shared" si="93"/>
        <v>1.3509285393066301E-12</v>
      </c>
      <c r="CB112" s="22">
        <f t="shared" si="64"/>
        <v>2.5073107750038623E-12</v>
      </c>
      <c r="CC112" s="62">
        <f t="shared" si="65"/>
        <v>293.33333333333582</v>
      </c>
      <c r="CD112" s="62">
        <f ca="1">AVERAGE(OFFSET($CC$3,0,0,'Données projet'!$E$12+1,1))-AVERAGE(OFFSET($H$3,0,0,'Données projet'!$E$12+1,1))</f>
        <v>299.07024205218266</v>
      </c>
      <c r="CE112" s="62">
        <f t="shared" si="94"/>
        <v>328.70296497136366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2.6282051282051269</v>
      </c>
      <c r="CT112" s="13">
        <f>IF('Données projet'!$A$140&gt;35,CT111+CS112-DB111,IF(A112&lt;'Données projet'!$A$140,$CQ$205^A112,IF(A112='Données projet'!$A$140,'Données projet'!$B$140,CT111+CS112-DB111)))</f>
        <v>209.5512820512823</v>
      </c>
      <c r="CU112" s="18">
        <f>CT112*VLOOKUP('Données projet'!$B$13,Paramètres!$A$1:$I$89,3,0)*VLOOKUP('Données projet'!$B$13,Paramètres!$A$1:$I$89,5,0)</f>
        <v>199.40900000000025</v>
      </c>
      <c r="CV112" s="14">
        <f t="shared" si="95"/>
        <v>49.614261451006719</v>
      </c>
      <c r="CW112" s="22">
        <f t="shared" si="67"/>
        <v>433.71551369383707</v>
      </c>
      <c r="CX112" s="62">
        <f t="shared" si="68"/>
        <v>727.04884702717038</v>
      </c>
      <c r="CY112" s="62">
        <f ca="1">AVERAGE(OFFSET($CX$3,0,0,'Données projet'!$E$13+1,1))-AVERAGE(OFFSET($H$3,0,0,'Données projet'!$E$13+1,1))</f>
        <v>300.36889324671682</v>
      </c>
      <c r="CZ112" s="62">
        <f t="shared" si="96"/>
        <v>214.36051699039683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projet'!$B$9,Paramètres!$A$1:$I$89,3,0)*VLOOKUP('Données projet'!$B$9,Paramètres!$A$1:$I$89,5,0)</f>
        <v>287.97599999999954</v>
      </c>
      <c r="P113" s="14">
        <f t="shared" si="87"/>
        <v>68.649801713863027</v>
      </c>
      <c r="Q113" s="22">
        <f t="shared" si="107"/>
        <v>621.12327131831069</v>
      </c>
      <c r="R113" s="62">
        <f t="shared" si="55"/>
        <v>914.45660465164406</v>
      </c>
      <c r="S113" s="62">
        <f ca="1">AVERAGE(OFFSET($R$3,0,0,'Données projet'!$E$9+1,1))-AVERAGE(OFFSET($H$3,0,0,'Données projet'!$E$9+1,1))</f>
        <v>477.00263959594946</v>
      </c>
      <c r="T113" s="62">
        <f t="shared" si="88"/>
        <v>254.25036207346591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-6.2527760746888816E-13</v>
      </c>
      <c r="AJ113" s="14">
        <f>AI113*VLOOKUP('Données projet'!$B$10,Paramètres!$A$1:$I$89,3,0)*VLOOKUP('Données projet'!$B$10,Paramètres!$A$1:$I$89,5,0)</f>
        <v>-2.9262992029543964E-13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245.47494516762282</v>
      </c>
      <c r="AO113" s="62">
        <f t="shared" si="90"/>
        <v>145.54897745089966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</v>
      </c>
      <c r="BD113" s="13">
        <f>IF('Données projet'!$A$88&gt;35,BD112+BC113-BL112,IF(A113&lt;'Données projet'!$A$88,$BA$205^A113,IF(A113='Données projet'!$A$88,'Données projet'!$B$88,BD112+BC113-BL112)))</f>
        <v>283.99999999999955</v>
      </c>
      <c r="BE113" s="14">
        <f>BD113*VLOOKUP('Données projet'!$B$11,Paramètres!$A$1:$I$89,3,0)*VLOOKUP('Données projet'!$B$11,Paramètres!$A$1:$I$89,5,0)</f>
        <v>256.96319999999957</v>
      </c>
      <c r="BF113" s="14">
        <f t="shared" si="91"/>
        <v>62.07461295683791</v>
      </c>
      <c r="BG113" s="22">
        <f t="shared" si="61"/>
        <v>555.6575242331586</v>
      </c>
      <c r="BH113" s="62">
        <f t="shared" si="62"/>
        <v>848.99085756649197</v>
      </c>
      <c r="BI113" s="62">
        <f ca="1">AVERAGE(OFFSET($BH$3,0,0,'Données projet'!$E$11+1,1))-AVERAGE(OFFSET($H$3,0,0,'Données projet'!$E$11+1,1))</f>
        <v>430.21146937947236</v>
      </c>
      <c r="BJ113" s="62">
        <f t="shared" si="92"/>
        <v>231.36959598460686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8.8675733422860506E-14</v>
      </c>
      <c r="CA113" s="14">
        <f t="shared" si="93"/>
        <v>1.3509285393066301E-12</v>
      </c>
      <c r="CB113" s="22">
        <f t="shared" si="64"/>
        <v>2.5073107750038623E-12</v>
      </c>
      <c r="CC113" s="62">
        <f t="shared" si="65"/>
        <v>293.33333333333582</v>
      </c>
      <c r="CD113" s="62">
        <f ca="1">AVERAGE(OFFSET($CC$3,0,0,'Données projet'!$E$12+1,1))-AVERAGE(OFFSET($H$3,0,0,'Données projet'!$E$12+1,1))</f>
        <v>299.07024205218266</v>
      </c>
      <c r="CE113" s="62">
        <f t="shared" si="94"/>
        <v>328.70296497136366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212.17948717948718</v>
      </c>
      <c r="CR113" s="13">
        <f>VLOOKUP(A113,'Données projet'!$A$139:$I$159,9,0)</f>
        <v>2.6282051282051269</v>
      </c>
      <c r="CS113" s="13">
        <f t="array" ref="CS113">INDEX(CR:CR,MIN(IF(ISNUMBER(CR113:CR309),ROW(CR113:CR309),"")))</f>
        <v>2.6282051282051269</v>
      </c>
      <c r="CT113" s="13">
        <f>IF('Données projet'!$A$140&gt;35,CT112+CS113-DB112,IF(A113&lt;'Données projet'!$A$140,$CQ$205^A113,IF(A113='Données projet'!$A$140,'Données projet'!$B$140,CT112+CS113-DB112)))</f>
        <v>212.17948717948744</v>
      </c>
      <c r="CU113" s="18">
        <f>CT113*VLOOKUP('Données projet'!$B$13,Paramètres!$A$1:$I$89,3,0)*VLOOKUP('Données projet'!$B$13,Paramètres!$A$1:$I$89,5,0)</f>
        <v>201.91000000000022</v>
      </c>
      <c r="CV113" s="14">
        <f t="shared" si="95"/>
        <v>50.163695433500934</v>
      </c>
      <c r="CW113" s="22">
        <f t="shared" si="67"/>
        <v>439.02835288001444</v>
      </c>
      <c r="CX113" s="62">
        <f t="shared" si="68"/>
        <v>732.36168621334775</v>
      </c>
      <c r="CY113" s="62">
        <f ca="1">AVERAGE(OFFSET($CX$3,0,0,'Données projet'!$E$13+1,1))-AVERAGE(OFFSET($H$3,0,0,'Données projet'!$E$13+1,1))</f>
        <v>300.36889324671682</v>
      </c>
      <c r="CZ113" s="62">
        <f t="shared" si="96"/>
        <v>214.36051699039683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19.23076923076923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projet'!$B$9,Paramètres!$A$1:$I$89,3,0)*VLOOKUP('Données projet'!$B$9,Paramètres!$A$1:$I$89,5,0)</f>
        <v>292.03199999999953</v>
      </c>
      <c r="P114" s="14">
        <f t="shared" si="87"/>
        <v>69.503456646543185</v>
      </c>
      <c r="Q114" s="22">
        <f t="shared" si="107"/>
        <v>629.67425365939516</v>
      </c>
      <c r="R114" s="62">
        <f t="shared" si="55"/>
        <v>923.00758699272842</v>
      </c>
      <c r="S114" s="62">
        <f ca="1">AVERAGE(OFFSET($R$3,0,0,'Données projet'!$E$9+1,1))-AVERAGE(OFFSET($H$3,0,0,'Données projet'!$E$9+1,1))</f>
        <v>477.00263959594946</v>
      </c>
      <c r="T114" s="62">
        <f t="shared" si="88"/>
        <v>254.25036207346591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-6.2527760746888816E-13</v>
      </c>
      <c r="AJ114" s="14">
        <f>AI114*VLOOKUP('Données projet'!$B$10,Paramètres!$A$1:$I$89,3,0)*VLOOKUP('Données projet'!$B$10,Paramètres!$A$1:$I$89,5,0)</f>
        <v>-2.9262992029543964E-13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245.47494516762282</v>
      </c>
      <c r="AO114" s="62">
        <f t="shared" si="90"/>
        <v>145.54897745089966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</v>
      </c>
      <c r="BD114" s="13">
        <f>IF('Données projet'!$A$88&gt;35,BD113+BC114-BL113,IF(A114&lt;'Données projet'!$A$88,$BA$205^A114,IF(A114='Données projet'!$A$88,'Données projet'!$B$88,BD113+BC114-BL113)))</f>
        <v>287.99999999999955</v>
      </c>
      <c r="BE114" s="14">
        <f>BD114*VLOOKUP('Données projet'!$B$11,Paramètres!$A$1:$I$89,3,0)*VLOOKUP('Données projet'!$B$11,Paramètres!$A$1:$I$89,5,0)</f>
        <v>260.58239999999961</v>
      </c>
      <c r="BF114" s="14">
        <f t="shared" si="91"/>
        <v>62.846505929896793</v>
      </c>
      <c r="BG114" s="22">
        <f t="shared" si="61"/>
        <v>563.30534449456957</v>
      </c>
      <c r="BH114" s="62">
        <f t="shared" si="62"/>
        <v>856.63867782790294</v>
      </c>
      <c r="BI114" s="62">
        <f ca="1">AVERAGE(OFFSET($BH$3,0,0,'Données projet'!$E$11+1,1))-AVERAGE(OFFSET($H$3,0,0,'Données projet'!$E$11+1,1))</f>
        <v>430.21146937947236</v>
      </c>
      <c r="BJ114" s="62">
        <f t="shared" si="92"/>
        <v>231.36959598460686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8.8675733422860506E-14</v>
      </c>
      <c r="CA114" s="14">
        <f t="shared" si="93"/>
        <v>1.3509285393066301E-12</v>
      </c>
      <c r="CB114" s="22">
        <f t="shared" si="64"/>
        <v>2.5073107750038623E-12</v>
      </c>
      <c r="CC114" s="62">
        <f t="shared" si="65"/>
        <v>293.33333333333582</v>
      </c>
      <c r="CD114" s="62">
        <f ca="1">AVERAGE(OFFSET($CC$3,0,0,'Données projet'!$E$12+1,1))-AVERAGE(OFFSET($H$3,0,0,'Données projet'!$E$12+1,1))</f>
        <v>299.07024205218266</v>
      </c>
      <c r="CE114" s="62">
        <f t="shared" si="94"/>
        <v>328.70296497136366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2.4999999999999973</v>
      </c>
      <c r="CT114" s="13">
        <f>IF('Données projet'!$A$140&gt;35,CT113+CS114-DB113,IF(A114&lt;'Données projet'!$A$140,$CQ$205^A114,IF(A114='Données projet'!$A$140,'Données projet'!$B$140,CT113+CS114-DB113)))</f>
        <v>195.44871794871821</v>
      </c>
      <c r="CU114" s="18">
        <f>CT114*VLOOKUP('Données projet'!$B$13,Paramètres!$A$1:$I$89,3,0)*VLOOKUP('Données projet'!$B$13,Paramètres!$A$1:$I$89,5,0)</f>
        <v>185.98900000000026</v>
      </c>
      <c r="CV114" s="14">
        <f t="shared" si="95"/>
        <v>46.652079523297502</v>
      </c>
      <c r="CW114" s="22">
        <f t="shared" si="67"/>
        <v>405.18321350307696</v>
      </c>
      <c r="CX114" s="62">
        <f t="shared" si="68"/>
        <v>698.51654683641027</v>
      </c>
      <c r="CY114" s="62">
        <f ca="1">AVERAGE(OFFSET($CX$3,0,0,'Données projet'!$E$13+1,1))-AVERAGE(OFFSET($H$3,0,0,'Données projet'!$E$13+1,1))</f>
        <v>300.36889324671682</v>
      </c>
      <c r="CZ114" s="62">
        <f t="shared" si="96"/>
        <v>214.36051699039683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projet'!$B$9,Paramètres!$A$1:$I$89,3,0)*VLOOKUP('Données projet'!$B$9,Paramètres!$A$1:$I$89,5,0)</f>
        <v>296.08799999999957</v>
      </c>
      <c r="P115" s="14">
        <f t="shared" si="87"/>
        <v>70.35573257182898</v>
      </c>
      <c r="Q115" s="22">
        <f t="shared" si="107"/>
        <v>638.22283422926796</v>
      </c>
      <c r="R115" s="62">
        <f t="shared" si="55"/>
        <v>931.55616756260133</v>
      </c>
      <c r="S115" s="62">
        <f ca="1">AVERAGE(OFFSET($R$3,0,0,'Données projet'!$E$9+1,1))-AVERAGE(OFFSET($H$3,0,0,'Données projet'!$E$9+1,1))</f>
        <v>477.00263959594946</v>
      </c>
      <c r="T115" s="62">
        <f t="shared" si="88"/>
        <v>254.25036207346591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-6.2527760746888816E-13</v>
      </c>
      <c r="AJ115" s="14">
        <f>AI115*VLOOKUP('Données projet'!$B$10,Paramètres!$A$1:$I$89,3,0)*VLOOKUP('Données projet'!$B$10,Paramètres!$A$1:$I$89,5,0)</f>
        <v>-2.9262992029543964E-13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245.47494516762282</v>
      </c>
      <c r="AO115" s="62">
        <f t="shared" si="90"/>
        <v>145.54897745089966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</v>
      </c>
      <c r="BD115" s="13">
        <f>IF('Données projet'!$A$88&gt;35,BD114+BC115-BL114,IF(A115&lt;'Données projet'!$A$88,$BA$205^A115,IF(A115='Données projet'!$A$88,'Données projet'!$B$88,BD114+BC115-BL114)))</f>
        <v>291.99999999999955</v>
      </c>
      <c r="BE115" s="14">
        <f>BD115*VLOOKUP('Données projet'!$B$11,Paramètres!$A$1:$I$89,3,0)*VLOOKUP('Données projet'!$B$11,Paramètres!$A$1:$I$89,5,0)</f>
        <v>264.20159999999959</v>
      </c>
      <c r="BF115" s="14">
        <f t="shared" si="91"/>
        <v>63.617151975096654</v>
      </c>
      <c r="BG115" s="22">
        <f t="shared" si="61"/>
        <v>570.95099302329265</v>
      </c>
      <c r="BH115" s="62">
        <f t="shared" si="62"/>
        <v>864.28432635662602</v>
      </c>
      <c r="BI115" s="62">
        <f ca="1">AVERAGE(OFFSET($BH$3,0,0,'Données projet'!$E$11+1,1))-AVERAGE(OFFSET($H$3,0,0,'Données projet'!$E$11+1,1))</f>
        <v>430.21146937947236</v>
      </c>
      <c r="BJ115" s="62">
        <f t="shared" si="92"/>
        <v>231.36959598460686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8.8675733422860506E-14</v>
      </c>
      <c r="CA115" s="14">
        <f t="shared" si="93"/>
        <v>1.3509285393066301E-12</v>
      </c>
      <c r="CB115" s="22">
        <f t="shared" si="64"/>
        <v>2.5073107750038623E-12</v>
      </c>
      <c r="CC115" s="62">
        <f t="shared" si="65"/>
        <v>293.33333333333582</v>
      </c>
      <c r="CD115" s="62">
        <f ca="1">AVERAGE(OFFSET($CC$3,0,0,'Données projet'!$E$12+1,1))-AVERAGE(OFFSET($H$3,0,0,'Données projet'!$E$12+1,1))</f>
        <v>299.07024205218266</v>
      </c>
      <c r="CE115" s="62">
        <f t="shared" si="94"/>
        <v>328.70296497136366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2.4999999999999973</v>
      </c>
      <c r="CT115" s="13">
        <f>IF('Données projet'!$A$140&gt;35,CT114+CS115-DB114,IF(A115&lt;'Données projet'!$A$140,$CQ$205^A115,IF(A115='Données projet'!$A$140,'Données projet'!$B$140,CT114+CS115-DB114)))</f>
        <v>197.94871794871821</v>
      </c>
      <c r="CU115" s="18">
        <f>CT115*VLOOKUP('Données projet'!$B$13,Paramètres!$A$1:$I$89,3,0)*VLOOKUP('Données projet'!$B$13,Paramètres!$A$1:$I$89,5,0)</f>
        <v>188.36800000000025</v>
      </c>
      <c r="CV115" s="14">
        <f t="shared" si="95"/>
        <v>47.178959870939018</v>
      </c>
      <c r="CW115" s="22">
        <f t="shared" si="67"/>
        <v>410.24428844188589</v>
      </c>
      <c r="CX115" s="62">
        <f t="shared" si="68"/>
        <v>703.5776217752192</v>
      </c>
      <c r="CY115" s="62">
        <f ca="1">AVERAGE(OFFSET($CX$3,0,0,'Données projet'!$E$13+1,1))-AVERAGE(OFFSET($H$3,0,0,'Données projet'!$E$13+1,1))</f>
        <v>300.36889324671682</v>
      </c>
      <c r="CZ115" s="62">
        <f t="shared" si="96"/>
        <v>214.36051699039683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projet'!$B$9,Paramètres!$A$1:$I$89,3,0)*VLOOKUP('Données projet'!$B$9,Paramètres!$A$1:$I$89,5,0)</f>
        <v>300.14399999999955</v>
      </c>
      <c r="P116" s="14">
        <f t="shared" si="87"/>
        <v>71.206650563609799</v>
      </c>
      <c r="Q116" s="22">
        <f t="shared" si="107"/>
        <v>646.76904973161959</v>
      </c>
      <c r="R116" s="62">
        <f t="shared" si="55"/>
        <v>940.10238306495285</v>
      </c>
      <c r="S116" s="62">
        <f ca="1">AVERAGE(OFFSET($R$3,0,0,'Données projet'!$E$9+1,1))-AVERAGE(OFFSET($H$3,0,0,'Données projet'!$E$9+1,1))</f>
        <v>477.00263959594946</v>
      </c>
      <c r="T116" s="62">
        <f t="shared" si="88"/>
        <v>254.25036207346591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-6.2527760746888816E-13</v>
      </c>
      <c r="AJ116" s="14">
        <f>AI116*VLOOKUP('Données projet'!$B$10,Paramètres!$A$1:$I$89,3,0)*VLOOKUP('Données projet'!$B$10,Paramètres!$A$1:$I$89,5,0)</f>
        <v>-2.9262992029543964E-13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245.47494516762282</v>
      </c>
      <c r="AO116" s="62">
        <f t="shared" si="90"/>
        <v>145.54897745089966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</v>
      </c>
      <c r="BD116" s="13">
        <f>IF('Données projet'!$A$88&gt;35,BD115+BC116-BL115,IF(A116&lt;'Données projet'!$A$88,$BA$205^A116,IF(A116='Données projet'!$A$88,'Données projet'!$B$88,BD115+BC116-BL115)))</f>
        <v>295.99999999999955</v>
      </c>
      <c r="BE116" s="14">
        <f>BD116*VLOOKUP('Données projet'!$B$11,Paramètres!$A$1:$I$89,3,0)*VLOOKUP('Données projet'!$B$11,Paramètres!$A$1:$I$89,5,0)</f>
        <v>267.82079999999956</v>
      </c>
      <c r="BF116" s="14">
        <f t="shared" si="91"/>
        <v>64.386570147897245</v>
      </c>
      <c r="BG116" s="22">
        <f t="shared" si="61"/>
        <v>578.59450300758692</v>
      </c>
      <c r="BH116" s="62">
        <f t="shared" si="62"/>
        <v>871.92783634092029</v>
      </c>
      <c r="BI116" s="62">
        <f ca="1">AVERAGE(OFFSET($BH$3,0,0,'Données projet'!$E$11+1,1))-AVERAGE(OFFSET($H$3,0,0,'Données projet'!$E$11+1,1))</f>
        <v>430.21146937947236</v>
      </c>
      <c r="BJ116" s="62">
        <f t="shared" si="92"/>
        <v>231.36959598460686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8.8675733422860506E-14</v>
      </c>
      <c r="CA116" s="14">
        <f t="shared" si="93"/>
        <v>1.3509285393066301E-12</v>
      </c>
      <c r="CB116" s="22">
        <f t="shared" si="64"/>
        <v>2.5073107750038623E-12</v>
      </c>
      <c r="CC116" s="62">
        <f t="shared" si="65"/>
        <v>293.33333333333582</v>
      </c>
      <c r="CD116" s="62">
        <f ca="1">AVERAGE(OFFSET($CC$3,0,0,'Données projet'!$E$12+1,1))-AVERAGE(OFFSET($H$3,0,0,'Données projet'!$E$12+1,1))</f>
        <v>299.07024205218266</v>
      </c>
      <c r="CE116" s="62">
        <f t="shared" si="94"/>
        <v>328.70296497136366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2.4999999999999973</v>
      </c>
      <c r="CT116" s="13">
        <f>IF('Données projet'!$A$140&gt;35,CT115+CS116-DB115,IF(A116&lt;'Données projet'!$A$140,$CQ$205^A116,IF(A116='Données projet'!$A$140,'Données projet'!$B$140,CT115+CS116-DB115)))</f>
        <v>200.44871794871821</v>
      </c>
      <c r="CU116" s="18">
        <f>CT116*VLOOKUP('Données projet'!$B$13,Paramètres!$A$1:$I$89,3,0)*VLOOKUP('Données projet'!$B$13,Paramètres!$A$1:$I$89,5,0)</f>
        <v>190.74700000000024</v>
      </c>
      <c r="CV116" s="14">
        <f t="shared" si="95"/>
        <v>47.705066210810664</v>
      </c>
      <c r="CW116" s="22">
        <f t="shared" si="67"/>
        <v>415.30401531716234</v>
      </c>
      <c r="CX116" s="62">
        <f t="shared" si="68"/>
        <v>708.6373486504956</v>
      </c>
      <c r="CY116" s="62">
        <f ca="1">AVERAGE(OFFSET($CX$3,0,0,'Données projet'!$E$13+1,1))-AVERAGE(OFFSET($H$3,0,0,'Données projet'!$E$13+1,1))</f>
        <v>300.36889324671682</v>
      </c>
      <c r="CZ116" s="62">
        <f t="shared" si="96"/>
        <v>214.36051699039683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projet'!$B$9,Paramètres!$A$1:$I$89,3,0)*VLOOKUP('Données projet'!$B$9,Paramètres!$A$1:$I$89,5,0)</f>
        <v>304.19999999999959</v>
      </c>
      <c r="P117" s="14">
        <f t="shared" si="87"/>
        <v>72.056231093481003</v>
      </c>
      <c r="Q117" s="22">
        <f t="shared" si="107"/>
        <v>655.31293582114529</v>
      </c>
      <c r="R117" s="62">
        <f t="shared" si="55"/>
        <v>948.64626915447866</v>
      </c>
      <c r="S117" s="62">
        <f ca="1">AVERAGE(OFFSET($R$3,0,0,'Données projet'!$E$9+1,1))-AVERAGE(OFFSET($H$3,0,0,'Données projet'!$E$9+1,1))</f>
        <v>477.00263959594946</v>
      </c>
      <c r="T117" s="62">
        <f t="shared" si="88"/>
        <v>254.25036207346591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-6.2527760746888816E-13</v>
      </c>
      <c r="AJ117" s="14">
        <f>AI117*VLOOKUP('Données projet'!$B$10,Paramètres!$A$1:$I$89,3,0)*VLOOKUP('Données projet'!$B$10,Paramètres!$A$1:$I$89,5,0)</f>
        <v>-2.9262992029543964E-13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245.47494516762282</v>
      </c>
      <c r="AO117" s="62">
        <f t="shared" si="90"/>
        <v>145.54897745089966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</v>
      </c>
      <c r="BD117" s="13">
        <f>IF('Données projet'!$A$88&gt;35,BD116+BC117-BL116,IF(A117&lt;'Données projet'!$A$88,$BA$205^A117,IF(A117='Données projet'!$A$88,'Données projet'!$B$88,BD116+BC117-BL116)))</f>
        <v>299.99999999999955</v>
      </c>
      <c r="BE117" s="14">
        <f>BD117*VLOOKUP('Données projet'!$B$11,Paramètres!$A$1:$I$89,3,0)*VLOOKUP('Données projet'!$B$11,Paramètres!$A$1:$I$89,5,0)</f>
        <v>271.43999999999954</v>
      </c>
      <c r="BF117" s="14">
        <f t="shared" si="91"/>
        <v>65.154778959151116</v>
      </c>
      <c r="BG117" s="22">
        <f t="shared" si="61"/>
        <v>586.23590668718737</v>
      </c>
      <c r="BH117" s="62">
        <f t="shared" si="62"/>
        <v>879.56924002052074</v>
      </c>
      <c r="BI117" s="62">
        <f ca="1">AVERAGE(OFFSET($BH$3,0,0,'Données projet'!$E$11+1,1))-AVERAGE(OFFSET($H$3,0,0,'Données projet'!$E$11+1,1))</f>
        <v>430.21146937947236</v>
      </c>
      <c r="BJ117" s="62">
        <f t="shared" si="92"/>
        <v>231.36959598460686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8.8675733422860506E-14</v>
      </c>
      <c r="CA117" s="14">
        <f t="shared" si="93"/>
        <v>1.3509285393066301E-12</v>
      </c>
      <c r="CB117" s="22">
        <f t="shared" si="64"/>
        <v>2.5073107750038623E-12</v>
      </c>
      <c r="CC117" s="62">
        <f t="shared" si="65"/>
        <v>293.33333333333582</v>
      </c>
      <c r="CD117" s="62">
        <f ca="1">AVERAGE(OFFSET($CC$3,0,0,'Données projet'!$E$12+1,1))-AVERAGE(OFFSET($H$3,0,0,'Données projet'!$E$12+1,1))</f>
        <v>299.07024205218266</v>
      </c>
      <c r="CE117" s="62">
        <f t="shared" si="94"/>
        <v>328.70296497136366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2.4999999999999973</v>
      </c>
      <c r="CT117" s="13">
        <f>IF('Données projet'!$A$140&gt;35,CT116+CS117-DB116,IF(A117&lt;'Données projet'!$A$140,$CQ$205^A117,IF(A117='Données projet'!$A$140,'Données projet'!$B$140,CT116+CS117-DB116)))</f>
        <v>202.94871794871821</v>
      </c>
      <c r="CU117" s="18">
        <f>CT117*VLOOKUP('Données projet'!$B$13,Paramètres!$A$1:$I$89,3,0)*VLOOKUP('Données projet'!$B$13,Paramètres!$A$1:$I$89,5,0)</f>
        <v>193.12600000000026</v>
      </c>
      <c r="CV117" s="14">
        <f t="shared" si="95"/>
        <v>48.230409312754084</v>
      </c>
      <c r="CW117" s="22">
        <f t="shared" si="67"/>
        <v>420.36241288638047</v>
      </c>
      <c r="CX117" s="62">
        <f t="shared" si="68"/>
        <v>713.69574621971378</v>
      </c>
      <c r="CY117" s="62">
        <f ca="1">AVERAGE(OFFSET($CX$3,0,0,'Données projet'!$E$13+1,1))-AVERAGE(OFFSET($H$3,0,0,'Données projet'!$E$13+1,1))</f>
        <v>300.36889324671682</v>
      </c>
      <c r="CZ117" s="62">
        <f t="shared" si="96"/>
        <v>214.36051699039683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projet'!$B$9,Paramètres!$A$1:$I$89,3,0)*VLOOKUP('Données projet'!$B$9,Paramètres!$A$1:$I$89,5,0)</f>
        <v>308.25599999999957</v>
      </c>
      <c r="P118" s="14">
        <f t="shared" si="87"/>
        <v>72.904494055753887</v>
      </c>
      <c r="Q118" s="22">
        <f t="shared" si="107"/>
        <v>663.85452714710391</v>
      </c>
      <c r="R118" s="62">
        <f t="shared" si="55"/>
        <v>957.18786048043717</v>
      </c>
      <c r="S118" s="62">
        <f ca="1">AVERAGE(OFFSET($R$3,0,0,'Données projet'!$E$9+1,1))-AVERAGE(OFFSET($H$3,0,0,'Données projet'!$E$9+1,1))</f>
        <v>477.00263959594946</v>
      </c>
      <c r="T118" s="62">
        <f t="shared" si="88"/>
        <v>254.25036207346591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-6.2527760746888816E-13</v>
      </c>
      <c r="AJ118" s="14">
        <f>AI118*VLOOKUP('Données projet'!$B$10,Paramètres!$A$1:$I$89,3,0)*VLOOKUP('Données projet'!$B$10,Paramètres!$A$1:$I$89,5,0)</f>
        <v>-2.9262992029543964E-13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245.47494516762282</v>
      </c>
      <c r="AO118" s="62">
        <f t="shared" si="90"/>
        <v>145.54897745089966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304</v>
      </c>
      <c r="BB118" s="13">
        <f>VLOOKUP(A118,'Données projet'!$A$87:$I$107,9,0)</f>
        <v>4</v>
      </c>
      <c r="BC118" s="13">
        <f t="array" ref="BC118">INDEX(BB:BB,MIN(IF(ISNUMBER(BB118:BB314),ROW(BB118:BB314),"")))</f>
        <v>4</v>
      </c>
      <c r="BD118" s="13">
        <f>IF('Données projet'!$A$88&gt;35,BD117+BC118-BL117,IF(A118&lt;'Données projet'!$A$88,$BA$205^A118,IF(A118='Données projet'!$A$88,'Données projet'!$B$88,BD117+BC118-BL117)))</f>
        <v>303.99999999999955</v>
      </c>
      <c r="BE118" s="14">
        <f>BD118*VLOOKUP('Données projet'!$B$11,Paramètres!$A$1:$I$89,3,0)*VLOOKUP('Données projet'!$B$11,Paramètres!$A$1:$I$89,5,0)</f>
        <v>275.05919999999958</v>
      </c>
      <c r="BF118" s="14">
        <f t="shared" si="91"/>
        <v>65.921796397718268</v>
      </c>
      <c r="BG118" s="22">
        <f t="shared" si="61"/>
        <v>593.87523539269193</v>
      </c>
      <c r="BH118" s="62">
        <f t="shared" si="62"/>
        <v>887.20856872602531</v>
      </c>
      <c r="BI118" s="62">
        <f ca="1">AVERAGE(OFFSET($BH$3,0,0,'Données projet'!$E$11+1,1))-AVERAGE(OFFSET($H$3,0,0,'Données projet'!$E$11+1,1))</f>
        <v>430.21146937947236</v>
      </c>
      <c r="BJ118" s="62">
        <f t="shared" si="92"/>
        <v>231.36959598460686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37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8.8675733422860506E-14</v>
      </c>
      <c r="CA118" s="14">
        <f t="shared" si="93"/>
        <v>1.3509285393066301E-12</v>
      </c>
      <c r="CB118" s="22">
        <f t="shared" si="64"/>
        <v>2.5073107750038623E-12</v>
      </c>
      <c r="CC118" s="62">
        <f t="shared" si="65"/>
        <v>293.33333333333582</v>
      </c>
      <c r="CD118" s="62">
        <f ca="1">AVERAGE(OFFSET($CC$3,0,0,'Données projet'!$E$12+1,1))-AVERAGE(OFFSET($H$3,0,0,'Données projet'!$E$12+1,1))</f>
        <v>299.07024205218266</v>
      </c>
      <c r="CE118" s="62">
        <f t="shared" si="94"/>
        <v>328.70296497136366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2.4999999999999973</v>
      </c>
      <c r="CT118" s="13">
        <f>IF('Données projet'!$A$140&gt;35,CT117+CS118-DB117,IF(A118&lt;'Données projet'!$A$140,$CQ$205^A118,IF(A118='Données projet'!$A$140,'Données projet'!$B$140,CT117+CS118-DB117)))</f>
        <v>205.44871794871821</v>
      </c>
      <c r="CU118" s="18">
        <f>CT118*VLOOKUP('Données projet'!$B$13,Paramètres!$A$1:$I$89,3,0)*VLOOKUP('Données projet'!$B$13,Paramètres!$A$1:$I$89,5,0)</f>
        <v>195.50500000000025</v>
      </c>
      <c r="CV118" s="14">
        <f t="shared" si="95"/>
        <v>48.754999666014392</v>
      </c>
      <c r="CW118" s="22">
        <f t="shared" si="67"/>
        <v>425.41949941830882</v>
      </c>
      <c r="CX118" s="62">
        <f t="shared" si="68"/>
        <v>718.75283275164213</v>
      </c>
      <c r="CY118" s="62">
        <f ca="1">AVERAGE(OFFSET($CX$3,0,0,'Données projet'!$E$13+1,1))-AVERAGE(OFFSET($H$3,0,0,'Données projet'!$E$13+1,1))</f>
        <v>300.36889324671682</v>
      </c>
      <c r="CZ118" s="62">
        <f t="shared" si="96"/>
        <v>214.36051699039683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projet'!$B$9,Paramètres!$A$1:$I$89,3,0)*VLOOKUP('Données projet'!$B$9,Paramètres!$A$1:$I$89,5,0)</f>
        <v>274.18559999999957</v>
      </c>
      <c r="P119" s="14">
        <f t="shared" si="87"/>
        <v>65.736762389907327</v>
      </c>
      <c r="Q119" s="22">
        <f t="shared" si="107"/>
        <v>592.03144782908782</v>
      </c>
      <c r="R119" s="62">
        <f t="shared" si="55"/>
        <v>885.3647811624212</v>
      </c>
      <c r="S119" s="62">
        <f ca="1">AVERAGE(OFFSET($R$3,0,0,'Données projet'!$E$9+1,1))-AVERAGE(OFFSET($H$3,0,0,'Données projet'!$E$9+1,1))</f>
        <v>477.00263959594946</v>
      </c>
      <c r="T119" s="62">
        <f t="shared" si="88"/>
        <v>254.25036207346591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-6.2527760746888816E-13</v>
      </c>
      <c r="AJ119" s="14">
        <f>AI119*VLOOKUP('Données projet'!$B$10,Paramètres!$A$1:$I$89,3,0)*VLOOKUP('Données projet'!$B$10,Paramètres!$A$1:$I$89,5,0)</f>
        <v>-2.9262992029543964E-13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245.47494516762282</v>
      </c>
      <c r="AO119" s="62">
        <f t="shared" si="90"/>
        <v>145.54897745089966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3.4</v>
      </c>
      <c r="BD119" s="13">
        <f>IF('Données projet'!$A$88&gt;35,BD118+BC119-BL118,IF(A119&lt;'Données projet'!$A$88,$BA$205^A119,IF(A119='Données projet'!$A$88,'Données projet'!$B$88,BD118+BC119-BL118)))</f>
        <v>270.39999999999952</v>
      </c>
      <c r="BE119" s="14">
        <f>BD119*VLOOKUP('Données projet'!$B$11,Paramètres!$A$1:$I$89,3,0)*VLOOKUP('Données projet'!$B$11,Paramètres!$A$1:$I$89,5,0)</f>
        <v>244.65791999999956</v>
      </c>
      <c r="BF119" s="14">
        <f t="shared" si="91"/>
        <v>59.44058075210858</v>
      </c>
      <c r="BG119" s="22">
        <f t="shared" si="61"/>
        <v>529.63822214325501</v>
      </c>
      <c r="BH119" s="62">
        <f t="shared" si="62"/>
        <v>822.97155547658826</v>
      </c>
      <c r="BI119" s="62">
        <f ca="1">AVERAGE(OFFSET($BH$3,0,0,'Données projet'!$E$11+1,1))-AVERAGE(OFFSET($H$3,0,0,'Données projet'!$E$11+1,1))</f>
        <v>430.21146937947236</v>
      </c>
      <c r="BJ119" s="62">
        <f t="shared" si="92"/>
        <v>231.36959598460686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8.8675733422860506E-14</v>
      </c>
      <c r="CA119" s="14">
        <f t="shared" si="93"/>
        <v>1.3509285393066301E-12</v>
      </c>
      <c r="CB119" s="22">
        <f t="shared" si="64"/>
        <v>2.5073107750038623E-12</v>
      </c>
      <c r="CC119" s="62">
        <f t="shared" si="65"/>
        <v>293.33333333333582</v>
      </c>
      <c r="CD119" s="62">
        <f ca="1">AVERAGE(OFFSET($CC$3,0,0,'Données projet'!$E$12+1,1))-AVERAGE(OFFSET($H$3,0,0,'Données projet'!$E$12+1,1))</f>
        <v>299.07024205218266</v>
      </c>
      <c r="CE119" s="62">
        <f t="shared" si="94"/>
        <v>328.70296497136366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2.4999999999999973</v>
      </c>
      <c r="CT119" s="13">
        <f>IF('Données projet'!$A$140&gt;35,CT118+CS119-DB118,IF(A119&lt;'Données projet'!$A$140,$CQ$205^A119,IF(A119='Données projet'!$A$140,'Données projet'!$B$140,CT118+CS119-DB118)))</f>
        <v>207.94871794871821</v>
      </c>
      <c r="CU119" s="18">
        <f>CT119*VLOOKUP('Données projet'!$B$13,Paramètres!$A$1:$I$89,3,0)*VLOOKUP('Données projet'!$B$13,Paramètres!$A$1:$I$89,5,0)</f>
        <v>197.88400000000024</v>
      </c>
      <c r="CV119" s="14">
        <f t="shared" si="95"/>
        <v>49.278847489874579</v>
      </c>
      <c r="CW119" s="22">
        <f t="shared" si="67"/>
        <v>430.47529271153195</v>
      </c>
      <c r="CX119" s="62">
        <f t="shared" si="68"/>
        <v>723.80862604486526</v>
      </c>
      <c r="CY119" s="62">
        <f ca="1">AVERAGE(OFFSET($CX$3,0,0,'Données projet'!$E$13+1,1))-AVERAGE(OFFSET($H$3,0,0,'Données projet'!$E$13+1,1))</f>
        <v>300.36889324671682</v>
      </c>
      <c r="CZ119" s="62">
        <f t="shared" si="96"/>
        <v>214.36051699039683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projet'!$B$9,Paramètres!$A$1:$I$89,3,0)*VLOOKUP('Données projet'!$B$9,Paramètres!$A$1:$I$89,5,0)</f>
        <v>277.63319999999953</v>
      </c>
      <c r="P120" s="14">
        <f t="shared" si="87"/>
        <v>66.466589162975581</v>
      </c>
      <c r="Q120" s="22">
        <f t="shared" si="107"/>
        <v>599.30713279218173</v>
      </c>
      <c r="R120" s="62">
        <f t="shared" si="55"/>
        <v>892.6404661255151</v>
      </c>
      <c r="S120" s="62">
        <f ca="1">AVERAGE(OFFSET($R$3,0,0,'Données projet'!$E$9+1,1))-AVERAGE(OFFSET($H$3,0,0,'Données projet'!$E$9+1,1))</f>
        <v>477.00263959594946</v>
      </c>
      <c r="T120" s="62">
        <f t="shared" si="88"/>
        <v>254.25036207346591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-6.2527760746888816E-13</v>
      </c>
      <c r="AJ120" s="14">
        <f>AI120*VLOOKUP('Données projet'!$B$10,Paramètres!$A$1:$I$89,3,0)*VLOOKUP('Données projet'!$B$10,Paramètres!$A$1:$I$89,5,0)</f>
        <v>-2.9262992029543964E-13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245.47494516762282</v>
      </c>
      <c r="AO120" s="62">
        <f t="shared" si="90"/>
        <v>145.54897745089966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3.4</v>
      </c>
      <c r="BD120" s="13">
        <f>IF('Données projet'!$A$88&gt;35,BD119+BC120-BL119,IF(A120&lt;'Données projet'!$A$88,$BA$205^A120,IF(A120='Données projet'!$A$88,'Données projet'!$B$88,BD119+BC120-BL119)))</f>
        <v>273.7999999999995</v>
      </c>
      <c r="BE120" s="14">
        <f>BD120*VLOOKUP('Données projet'!$B$11,Paramètres!$A$1:$I$89,3,0)*VLOOKUP('Données projet'!$B$11,Paramètres!$A$1:$I$89,5,0)</f>
        <v>247.73423999999952</v>
      </c>
      <c r="BF120" s="14">
        <f t="shared" si="91"/>
        <v>60.100505665695003</v>
      </c>
      <c r="BG120" s="22">
        <f t="shared" si="61"/>
        <v>536.14551536775127</v>
      </c>
      <c r="BH120" s="62">
        <f t="shared" si="62"/>
        <v>829.47884870108464</v>
      </c>
      <c r="BI120" s="62">
        <f ca="1">AVERAGE(OFFSET($BH$3,0,0,'Données projet'!$E$11+1,1))-AVERAGE(OFFSET($H$3,0,0,'Données projet'!$E$11+1,1))</f>
        <v>430.21146937947236</v>
      </c>
      <c r="BJ120" s="62">
        <f t="shared" si="92"/>
        <v>231.36959598460686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8.8675733422860506E-14</v>
      </c>
      <c r="CA120" s="14">
        <f t="shared" si="93"/>
        <v>1.3509285393066301E-12</v>
      </c>
      <c r="CB120" s="22">
        <f t="shared" si="64"/>
        <v>2.5073107750038623E-12</v>
      </c>
      <c r="CC120" s="62">
        <f t="shared" si="65"/>
        <v>293.33333333333582</v>
      </c>
      <c r="CD120" s="62">
        <f ca="1">AVERAGE(OFFSET($CC$3,0,0,'Données projet'!$E$12+1,1))-AVERAGE(OFFSET($H$3,0,0,'Données projet'!$E$12+1,1))</f>
        <v>299.07024205218266</v>
      </c>
      <c r="CE120" s="62">
        <f t="shared" si="94"/>
        <v>328.70296497136366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2.4999999999999973</v>
      </c>
      <c r="CT120" s="13">
        <f>IF('Données projet'!$A$140&gt;35,CT119+CS120-DB119,IF(A120&lt;'Données projet'!$A$140,$CQ$205^A120,IF(A120='Données projet'!$A$140,'Données projet'!$B$140,CT119+CS120-DB119)))</f>
        <v>210.44871794871821</v>
      </c>
      <c r="CU120" s="18">
        <f>CT120*VLOOKUP('Données projet'!$B$13,Paramètres!$A$1:$I$89,3,0)*VLOOKUP('Données projet'!$B$13,Paramètres!$A$1:$I$89,5,0)</f>
        <v>200.26300000000026</v>
      </c>
      <c r="CV120" s="14">
        <f t="shared" si="95"/>
        <v>49.801962743763724</v>
      </c>
      <c r="CW120" s="22">
        <f t="shared" si="67"/>
        <v>435.5298101120556</v>
      </c>
      <c r="CX120" s="62">
        <f t="shared" si="68"/>
        <v>728.86314344538891</v>
      </c>
      <c r="CY120" s="62">
        <f ca="1">AVERAGE(OFFSET($CX$3,0,0,'Données projet'!$E$13+1,1))-AVERAGE(OFFSET($H$3,0,0,'Données projet'!$E$13+1,1))</f>
        <v>300.36889324671682</v>
      </c>
      <c r="CZ120" s="62">
        <f t="shared" si="96"/>
        <v>214.36051699039683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projet'!$B$9,Paramètres!$A$1:$I$89,3,0)*VLOOKUP('Données projet'!$B$9,Paramètres!$A$1:$I$89,5,0)</f>
        <v>281.0807999999995</v>
      </c>
      <c r="P121" s="14">
        <f t="shared" si="87"/>
        <v>67.195361752546063</v>
      </c>
      <c r="Q121" s="22">
        <f t="shared" si="107"/>
        <v>606.5809817190169</v>
      </c>
      <c r="R121" s="62">
        <f t="shared" si="55"/>
        <v>899.91431505235028</v>
      </c>
      <c r="S121" s="62">
        <f ca="1">AVERAGE(OFFSET($R$3,0,0,'Données projet'!$E$9+1,1))-AVERAGE(OFFSET($H$3,0,0,'Données projet'!$E$9+1,1))</f>
        <v>477.00263959594946</v>
      </c>
      <c r="T121" s="62">
        <f t="shared" si="88"/>
        <v>254.25036207346591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-6.2527760746888816E-13</v>
      </c>
      <c r="AJ121" s="14">
        <f>AI121*VLOOKUP('Données projet'!$B$10,Paramètres!$A$1:$I$89,3,0)*VLOOKUP('Données projet'!$B$10,Paramètres!$A$1:$I$89,5,0)</f>
        <v>-2.9262992029543964E-13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245.47494516762282</v>
      </c>
      <c r="AO121" s="62">
        <f t="shared" si="90"/>
        <v>145.54897745089966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3.4</v>
      </c>
      <c r="BD121" s="13">
        <f>IF('Données projet'!$A$88&gt;35,BD120+BC121-BL120,IF(A121&lt;'Données projet'!$A$88,$BA$205^A121,IF(A121='Données projet'!$A$88,'Données projet'!$B$88,BD120+BC121-BL120)))</f>
        <v>277.19999999999948</v>
      </c>
      <c r="BE121" s="14">
        <f>BD121*VLOOKUP('Données projet'!$B$11,Paramètres!$A$1:$I$89,3,0)*VLOOKUP('Données projet'!$B$11,Paramètres!$A$1:$I$89,5,0)</f>
        <v>250.81055999999953</v>
      </c>
      <c r="BF121" s="14">
        <f t="shared" si="91"/>
        <v>60.759477364108577</v>
      </c>
      <c r="BG121" s="22">
        <f t="shared" si="61"/>
        <v>542.65114840915487</v>
      </c>
      <c r="BH121" s="62">
        <f t="shared" si="62"/>
        <v>835.98448174248824</v>
      </c>
      <c r="BI121" s="62">
        <f ca="1">AVERAGE(OFFSET($BH$3,0,0,'Données projet'!$E$11+1,1))-AVERAGE(OFFSET($H$3,0,0,'Données projet'!$E$11+1,1))</f>
        <v>430.21146937947236</v>
      </c>
      <c r="BJ121" s="62">
        <f t="shared" si="92"/>
        <v>231.36959598460686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8.8675733422860506E-14</v>
      </c>
      <c r="CA121" s="14">
        <f t="shared" si="93"/>
        <v>1.3509285393066301E-12</v>
      </c>
      <c r="CB121" s="22">
        <f t="shared" si="64"/>
        <v>2.5073107750038623E-12</v>
      </c>
      <c r="CC121" s="62">
        <f t="shared" si="65"/>
        <v>293.33333333333582</v>
      </c>
      <c r="CD121" s="62">
        <f ca="1">AVERAGE(OFFSET($CC$3,0,0,'Données projet'!$E$12+1,1))-AVERAGE(OFFSET($H$3,0,0,'Données projet'!$E$12+1,1))</f>
        <v>299.07024205218266</v>
      </c>
      <c r="CE121" s="62">
        <f t="shared" si="94"/>
        <v>328.70296497136366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2.4999999999999973</v>
      </c>
      <c r="CT121" s="13">
        <f>IF('Données projet'!$A$140&gt;35,CT120+CS121-DB120,IF(A121&lt;'Données projet'!$A$140,$CQ$205^A121,IF(A121='Données projet'!$A$140,'Données projet'!$B$140,CT120+CS121-DB120)))</f>
        <v>212.94871794871821</v>
      </c>
      <c r="CU121" s="18">
        <f>CT121*VLOOKUP('Données projet'!$B$13,Paramètres!$A$1:$I$89,3,0)*VLOOKUP('Données projet'!$B$13,Paramètres!$A$1:$I$89,5,0)</f>
        <v>202.64200000000028</v>
      </c>
      <c r="CV121" s="14">
        <f t="shared" si="95"/>
        <v>50.324355136871311</v>
      </c>
      <c r="CW121" s="22">
        <f t="shared" si="67"/>
        <v>440.58306853005132</v>
      </c>
      <c r="CX121" s="62">
        <f t="shared" si="68"/>
        <v>733.91640186338464</v>
      </c>
      <c r="CY121" s="62">
        <f ca="1">AVERAGE(OFFSET($CX$3,0,0,'Données projet'!$E$13+1,1))-AVERAGE(OFFSET($H$3,0,0,'Données projet'!$E$13+1,1))</f>
        <v>300.36889324671682</v>
      </c>
      <c r="CZ121" s="62">
        <f t="shared" si="96"/>
        <v>214.36051699039683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projet'!$B$9,Paramètres!$A$1:$I$89,3,0)*VLOOKUP('Données projet'!$B$9,Paramètres!$A$1:$I$89,5,0)</f>
        <v>284.52839999999946</v>
      </c>
      <c r="P122" s="14">
        <f t="shared" si="87"/>
        <v>67.923094584210745</v>
      </c>
      <c r="Q122" s="22">
        <f t="shared" si="107"/>
        <v>613.85301973416608</v>
      </c>
      <c r="R122" s="62">
        <f t="shared" si="55"/>
        <v>907.18635306749934</v>
      </c>
      <c r="S122" s="62">
        <f ca="1">AVERAGE(OFFSET($R$3,0,0,'Données projet'!$E$9+1,1))-AVERAGE(OFFSET($H$3,0,0,'Données projet'!$E$9+1,1))</f>
        <v>477.00263959594946</v>
      </c>
      <c r="T122" s="62">
        <f t="shared" si="88"/>
        <v>254.25036207346591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-6.2527760746888816E-13</v>
      </c>
      <c r="AJ122" s="14">
        <f>AI122*VLOOKUP('Données projet'!$B$10,Paramètres!$A$1:$I$89,3,0)*VLOOKUP('Données projet'!$B$10,Paramètres!$A$1:$I$89,5,0)</f>
        <v>-2.9262992029543964E-13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245.47494516762282</v>
      </c>
      <c r="AO122" s="62">
        <f t="shared" si="90"/>
        <v>145.54897745089966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3.4</v>
      </c>
      <c r="BD122" s="13">
        <f>IF('Données projet'!$A$88&gt;35,BD121+BC122-BL121,IF(A122&lt;'Données projet'!$A$88,$BA$205^A122,IF(A122='Données projet'!$A$88,'Données projet'!$B$88,BD121+BC122-BL121)))</f>
        <v>280.59999999999945</v>
      </c>
      <c r="BE122" s="14">
        <f>BD122*VLOOKUP('Données projet'!$B$11,Paramètres!$A$1:$I$89,3,0)*VLOOKUP('Données projet'!$B$11,Paramètres!$A$1:$I$89,5,0)</f>
        <v>253.88687999999951</v>
      </c>
      <c r="BF122" s="14">
        <f t="shared" si="91"/>
        <v>61.41750889127686</v>
      </c>
      <c r="BG122" s="22">
        <f t="shared" si="61"/>
        <v>549.1551439856396</v>
      </c>
      <c r="BH122" s="62">
        <f t="shared" si="62"/>
        <v>842.48847731897285</v>
      </c>
      <c r="BI122" s="62">
        <f ca="1">AVERAGE(OFFSET($BH$3,0,0,'Données projet'!$E$11+1,1))-AVERAGE(OFFSET($H$3,0,0,'Données projet'!$E$11+1,1))</f>
        <v>430.21146937947236</v>
      </c>
      <c r="BJ122" s="62">
        <f t="shared" si="92"/>
        <v>231.36959598460686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8.8675733422860506E-14</v>
      </c>
      <c r="CA122" s="14">
        <f t="shared" si="93"/>
        <v>1.3509285393066301E-12</v>
      </c>
      <c r="CB122" s="22">
        <f t="shared" si="64"/>
        <v>2.5073107750038623E-12</v>
      </c>
      <c r="CC122" s="62">
        <f t="shared" si="65"/>
        <v>293.33333333333582</v>
      </c>
      <c r="CD122" s="62">
        <f ca="1">AVERAGE(OFFSET($CC$3,0,0,'Données projet'!$E$12+1,1))-AVERAGE(OFFSET($H$3,0,0,'Données projet'!$E$12+1,1))</f>
        <v>299.07024205218266</v>
      </c>
      <c r="CE122" s="62">
        <f t="shared" si="94"/>
        <v>328.70296497136366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2.4999999999999973</v>
      </c>
      <c r="CT122" s="13">
        <f>IF('Données projet'!$A$140&gt;35,CT121+CS122-DB121,IF(A122&lt;'Données projet'!$A$140,$CQ$205^A122,IF(A122='Données projet'!$A$140,'Données projet'!$B$140,CT121+CS122-DB121)))</f>
        <v>215.44871794871821</v>
      </c>
      <c r="CU122" s="18">
        <f>CT122*VLOOKUP('Données projet'!$B$13,Paramètres!$A$1:$I$89,3,0)*VLOOKUP('Données projet'!$B$13,Paramètres!$A$1:$I$89,5,0)</f>
        <v>205.02100000000024</v>
      </c>
      <c r="CV122" s="14">
        <f t="shared" si="95"/>
        <v>50.846034137297018</v>
      </c>
      <c r="CW122" s="22">
        <f t="shared" si="67"/>
        <v>445.63508445579265</v>
      </c>
      <c r="CX122" s="62">
        <f t="shared" si="68"/>
        <v>738.96841778912597</v>
      </c>
      <c r="CY122" s="62">
        <f ca="1">AVERAGE(OFFSET($CX$3,0,0,'Données projet'!$E$13+1,1))-AVERAGE(OFFSET($H$3,0,0,'Données projet'!$E$13+1,1))</f>
        <v>300.36889324671682</v>
      </c>
      <c r="CZ122" s="62">
        <f t="shared" si="96"/>
        <v>214.36051699039683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projet'!$B$9,Paramètres!$A$1:$I$89,3,0)*VLOOKUP('Données projet'!$B$9,Paramètres!$A$1:$I$89,5,0)</f>
        <v>287.97599999999943</v>
      </c>
      <c r="P123" s="14">
        <f t="shared" si="87"/>
        <v>68.649801713863027</v>
      </c>
      <c r="Q123" s="22">
        <f t="shared" si="107"/>
        <v>621.12327131831046</v>
      </c>
      <c r="R123" s="62">
        <f t="shared" si="55"/>
        <v>914.45660465164383</v>
      </c>
      <c r="S123" s="62">
        <f ca="1">AVERAGE(OFFSET($R$3,0,0,'Données projet'!$E$9+1,1))-AVERAGE(OFFSET($H$3,0,0,'Données projet'!$E$9+1,1))</f>
        <v>477.00263959594946</v>
      </c>
      <c r="T123" s="62">
        <f t="shared" si="88"/>
        <v>254.25036207346591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-6.2527760746888816E-13</v>
      </c>
      <c r="AJ123" s="14">
        <f>AI123*VLOOKUP('Données projet'!$B$10,Paramètres!$A$1:$I$89,3,0)*VLOOKUP('Données projet'!$B$10,Paramètres!$A$1:$I$89,5,0)</f>
        <v>-2.9262992029543964E-13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245.47494516762282</v>
      </c>
      <c r="AO123" s="62">
        <f t="shared" si="90"/>
        <v>145.54897745089966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3.4</v>
      </c>
      <c r="BD123" s="13">
        <f>IF('Données projet'!$A$88&gt;35,BD122+BC123-BL122,IF(A123&lt;'Données projet'!$A$88,$BA$205^A123,IF(A123='Données projet'!$A$88,'Données projet'!$B$88,BD122+BC123-BL122)))</f>
        <v>283.99999999999943</v>
      </c>
      <c r="BE123" s="14">
        <f>BD123*VLOOKUP('Données projet'!$B$11,Paramètres!$A$1:$I$89,3,0)*VLOOKUP('Données projet'!$B$11,Paramètres!$A$1:$I$89,5,0)</f>
        <v>256.96319999999946</v>
      </c>
      <c r="BF123" s="14">
        <f t="shared" si="91"/>
        <v>62.07461295683791</v>
      </c>
      <c r="BG123" s="22">
        <f t="shared" si="61"/>
        <v>555.65752423315837</v>
      </c>
      <c r="BH123" s="62">
        <f t="shared" si="62"/>
        <v>848.99085756649174</v>
      </c>
      <c r="BI123" s="62">
        <f ca="1">AVERAGE(OFFSET($BH$3,0,0,'Données projet'!$E$11+1,1))-AVERAGE(OFFSET($H$3,0,0,'Données projet'!$E$11+1,1))</f>
        <v>430.21146937947236</v>
      </c>
      <c r="BJ123" s="62">
        <f t="shared" si="92"/>
        <v>231.36959598460686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8.8675733422860506E-14</v>
      </c>
      <c r="CA123" s="14">
        <f t="shared" si="93"/>
        <v>1.3509285393066301E-12</v>
      </c>
      <c r="CB123" s="22">
        <f t="shared" si="64"/>
        <v>2.5073107750038623E-12</v>
      </c>
      <c r="CC123" s="62">
        <f t="shared" si="65"/>
        <v>293.33333333333582</v>
      </c>
      <c r="CD123" s="62">
        <f ca="1">AVERAGE(OFFSET($CC$3,0,0,'Données projet'!$E$12+1,1))-AVERAGE(OFFSET($H$3,0,0,'Données projet'!$E$12+1,1))</f>
        <v>299.07024205218266</v>
      </c>
      <c r="CE123" s="62">
        <f t="shared" si="94"/>
        <v>328.70296497136366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217.94871794871793</v>
      </c>
      <c r="CR123" s="13">
        <f>VLOOKUP(A123,'Données projet'!$A$139:$I$159,9,0)</f>
        <v>2.4999999999999973</v>
      </c>
      <c r="CS123" s="13">
        <f t="array" ref="CS123">INDEX(CR:CR,MIN(IF(ISNUMBER(CR123:CR319),ROW(CR123:CR319),"")))</f>
        <v>2.4999999999999973</v>
      </c>
      <c r="CT123" s="13">
        <f>IF('Données projet'!$A$140&gt;35,CT122+CS123-DB122,IF(A123&lt;'Données projet'!$A$140,$CQ$205^A123,IF(A123='Données projet'!$A$140,'Données projet'!$B$140,CT122+CS123-DB122)))</f>
        <v>217.94871794871821</v>
      </c>
      <c r="CU123" s="18">
        <f>CT123*VLOOKUP('Données projet'!$B$13,Paramètres!$A$1:$I$89,3,0)*VLOOKUP('Données projet'!$B$13,Paramètres!$A$1:$I$89,5,0)</f>
        <v>207.40000000000023</v>
      </c>
      <c r="CV123" s="14">
        <f t="shared" si="95"/>
        <v>51.367008980763991</v>
      </c>
      <c r="CW123" s="22">
        <f t="shared" si="67"/>
        <v>450.68587397483105</v>
      </c>
      <c r="CX123" s="62">
        <f t="shared" si="68"/>
        <v>744.01920730816437</v>
      </c>
      <c r="CY123" s="62">
        <f ca="1">AVERAGE(OFFSET($CX$3,0,0,'Données projet'!$E$13+1,1))-AVERAGE(OFFSET($H$3,0,0,'Données projet'!$E$13+1,1))</f>
        <v>300.36889324671682</v>
      </c>
      <c r="CZ123" s="62">
        <f t="shared" si="96"/>
        <v>214.36051699039683</v>
      </c>
      <c r="DA123" s="16">
        <f>IF(ISNA(VLOOKUP(A123,'Données projet'!$A$139:$I$159,3,0)),0,VLOOKUP(A123,'Données projet'!$A$139:$I$159,3,0))</f>
        <v>11</v>
      </c>
      <c r="DB123" s="16">
        <f>IF(ISNA(VLOOKUP(A123,'Données projet'!$A$139:$I$159,4,0)),0,VLOOKUP(A123,'Données projet'!$A$139:$I$159,4,0))</f>
        <v>217.94871794871793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projet'!$B$9,Paramètres!$A$1:$I$89,3,0)*VLOOKUP('Données projet'!$B$9,Paramètres!$A$1:$I$89,5,0)</f>
        <v>291.42359999999945</v>
      </c>
      <c r="P124" s="14">
        <f t="shared" si="87"/>
        <v>69.375496841482047</v>
      </c>
      <c r="Q124" s="22">
        <f t="shared" si="107"/>
        <v>628.39176033224692</v>
      </c>
      <c r="R124" s="62">
        <f t="shared" si="55"/>
        <v>921.72509366558029</v>
      </c>
      <c r="S124" s="62">
        <f ca="1">AVERAGE(OFFSET($R$3,0,0,'Données projet'!$E$9+1,1))-AVERAGE(OFFSET($H$3,0,0,'Données projet'!$E$9+1,1))</f>
        <v>477.00263959594946</v>
      </c>
      <c r="T124" s="62">
        <f t="shared" si="88"/>
        <v>254.25036207346591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-6.2527760746888816E-13</v>
      </c>
      <c r="AJ124" s="14">
        <f>AI124*VLOOKUP('Données projet'!$B$10,Paramètres!$A$1:$I$89,3,0)*VLOOKUP('Données projet'!$B$10,Paramètres!$A$1:$I$89,5,0)</f>
        <v>-2.9262992029543964E-13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245.47494516762282</v>
      </c>
      <c r="AO124" s="62">
        <f t="shared" si="90"/>
        <v>145.54897745089966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3.4</v>
      </c>
      <c r="BD124" s="13">
        <f>IF('Données projet'!$A$88&gt;35,BD123+BC124-BL123,IF(A124&lt;'Données projet'!$A$88,$BA$205^A124,IF(A124='Données projet'!$A$88,'Données projet'!$B$88,BD123+BC124-BL123)))</f>
        <v>287.39999999999941</v>
      </c>
      <c r="BE124" s="14">
        <f>BD124*VLOOKUP('Données projet'!$B$11,Paramètres!$A$1:$I$89,3,0)*VLOOKUP('Données projet'!$B$11,Paramètres!$A$1:$I$89,5,0)</f>
        <v>260.03951999999947</v>
      </c>
      <c r="BF124" s="14">
        <f t="shared" si="91"/>
        <v>62.730801948604764</v>
      </c>
      <c r="BG124" s="22">
        <f t="shared" si="61"/>
        <v>562.1583107271523</v>
      </c>
      <c r="BH124" s="62">
        <f t="shared" si="62"/>
        <v>855.49164406048567</v>
      </c>
      <c r="BI124" s="62">
        <f ca="1">AVERAGE(OFFSET($BH$3,0,0,'Données projet'!$E$11+1,1))-AVERAGE(OFFSET($H$3,0,0,'Données projet'!$E$11+1,1))</f>
        <v>430.21146937947236</v>
      </c>
      <c r="BJ124" s="62">
        <f t="shared" si="92"/>
        <v>231.36959598460686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8.8675733422860506E-14</v>
      </c>
      <c r="CA124" s="14">
        <f t="shared" si="93"/>
        <v>1.3509285393066301E-12</v>
      </c>
      <c r="CB124" s="22">
        <f t="shared" si="64"/>
        <v>2.5073107750038623E-12</v>
      </c>
      <c r="CC124" s="62">
        <f t="shared" si="65"/>
        <v>293.33333333333582</v>
      </c>
      <c r="CD124" s="62">
        <f ca="1">AVERAGE(OFFSET($CC$3,0,0,'Données projet'!$E$12+1,1))-AVERAGE(OFFSET($H$3,0,0,'Données projet'!$E$12+1,1))</f>
        <v>299.07024205218266</v>
      </c>
      <c r="CE124" s="62">
        <f t="shared" si="94"/>
        <v>328.70296497136366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2.8421709430404007E-13</v>
      </c>
      <c r="CU124" s="18">
        <f>CT124*VLOOKUP('Données projet'!$B$13,Paramètres!$A$1:$I$89,3,0)*VLOOKUP('Données projet'!$B$13,Paramètres!$A$1:$I$89,5,0)</f>
        <v>2.7046098693972454E-13</v>
      </c>
      <c r="CV124" s="14">
        <f t="shared" si="95"/>
        <v>3.6187594451142911E-12</v>
      </c>
      <c r="CW124" s="22">
        <f t="shared" si="67"/>
        <v>6.7737255858274096E-12</v>
      </c>
      <c r="CX124" s="62">
        <f t="shared" si="68"/>
        <v>293.33333333334008</v>
      </c>
      <c r="CY124" s="62">
        <f ca="1">AVERAGE(OFFSET($CX$3,0,0,'Données projet'!$E$13+1,1))-AVERAGE(OFFSET($H$3,0,0,'Données projet'!$E$13+1,1))</f>
        <v>300.36889324671682</v>
      </c>
      <c r="CZ124" s="62">
        <f t="shared" si="96"/>
        <v>214.36051699039683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projet'!$B$9,Paramètres!$A$1:$I$89,3,0)*VLOOKUP('Données projet'!$B$9,Paramètres!$A$1:$I$89,5,0)</f>
        <v>294.87119999999942</v>
      </c>
      <c r="P125" s="14">
        <f t="shared" si="87"/>
        <v>70.100193324246931</v>
      </c>
      <c r="Q125" s="22">
        <f t="shared" si="107"/>
        <v>635.65851003972909</v>
      </c>
      <c r="R125" s="62">
        <f t="shared" si="55"/>
        <v>928.99184337306247</v>
      </c>
      <c r="S125" s="62">
        <f ca="1">AVERAGE(OFFSET($R$3,0,0,'Données projet'!$E$9+1,1))-AVERAGE(OFFSET($H$3,0,0,'Données projet'!$E$9+1,1))</f>
        <v>477.00263959594946</v>
      </c>
      <c r="T125" s="62">
        <f t="shared" si="88"/>
        <v>254.25036207346591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-6.2527760746888816E-13</v>
      </c>
      <c r="AJ125" s="14">
        <f>AI125*VLOOKUP('Données projet'!$B$10,Paramètres!$A$1:$I$89,3,0)*VLOOKUP('Données projet'!$B$10,Paramètres!$A$1:$I$89,5,0)</f>
        <v>-2.9262992029543964E-13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245.47494516762282</v>
      </c>
      <c r="AO125" s="62">
        <f t="shared" si="90"/>
        <v>145.54897745089966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3.4</v>
      </c>
      <c r="BD125" s="13">
        <f>IF('Données projet'!$A$88&gt;35,BD124+BC125-BL124,IF(A125&lt;'Données projet'!$A$88,$BA$205^A125,IF(A125='Données projet'!$A$88,'Données projet'!$B$88,BD124+BC125-BL124)))</f>
        <v>290.79999999999939</v>
      </c>
      <c r="BE125" s="14">
        <f>BD125*VLOOKUP('Données projet'!$B$11,Paramètres!$A$1:$I$89,3,0)*VLOOKUP('Données projet'!$B$11,Paramètres!$A$1:$I$89,5,0)</f>
        <v>263.11583999999948</v>
      </c>
      <c r="BF125" s="14">
        <f t="shared" si="91"/>
        <v>63.386087944423274</v>
      </c>
      <c r="BG125" s="22">
        <f t="shared" si="61"/>
        <v>568.65752450320281</v>
      </c>
      <c r="BH125" s="62">
        <f t="shared" si="62"/>
        <v>861.99085783653618</v>
      </c>
      <c r="BI125" s="62">
        <f ca="1">AVERAGE(OFFSET($BH$3,0,0,'Données projet'!$E$11+1,1))-AVERAGE(OFFSET($H$3,0,0,'Données projet'!$E$11+1,1))</f>
        <v>430.21146937947236</v>
      </c>
      <c r="BJ125" s="62">
        <f t="shared" si="92"/>
        <v>231.36959598460686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8.8675733422860506E-14</v>
      </c>
      <c r="CA125" s="14">
        <f t="shared" si="93"/>
        <v>1.3509285393066301E-12</v>
      </c>
      <c r="CB125" s="22">
        <f t="shared" si="64"/>
        <v>2.5073107750038623E-12</v>
      </c>
      <c r="CC125" s="62">
        <f t="shared" si="65"/>
        <v>293.33333333333582</v>
      </c>
      <c r="CD125" s="62">
        <f ca="1">AVERAGE(OFFSET($CC$3,0,0,'Données projet'!$E$12+1,1))-AVERAGE(OFFSET($H$3,0,0,'Données projet'!$E$12+1,1))</f>
        <v>299.07024205218266</v>
      </c>
      <c r="CE125" s="62">
        <f t="shared" si="94"/>
        <v>328.70296497136366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2.8421709430404007E-13</v>
      </c>
      <c r="CU125" s="18">
        <f>CT125*VLOOKUP('Données projet'!$B$13,Paramètres!$A$1:$I$89,3,0)*VLOOKUP('Données projet'!$B$13,Paramètres!$A$1:$I$89,5,0)</f>
        <v>2.7046098693972454E-13</v>
      </c>
      <c r="CV125" s="14">
        <f t="shared" si="95"/>
        <v>3.6187594451142911E-12</v>
      </c>
      <c r="CW125" s="22">
        <f t="shared" si="67"/>
        <v>6.7737255858274096E-12</v>
      </c>
      <c r="CX125" s="62">
        <f t="shared" si="68"/>
        <v>293.33333333334008</v>
      </c>
      <c r="CY125" s="62">
        <f ca="1">AVERAGE(OFFSET($CX$3,0,0,'Données projet'!$E$13+1,1))-AVERAGE(OFFSET($H$3,0,0,'Données projet'!$E$13+1,1))</f>
        <v>300.36889324671682</v>
      </c>
      <c r="CZ125" s="62">
        <f t="shared" si="96"/>
        <v>214.36051699039683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projet'!$B$9,Paramètres!$A$1:$I$89,3,0)*VLOOKUP('Données projet'!$B$9,Paramètres!$A$1:$I$89,5,0)</f>
        <v>298.31879999999938</v>
      </c>
      <c r="P126" s="14">
        <f t="shared" si="87"/>
        <v>70.823904189019785</v>
      </c>
      <c r="Q126" s="22">
        <f t="shared" si="107"/>
        <v>642.92354312920827</v>
      </c>
      <c r="R126" s="62">
        <f t="shared" si="55"/>
        <v>936.25687646254164</v>
      </c>
      <c r="S126" s="62">
        <f ca="1">AVERAGE(OFFSET($R$3,0,0,'Données projet'!$E$9+1,1))-AVERAGE(OFFSET($H$3,0,0,'Données projet'!$E$9+1,1))</f>
        <v>477.00263959594946</v>
      </c>
      <c r="T126" s="62">
        <f t="shared" si="88"/>
        <v>254.25036207346591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-6.2527760746888816E-13</v>
      </c>
      <c r="AJ126" s="14">
        <f>AI126*VLOOKUP('Données projet'!$B$10,Paramètres!$A$1:$I$89,3,0)*VLOOKUP('Données projet'!$B$10,Paramètres!$A$1:$I$89,5,0)</f>
        <v>-2.9262992029543964E-13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245.47494516762282</v>
      </c>
      <c r="AO126" s="62">
        <f t="shared" si="90"/>
        <v>145.54897745089966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3.4</v>
      </c>
      <c r="BD126" s="13">
        <f>IF('Données projet'!$A$88&gt;35,BD125+BC126-BL125,IF(A126&lt;'Données projet'!$A$88,$BA$205^A126,IF(A126='Données projet'!$A$88,'Données projet'!$B$88,BD125+BC126-BL125)))</f>
        <v>294.19999999999936</v>
      </c>
      <c r="BE126" s="14">
        <f>BD126*VLOOKUP('Données projet'!$B$11,Paramètres!$A$1:$I$89,3,0)*VLOOKUP('Données projet'!$B$11,Paramètres!$A$1:$I$89,5,0)</f>
        <v>266.19215999999943</v>
      </c>
      <c r="BF126" s="14">
        <f t="shared" si="91"/>
        <v>64.04048272345959</v>
      </c>
      <c r="BG126" s="22">
        <f t="shared" si="61"/>
        <v>575.15518607669117</v>
      </c>
      <c r="BH126" s="62">
        <f t="shared" si="62"/>
        <v>868.48851941002454</v>
      </c>
      <c r="BI126" s="62">
        <f ca="1">AVERAGE(OFFSET($BH$3,0,0,'Données projet'!$E$11+1,1))-AVERAGE(OFFSET($H$3,0,0,'Données projet'!$E$11+1,1))</f>
        <v>430.21146937947236</v>
      </c>
      <c r="BJ126" s="62">
        <f t="shared" si="92"/>
        <v>231.36959598460686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8.8675733422860506E-14</v>
      </c>
      <c r="CA126" s="14">
        <f t="shared" si="93"/>
        <v>1.3509285393066301E-12</v>
      </c>
      <c r="CB126" s="22">
        <f t="shared" si="64"/>
        <v>2.5073107750038623E-12</v>
      </c>
      <c r="CC126" s="62">
        <f t="shared" si="65"/>
        <v>293.33333333333582</v>
      </c>
      <c r="CD126" s="62">
        <f ca="1">AVERAGE(OFFSET($CC$3,0,0,'Données projet'!$E$12+1,1))-AVERAGE(OFFSET($H$3,0,0,'Données projet'!$E$12+1,1))</f>
        <v>299.07024205218266</v>
      </c>
      <c r="CE126" s="62">
        <f t="shared" si="94"/>
        <v>328.70296497136366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2.8421709430404007E-13</v>
      </c>
      <c r="CU126" s="18">
        <f>CT126*VLOOKUP('Données projet'!$B$13,Paramètres!$A$1:$I$89,3,0)*VLOOKUP('Données projet'!$B$13,Paramètres!$A$1:$I$89,5,0)</f>
        <v>2.7046098693972454E-13</v>
      </c>
      <c r="CV126" s="14">
        <f t="shared" si="95"/>
        <v>3.6187594451142911E-12</v>
      </c>
      <c r="CW126" s="22">
        <f t="shared" si="67"/>
        <v>6.7737255858274096E-12</v>
      </c>
      <c r="CX126" s="62">
        <f t="shared" si="68"/>
        <v>293.33333333334008</v>
      </c>
      <c r="CY126" s="62">
        <f ca="1">AVERAGE(OFFSET($CX$3,0,0,'Données projet'!$E$13+1,1))-AVERAGE(OFFSET($H$3,0,0,'Données projet'!$E$13+1,1))</f>
        <v>300.36889324671682</v>
      </c>
      <c r="CZ126" s="62">
        <f t="shared" si="96"/>
        <v>214.36051699039683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projet'!$B$9,Paramètres!$A$1:$I$89,3,0)*VLOOKUP('Données projet'!$B$9,Paramètres!$A$1:$I$89,5,0)</f>
        <v>301.76639999999935</v>
      </c>
      <c r="P127" s="14">
        <f t="shared" si="87"/>
        <v>71.546642144235236</v>
      </c>
      <c r="Q127" s="22">
        <f t="shared" si="107"/>
        <v>650.18688173454188</v>
      </c>
      <c r="R127" s="62">
        <f t="shared" si="55"/>
        <v>943.52021506787514</v>
      </c>
      <c r="S127" s="62">
        <f ca="1">AVERAGE(OFFSET($R$3,0,0,'Données projet'!$E$9+1,1))-AVERAGE(OFFSET($H$3,0,0,'Données projet'!$E$9+1,1))</f>
        <v>477.00263959594946</v>
      </c>
      <c r="T127" s="62">
        <f t="shared" si="88"/>
        <v>254.25036207346591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-6.2527760746888816E-13</v>
      </c>
      <c r="AJ127" s="14">
        <f>AI127*VLOOKUP('Données projet'!$B$10,Paramètres!$A$1:$I$89,3,0)*VLOOKUP('Données projet'!$B$10,Paramètres!$A$1:$I$89,5,0)</f>
        <v>-2.9262992029543964E-13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245.47494516762282</v>
      </c>
      <c r="AO127" s="62">
        <f t="shared" si="90"/>
        <v>145.54897745089966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3.4</v>
      </c>
      <c r="BD127" s="13">
        <f>IF('Données projet'!$A$88&gt;35,BD126+BC127-BL126,IF(A127&lt;'Données projet'!$A$88,$BA$205^A127,IF(A127='Données projet'!$A$88,'Données projet'!$B$88,BD126+BC127-BL126)))</f>
        <v>297.59999999999934</v>
      </c>
      <c r="BE127" s="14">
        <f>BD127*VLOOKUP('Données projet'!$B$11,Paramètres!$A$1:$I$89,3,0)*VLOOKUP('Données projet'!$B$11,Paramètres!$A$1:$I$89,5,0)</f>
        <v>269.26847999999939</v>
      </c>
      <c r="BF127" s="14">
        <f t="shared" si="91"/>
        <v>64.693997776951065</v>
      </c>
      <c r="BG127" s="22">
        <f t="shared" si="61"/>
        <v>581.65131546152202</v>
      </c>
      <c r="BH127" s="62">
        <f t="shared" si="62"/>
        <v>874.98464879485527</v>
      </c>
      <c r="BI127" s="62">
        <f ca="1">AVERAGE(OFFSET($BH$3,0,0,'Données projet'!$E$11+1,1))-AVERAGE(OFFSET($H$3,0,0,'Données projet'!$E$11+1,1))</f>
        <v>430.21146937947236</v>
      </c>
      <c r="BJ127" s="62">
        <f t="shared" si="92"/>
        <v>231.36959598460686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8.8675733422860506E-14</v>
      </c>
      <c r="CA127" s="14">
        <f t="shared" si="93"/>
        <v>1.3509285393066301E-12</v>
      </c>
      <c r="CB127" s="22">
        <f t="shared" si="64"/>
        <v>2.5073107750038623E-12</v>
      </c>
      <c r="CC127" s="62">
        <f t="shared" si="65"/>
        <v>293.33333333333582</v>
      </c>
      <c r="CD127" s="62">
        <f ca="1">AVERAGE(OFFSET($CC$3,0,0,'Données projet'!$E$12+1,1))-AVERAGE(OFFSET($H$3,0,0,'Données projet'!$E$12+1,1))</f>
        <v>299.07024205218266</v>
      </c>
      <c r="CE127" s="62">
        <f t="shared" si="94"/>
        <v>328.70296497136366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2.8421709430404007E-13</v>
      </c>
      <c r="CU127" s="18">
        <f>CT127*VLOOKUP('Données projet'!$B$13,Paramètres!$A$1:$I$89,3,0)*VLOOKUP('Données projet'!$B$13,Paramètres!$A$1:$I$89,5,0)</f>
        <v>2.7046098693972454E-13</v>
      </c>
      <c r="CV127" s="14">
        <f t="shared" si="95"/>
        <v>3.6187594451142911E-12</v>
      </c>
      <c r="CW127" s="22">
        <f t="shared" si="67"/>
        <v>6.7737255858274096E-12</v>
      </c>
      <c r="CX127" s="62">
        <f t="shared" si="68"/>
        <v>293.33333333334008</v>
      </c>
      <c r="CY127" s="62">
        <f ca="1">AVERAGE(OFFSET($CX$3,0,0,'Données projet'!$E$13+1,1))-AVERAGE(OFFSET($H$3,0,0,'Données projet'!$E$13+1,1))</f>
        <v>300.36889324671682</v>
      </c>
      <c r="CZ127" s="62">
        <f t="shared" si="96"/>
        <v>214.36051699039683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projet'!$B$9,Paramètres!$A$1:$I$89,3,0)*VLOOKUP('Données projet'!$B$9,Paramètres!$A$1:$I$89,5,0)</f>
        <v>305.21399999999932</v>
      </c>
      <c r="P128" s="14">
        <f t="shared" si="87"/>
        <v>72.268419591231137</v>
      </c>
      <c r="Q128" s="22">
        <f t="shared" si="107"/>
        <v>657.44854745472628</v>
      </c>
      <c r="R128" s="62">
        <f t="shared" si="55"/>
        <v>950.78188078805965</v>
      </c>
      <c r="S128" s="62">
        <f ca="1">AVERAGE(OFFSET($R$3,0,0,'Données projet'!$E$9+1,1))-AVERAGE(OFFSET($H$3,0,0,'Données projet'!$E$9+1,1))</f>
        <v>477.00263959594946</v>
      </c>
      <c r="T128" s="62">
        <f t="shared" si="88"/>
        <v>254.25036207346591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-6.2527760746888816E-13</v>
      </c>
      <c r="AJ128" s="14">
        <f>AI128*VLOOKUP('Données projet'!$B$10,Paramètres!$A$1:$I$89,3,0)*VLOOKUP('Données projet'!$B$10,Paramètres!$A$1:$I$89,5,0)</f>
        <v>-2.9262992029543964E-13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245.47494516762282</v>
      </c>
      <c r="AO128" s="62">
        <f t="shared" si="90"/>
        <v>145.54897745089966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301</v>
      </c>
      <c r="BB128" s="13">
        <f>VLOOKUP(A128,'Données projet'!$A$87:$I$107,9,0)</f>
        <v>3.4</v>
      </c>
      <c r="BC128" s="13">
        <f t="array" ref="BC128">INDEX(BB:BB,MIN(IF(ISNUMBER(BB128:BB324),ROW(BB128:BB324),"")))</f>
        <v>3.4</v>
      </c>
      <c r="BD128" s="13">
        <f>IF('Données projet'!$A$88&gt;35,BD127+BC128-BL127,IF(A128&lt;'Données projet'!$A$88,$BA$205^A128,IF(A128='Données projet'!$A$88,'Données projet'!$B$88,BD127+BC128-BL127)))</f>
        <v>300.99999999999932</v>
      </c>
      <c r="BE128" s="14">
        <f>BD128*VLOOKUP('Données projet'!$B$11,Paramètres!$A$1:$I$89,3,0)*VLOOKUP('Données projet'!$B$11,Paramètres!$A$1:$I$89,5,0)</f>
        <v>272.34479999999934</v>
      </c>
      <c r="BF128" s="14">
        <f t="shared" si="91"/>
        <v>65.346644318451595</v>
      </c>
      <c r="BG128" s="22">
        <f t="shared" si="61"/>
        <v>588.1459321879687</v>
      </c>
      <c r="BH128" s="62">
        <f t="shared" si="62"/>
        <v>881.47926552130207</v>
      </c>
      <c r="BI128" s="62">
        <f ca="1">AVERAGE(OFFSET($BH$3,0,0,'Données projet'!$E$11+1,1))-AVERAGE(OFFSET($H$3,0,0,'Données projet'!$E$11+1,1))</f>
        <v>430.21146937947236</v>
      </c>
      <c r="BJ128" s="62">
        <f t="shared" si="92"/>
        <v>231.36959598460686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33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8.8675733422860506E-14</v>
      </c>
      <c r="CA128" s="14">
        <f t="shared" si="93"/>
        <v>1.3509285393066301E-12</v>
      </c>
      <c r="CB128" s="22">
        <f t="shared" si="64"/>
        <v>2.5073107750038623E-12</v>
      </c>
      <c r="CC128" s="62">
        <f t="shared" si="65"/>
        <v>293.33333333333582</v>
      </c>
      <c r="CD128" s="62">
        <f ca="1">AVERAGE(OFFSET($CC$3,0,0,'Données projet'!$E$12+1,1))-AVERAGE(OFFSET($H$3,0,0,'Données projet'!$E$12+1,1))</f>
        <v>299.07024205218266</v>
      </c>
      <c r="CE128" s="62">
        <f t="shared" si="94"/>
        <v>328.70296497136366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2.8421709430404007E-13</v>
      </c>
      <c r="CU128" s="18">
        <f>CT128*VLOOKUP('Données projet'!$B$13,Paramètres!$A$1:$I$89,3,0)*VLOOKUP('Données projet'!$B$13,Paramètres!$A$1:$I$89,5,0)</f>
        <v>2.7046098693972454E-13</v>
      </c>
      <c r="CV128" s="14">
        <f t="shared" si="95"/>
        <v>3.6187594451142911E-12</v>
      </c>
      <c r="CW128" s="22">
        <f t="shared" si="67"/>
        <v>6.7737255858274096E-12</v>
      </c>
      <c r="CX128" s="62">
        <f t="shared" si="68"/>
        <v>293.33333333334008</v>
      </c>
      <c r="CY128" s="62">
        <f ca="1">AVERAGE(OFFSET($CX$3,0,0,'Données projet'!$E$13+1,1))-AVERAGE(OFFSET($H$3,0,0,'Données projet'!$E$13+1,1))</f>
        <v>300.36889324671682</v>
      </c>
      <c r="CZ128" s="62">
        <f t="shared" si="96"/>
        <v>214.36051699039683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projet'!$B$9,Paramètres!$A$1:$I$89,3,0)*VLOOKUP('Données projet'!$B$9,Paramètres!$A$1:$I$89,5,0)</f>
        <v>274.7939999999993</v>
      </c>
      <c r="P129" s="14">
        <f t="shared" si="87"/>
        <v>65.865632600455356</v>
      </c>
      <c r="Q129" s="22">
        <f t="shared" si="107"/>
        <v>593.31552677912521</v>
      </c>
      <c r="R129" s="62">
        <f t="shared" si="55"/>
        <v>886.64886011245858</v>
      </c>
      <c r="S129" s="62">
        <f ca="1">AVERAGE(OFFSET($R$3,0,0,'Données projet'!$E$9+1,1))-AVERAGE(OFFSET($H$3,0,0,'Données projet'!$E$9+1,1))</f>
        <v>477.00263959594946</v>
      </c>
      <c r="T129" s="62">
        <f t="shared" si="88"/>
        <v>254.25036207346591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-6.2527760746888816E-13</v>
      </c>
      <c r="AJ129" s="14">
        <f>AI129*VLOOKUP('Données projet'!$B$10,Paramètres!$A$1:$I$89,3,0)*VLOOKUP('Données projet'!$B$10,Paramètres!$A$1:$I$89,5,0)</f>
        <v>-2.9262992029543964E-13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245.47494516762282</v>
      </c>
      <c r="AO129" s="62">
        <f t="shared" si="90"/>
        <v>145.54897745089966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</v>
      </c>
      <c r="BD129" s="13">
        <f>IF('Données projet'!$A$88&gt;35,BD128+BC129-BL128,IF(A129&lt;'Données projet'!$A$88,$BA$205^A129,IF(A129='Données projet'!$A$88,'Données projet'!$B$88,BD128+BC129-BL128)))</f>
        <v>270.99999999999932</v>
      </c>
      <c r="BE129" s="14">
        <f>BD129*VLOOKUP('Données projet'!$B$11,Paramètres!$A$1:$I$89,3,0)*VLOOKUP('Données projet'!$B$11,Paramètres!$A$1:$I$89,5,0)</f>
        <v>245.20079999999936</v>
      </c>
      <c r="BF129" s="14">
        <f t="shared" si="91"/>
        <v>59.557107941433571</v>
      </c>
      <c r="BG129" s="22">
        <f t="shared" si="61"/>
        <v>530.78668966466228</v>
      </c>
      <c r="BH129" s="62">
        <f t="shared" si="62"/>
        <v>824.12002299799565</v>
      </c>
      <c r="BI129" s="62">
        <f ca="1">AVERAGE(OFFSET($BH$3,0,0,'Données projet'!$E$11+1,1))-AVERAGE(OFFSET($H$3,0,0,'Données projet'!$E$11+1,1))</f>
        <v>430.21146937947236</v>
      </c>
      <c r="BJ129" s="62">
        <f t="shared" si="92"/>
        <v>231.36959598460686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8.8675733422860506E-14</v>
      </c>
      <c r="CA129" s="14">
        <f t="shared" si="93"/>
        <v>1.3509285393066301E-12</v>
      </c>
      <c r="CB129" s="22">
        <f t="shared" si="64"/>
        <v>2.5073107750038623E-12</v>
      </c>
      <c r="CC129" s="62">
        <f t="shared" si="65"/>
        <v>293.33333333333582</v>
      </c>
      <c r="CD129" s="62">
        <f ca="1">AVERAGE(OFFSET($CC$3,0,0,'Données projet'!$E$12+1,1))-AVERAGE(OFFSET($H$3,0,0,'Données projet'!$E$12+1,1))</f>
        <v>299.07024205218266</v>
      </c>
      <c r="CE129" s="62">
        <f t="shared" si="94"/>
        <v>328.70296497136366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2.8421709430404007E-13</v>
      </c>
      <c r="CU129" s="18">
        <f>CT129*VLOOKUP('Données projet'!$B$13,Paramètres!$A$1:$I$89,3,0)*VLOOKUP('Données projet'!$B$13,Paramètres!$A$1:$I$89,5,0)</f>
        <v>2.7046098693972454E-13</v>
      </c>
      <c r="CV129" s="14">
        <f t="shared" si="95"/>
        <v>3.6187594451142911E-12</v>
      </c>
      <c r="CW129" s="22">
        <f t="shared" si="67"/>
        <v>6.7737255858274096E-12</v>
      </c>
      <c r="CX129" s="62">
        <f t="shared" si="68"/>
        <v>293.33333333334008</v>
      </c>
      <c r="CY129" s="62">
        <f ca="1">AVERAGE(OFFSET($CX$3,0,0,'Données projet'!$E$13+1,1))-AVERAGE(OFFSET($H$3,0,0,'Données projet'!$E$13+1,1))</f>
        <v>300.36889324671682</v>
      </c>
      <c r="CZ129" s="62">
        <f t="shared" si="96"/>
        <v>214.36051699039683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projet'!$B$9,Paramètres!$A$1:$I$89,3,0)*VLOOKUP('Données projet'!$B$9,Paramètres!$A$1:$I$89,5,0)</f>
        <v>277.83599999999933</v>
      </c>
      <c r="P130" s="14">
        <f t="shared" si="87"/>
        <v>66.509487177652147</v>
      </c>
      <c r="Q130" s="22">
        <f t="shared" si="107"/>
        <v>599.73505683440965</v>
      </c>
      <c r="R130" s="62">
        <f t="shared" si="55"/>
        <v>893.06839016774302</v>
      </c>
      <c r="S130" s="62">
        <f ca="1">AVERAGE(OFFSET($R$3,0,0,'Données projet'!$E$9+1,1))-AVERAGE(OFFSET($H$3,0,0,'Données projet'!$E$9+1,1))</f>
        <v>477.00263959594946</v>
      </c>
      <c r="T130" s="62">
        <f t="shared" si="88"/>
        <v>254.25036207346591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-6.2527760746888816E-13</v>
      </c>
      <c r="AJ130" s="14">
        <f>AI130*VLOOKUP('Données projet'!$B$10,Paramètres!$A$1:$I$89,3,0)*VLOOKUP('Données projet'!$B$10,Paramètres!$A$1:$I$89,5,0)</f>
        <v>-2.9262992029543964E-13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245.47494516762282</v>
      </c>
      <c r="AO130" s="62">
        <f t="shared" si="90"/>
        <v>145.54897745089966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</v>
      </c>
      <c r="BD130" s="13">
        <f>IF('Données projet'!$A$88&gt;35,BD129+BC130-BL129,IF(A130&lt;'Données projet'!$A$88,$BA$205^A130,IF(A130='Données projet'!$A$88,'Données projet'!$B$88,BD129+BC130-BL129)))</f>
        <v>273.99999999999932</v>
      </c>
      <c r="BE130" s="14">
        <f>BD130*VLOOKUP('Données projet'!$B$11,Paramètres!$A$1:$I$89,3,0)*VLOOKUP('Données projet'!$B$11,Paramètres!$A$1:$I$89,5,0)</f>
        <v>247.91519999999937</v>
      </c>
      <c r="BF130" s="14">
        <f t="shared" si="91"/>
        <v>60.139294964297299</v>
      </c>
      <c r="BG130" s="22">
        <f t="shared" si="61"/>
        <v>536.52824539615006</v>
      </c>
      <c r="BH130" s="62">
        <f t="shared" si="62"/>
        <v>829.86157872948343</v>
      </c>
      <c r="BI130" s="62">
        <f ca="1">AVERAGE(OFFSET($BH$3,0,0,'Données projet'!$E$11+1,1))-AVERAGE(OFFSET($H$3,0,0,'Données projet'!$E$11+1,1))</f>
        <v>430.21146937947236</v>
      </c>
      <c r="BJ130" s="62">
        <f t="shared" si="92"/>
        <v>231.36959598460686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8.8675733422860506E-14</v>
      </c>
      <c r="CA130" s="14">
        <f t="shared" si="93"/>
        <v>1.3509285393066301E-12</v>
      </c>
      <c r="CB130" s="22">
        <f t="shared" si="64"/>
        <v>2.5073107750038623E-12</v>
      </c>
      <c r="CC130" s="62">
        <f t="shared" si="65"/>
        <v>293.33333333333582</v>
      </c>
      <c r="CD130" s="62">
        <f ca="1">AVERAGE(OFFSET($CC$3,0,0,'Données projet'!$E$12+1,1))-AVERAGE(OFFSET($H$3,0,0,'Données projet'!$E$12+1,1))</f>
        <v>299.07024205218266</v>
      </c>
      <c r="CE130" s="62">
        <f t="shared" si="94"/>
        <v>328.70296497136366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2.8421709430404007E-13</v>
      </c>
      <c r="CU130" s="18">
        <f>CT130*VLOOKUP('Données projet'!$B$13,Paramètres!$A$1:$I$89,3,0)*VLOOKUP('Données projet'!$B$13,Paramètres!$A$1:$I$89,5,0)</f>
        <v>2.7046098693972454E-13</v>
      </c>
      <c r="CV130" s="14">
        <f t="shared" si="95"/>
        <v>3.6187594451142911E-12</v>
      </c>
      <c r="CW130" s="22">
        <f t="shared" si="67"/>
        <v>6.7737255858274096E-12</v>
      </c>
      <c r="CX130" s="62">
        <f t="shared" si="68"/>
        <v>293.33333333334008</v>
      </c>
      <c r="CY130" s="62">
        <f ca="1">AVERAGE(OFFSET($CX$3,0,0,'Données projet'!$E$13+1,1))-AVERAGE(OFFSET($H$3,0,0,'Données projet'!$E$13+1,1))</f>
        <v>300.36889324671682</v>
      </c>
      <c r="CZ130" s="62">
        <f t="shared" si="96"/>
        <v>214.36051699039683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projet'!$B$9,Paramètres!$A$1:$I$89,3,0)*VLOOKUP('Données projet'!$B$9,Paramètres!$A$1:$I$89,5,0)</f>
        <v>280.8779999999993</v>
      </c>
      <c r="P131" s="14">
        <f t="shared" si="87"/>
        <v>67.152521698072178</v>
      </c>
      <c r="Q131" s="22">
        <f t="shared" ref="Q131:Q153" si="108">(O131+P131)*0.475*44/12</f>
        <v>606.15315862414116</v>
      </c>
      <c r="R131" s="62">
        <f t="shared" ref="R131:R194" si="109">Q131+(I131+J131)*44/12</f>
        <v>899.48649195747453</v>
      </c>
      <c r="S131" s="62">
        <f ca="1">AVERAGE(OFFSET($R$3,0,0,'Données projet'!$E$9+1,1))-AVERAGE(OFFSET($H$3,0,0,'Données projet'!$E$9+1,1))</f>
        <v>477.00263959594946</v>
      </c>
      <c r="T131" s="62">
        <f t="shared" si="88"/>
        <v>254.25036207346591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-6.2527760746888816E-13</v>
      </c>
      <c r="AJ131" s="14">
        <f>AI131*VLOOKUP('Données projet'!$B$10,Paramètres!$A$1:$I$89,3,0)*VLOOKUP('Données projet'!$B$10,Paramètres!$A$1:$I$89,5,0)</f>
        <v>-2.9262992029543964E-13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245.47494516762282</v>
      </c>
      <c r="AO131" s="62">
        <f t="shared" si="90"/>
        <v>145.54897745089966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</v>
      </c>
      <c r="BD131" s="13">
        <f>IF('Données projet'!$A$88&gt;35,BD130+BC131-BL130,IF(A131&lt;'Données projet'!$A$88,$BA$205^A131,IF(A131='Données projet'!$A$88,'Données projet'!$B$88,BD130+BC131-BL130)))</f>
        <v>276.99999999999932</v>
      </c>
      <c r="BE131" s="14">
        <f>BD131*VLOOKUP('Données projet'!$B$11,Paramètres!$A$1:$I$89,3,0)*VLOOKUP('Données projet'!$B$11,Paramètres!$A$1:$I$89,5,0)</f>
        <v>250.62959999999939</v>
      </c>
      <c r="BF131" s="14">
        <f t="shared" si="91"/>
        <v>60.720740474356212</v>
      </c>
      <c r="BG131" s="22">
        <f t="shared" si="61"/>
        <v>542.26850965950268</v>
      </c>
      <c r="BH131" s="62">
        <f t="shared" si="62"/>
        <v>835.60184299283605</v>
      </c>
      <c r="BI131" s="62">
        <f ca="1">AVERAGE(OFFSET($BH$3,0,0,'Données projet'!$E$11+1,1))-AVERAGE(OFFSET($H$3,0,0,'Données projet'!$E$11+1,1))</f>
        <v>430.21146937947236</v>
      </c>
      <c r="BJ131" s="62">
        <f t="shared" si="92"/>
        <v>231.36959598460686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8.8675733422860506E-14</v>
      </c>
      <c r="CA131" s="14">
        <f t="shared" si="93"/>
        <v>1.3509285393066301E-12</v>
      </c>
      <c r="CB131" s="22">
        <f t="shared" si="64"/>
        <v>2.5073107750038623E-12</v>
      </c>
      <c r="CC131" s="62">
        <f t="shared" si="65"/>
        <v>293.33333333333582</v>
      </c>
      <c r="CD131" s="62">
        <f ca="1">AVERAGE(OFFSET($CC$3,0,0,'Données projet'!$E$12+1,1))-AVERAGE(OFFSET($H$3,0,0,'Données projet'!$E$12+1,1))</f>
        <v>299.07024205218266</v>
      </c>
      <c r="CE131" s="62">
        <f t="shared" si="94"/>
        <v>328.70296497136366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2.8421709430404007E-13</v>
      </c>
      <c r="CU131" s="18">
        <f>CT131*VLOOKUP('Données projet'!$B$13,Paramètres!$A$1:$I$89,3,0)*VLOOKUP('Données projet'!$B$13,Paramètres!$A$1:$I$89,5,0)</f>
        <v>2.7046098693972454E-13</v>
      </c>
      <c r="CV131" s="14">
        <f t="shared" si="95"/>
        <v>3.6187594451142911E-12</v>
      </c>
      <c r="CW131" s="22">
        <f t="shared" si="67"/>
        <v>6.7737255858274096E-12</v>
      </c>
      <c r="CX131" s="62">
        <f t="shared" si="68"/>
        <v>293.33333333334008</v>
      </c>
      <c r="CY131" s="62">
        <f ca="1">AVERAGE(OFFSET($CX$3,0,0,'Données projet'!$E$13+1,1))-AVERAGE(OFFSET($H$3,0,0,'Données projet'!$E$13+1,1))</f>
        <v>300.36889324671682</v>
      </c>
      <c r="CZ131" s="62">
        <f t="shared" si="96"/>
        <v>214.36051699039683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projet'!$B$9,Paramètres!$A$1:$I$89,3,0)*VLOOKUP('Données projet'!$B$9,Paramètres!$A$1:$I$89,5,0)</f>
        <v>283.91999999999933</v>
      </c>
      <c r="P132" s="14">
        <f t="shared" si="87"/>
        <v>67.794746071143507</v>
      </c>
      <c r="Q132" s="22">
        <f t="shared" si="108"/>
        <v>612.56984940724044</v>
      </c>
      <c r="R132" s="62">
        <f t="shared" si="109"/>
        <v>905.90318274057381</v>
      </c>
      <c r="S132" s="62">
        <f ca="1">AVERAGE(OFFSET($R$3,0,0,'Données projet'!$E$9+1,1))-AVERAGE(OFFSET($H$3,0,0,'Données projet'!$E$9+1,1))</f>
        <v>477.00263959594946</v>
      </c>
      <c r="T132" s="62">
        <f t="shared" si="88"/>
        <v>254.25036207346591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-6.2527760746888816E-13</v>
      </c>
      <c r="AJ132" s="14">
        <f>AI132*VLOOKUP('Données projet'!$B$10,Paramètres!$A$1:$I$89,3,0)*VLOOKUP('Données projet'!$B$10,Paramètres!$A$1:$I$89,5,0)</f>
        <v>-2.9262992029543964E-13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245.47494516762282</v>
      </c>
      <c r="AO132" s="62">
        <f t="shared" si="90"/>
        <v>145.54897745089966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</v>
      </c>
      <c r="BD132" s="13">
        <f>IF('Données projet'!$A$88&gt;35,BD131+BC132-BL131,IF(A132&lt;'Données projet'!$A$88,$BA$205^A132,IF(A132='Données projet'!$A$88,'Données projet'!$B$88,BD131+BC132-BL131)))</f>
        <v>279.99999999999932</v>
      </c>
      <c r="BE132" s="14">
        <f>BD132*VLOOKUP('Données projet'!$B$11,Paramètres!$A$1:$I$89,3,0)*VLOOKUP('Données projet'!$B$11,Paramètres!$A$1:$I$89,5,0)</f>
        <v>253.34399999999934</v>
      </c>
      <c r="BF132" s="14">
        <f t="shared" si="91"/>
        <v>61.301453431926141</v>
      </c>
      <c r="BG132" s="22">
        <f t="shared" ref="BG132:BG153" si="115">(BE132+BF132)*0.475*44/12</f>
        <v>548.00749806060355</v>
      </c>
      <c r="BH132" s="62">
        <f t="shared" ref="BH132:BH195" si="116">BG132+(AY132+AZ132)*44/12</f>
        <v>841.34083139393692</v>
      </c>
      <c r="BI132" s="62">
        <f ca="1">AVERAGE(OFFSET($BH$3,0,0,'Données projet'!$E$11+1,1))-AVERAGE(OFFSET($H$3,0,0,'Données projet'!$E$11+1,1))</f>
        <v>430.21146937947236</v>
      </c>
      <c r="BJ132" s="62">
        <f t="shared" si="92"/>
        <v>231.36959598460686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8.8675733422860506E-14</v>
      </c>
      <c r="CA132" s="14">
        <f t="shared" si="93"/>
        <v>1.3509285393066301E-12</v>
      </c>
      <c r="CB132" s="22">
        <f t="shared" ref="CB132:CB153" si="118">(BZ132+CA132)*0.475*44/12</f>
        <v>2.5073107750038623E-12</v>
      </c>
      <c r="CC132" s="62">
        <f t="shared" ref="CC132:CC195" si="119">CB132+(BT132+BU132)*44/12</f>
        <v>293.33333333333582</v>
      </c>
      <c r="CD132" s="62">
        <f ca="1">AVERAGE(OFFSET($CC$3,0,0,'Données projet'!$E$12+1,1))-AVERAGE(OFFSET($H$3,0,0,'Données projet'!$E$12+1,1))</f>
        <v>299.07024205218266</v>
      </c>
      <c r="CE132" s="62">
        <f t="shared" si="94"/>
        <v>328.70296497136366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2.8421709430404007E-13</v>
      </c>
      <c r="CU132" s="18">
        <f>CT132*VLOOKUP('Données projet'!$B$13,Paramètres!$A$1:$I$89,3,0)*VLOOKUP('Données projet'!$B$13,Paramètres!$A$1:$I$89,5,0)</f>
        <v>2.7046098693972454E-13</v>
      </c>
      <c r="CV132" s="14">
        <f t="shared" si="95"/>
        <v>3.6187594451142911E-12</v>
      </c>
      <c r="CW132" s="22">
        <f t="shared" ref="CW132:CW153" si="121">(CU132+CV132)*0.475*44/12</f>
        <v>6.7737255858274096E-12</v>
      </c>
      <c r="CX132" s="62">
        <f t="shared" ref="CX132:CX195" si="122">CW132+(CO132+CP132)*44/12</f>
        <v>293.33333333334008</v>
      </c>
      <c r="CY132" s="62">
        <f ca="1">AVERAGE(OFFSET($CX$3,0,0,'Données projet'!$E$13+1,1))-AVERAGE(OFFSET($H$3,0,0,'Données projet'!$E$13+1,1))</f>
        <v>300.36889324671682</v>
      </c>
      <c r="CZ132" s="62">
        <f t="shared" si="96"/>
        <v>214.36051699039683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projet'!$B$9,Paramètres!$A$1:$I$89,3,0)*VLOOKUP('Données projet'!$B$9,Paramètres!$A$1:$I$89,5,0)</f>
        <v>286.96199999999931</v>
      </c>
      <c r="P133" s="14">
        <f t="shared" ref="P133:P196" si="141">EXP(-1.0587+0.8836*LN(O133)+0.284)</f>
        <v>68.436169981717669</v>
      </c>
      <c r="Q133" s="22">
        <f t="shared" si="108"/>
        <v>618.98514605149035</v>
      </c>
      <c r="R133" s="62">
        <f t="shared" si="109"/>
        <v>912.3184793848236</v>
      </c>
      <c r="S133" s="62">
        <f ca="1">AVERAGE(OFFSET($R$3,0,0,'Données projet'!$E$9+1,1))-AVERAGE(OFFSET($H$3,0,0,'Données projet'!$E$9+1,1))</f>
        <v>477.00263959594946</v>
      </c>
      <c r="T133" s="62">
        <f t="shared" ref="T133:T196" si="142">$T$3</f>
        <v>254.25036207346591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-6.2527760746888816E-13</v>
      </c>
      <c r="AJ133" s="14">
        <f>AI133*VLOOKUP('Données projet'!$B$10,Paramètres!$A$1:$I$89,3,0)*VLOOKUP('Données projet'!$B$10,Paramètres!$A$1:$I$89,5,0)</f>
        <v>-2.9262992029543964E-13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245.47494516762282</v>
      </c>
      <c r="AO133" s="62">
        <f t="shared" ref="AO133:AO196" si="144">$AO$3</f>
        <v>145.54897745089966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3</v>
      </c>
      <c r="BD133" s="13">
        <f>IF('Données projet'!$A$88&gt;35,BD132+BC133-BL132,IF(A133&lt;'Données projet'!$A$88,$BA$205^A133,IF(A133='Données projet'!$A$88,'Données projet'!$B$88,BD132+BC133-BL132)))</f>
        <v>282.99999999999932</v>
      </c>
      <c r="BE133" s="14">
        <f>BD133*VLOOKUP('Données projet'!$B$11,Paramètres!$A$1:$I$89,3,0)*VLOOKUP('Données projet'!$B$11,Paramètres!$A$1:$I$89,5,0)</f>
        <v>256.05839999999938</v>
      </c>
      <c r="BF133" s="14">
        <f t="shared" ref="BF133:BF153" si="145">EXP(-1.0587+0.8836*LN(BE133)+0.284)</f>
        <v>61.88144259425632</v>
      </c>
      <c r="BG133" s="22">
        <f t="shared" si="115"/>
        <v>553.74522585166198</v>
      </c>
      <c r="BH133" s="62">
        <f t="shared" si="116"/>
        <v>847.07855918499536</v>
      </c>
      <c r="BI133" s="62">
        <f ca="1">AVERAGE(OFFSET($BH$3,0,0,'Données projet'!$E$11+1,1))-AVERAGE(OFFSET($H$3,0,0,'Données projet'!$E$11+1,1))</f>
        <v>430.21146937947236</v>
      </c>
      <c r="BJ133" s="62">
        <f t="shared" ref="BJ133:BJ196" si="146">$BJ$3</f>
        <v>231.36959598460686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8.8675733422860506E-14</v>
      </c>
      <c r="CA133" s="14">
        <f t="shared" ref="CA133:CA153" si="147">EXP(-1.0587+0.8836*LN(BZ133)+0.284)</f>
        <v>1.3509285393066301E-12</v>
      </c>
      <c r="CB133" s="22">
        <f t="shared" si="118"/>
        <v>2.5073107750038623E-12</v>
      </c>
      <c r="CC133" s="62">
        <f t="shared" si="119"/>
        <v>293.33333333333582</v>
      </c>
      <c r="CD133" s="62">
        <f ca="1">AVERAGE(OFFSET($CC$3,0,0,'Données projet'!$E$12+1,1))-AVERAGE(OFFSET($H$3,0,0,'Données projet'!$E$12+1,1))</f>
        <v>299.07024205218266</v>
      </c>
      <c r="CE133" s="62">
        <f t="shared" ref="CE133:CE196" si="148">$CE$3</f>
        <v>328.70296497136366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2.8421709430404007E-13</v>
      </c>
      <c r="CU133" s="18">
        <f>CT133*VLOOKUP('Données projet'!$B$13,Paramètres!$A$1:$I$89,3,0)*VLOOKUP('Données projet'!$B$13,Paramètres!$A$1:$I$89,5,0)</f>
        <v>2.7046098693972454E-13</v>
      </c>
      <c r="CV133" s="14">
        <f t="shared" ref="CV133:CV153" si="149">EXP(-1.0587+0.8836*LN(CU133)+0.284)</f>
        <v>3.6187594451142911E-12</v>
      </c>
      <c r="CW133" s="22">
        <f t="shared" si="121"/>
        <v>6.7737255858274096E-12</v>
      </c>
      <c r="CX133" s="62">
        <f t="shared" si="122"/>
        <v>293.33333333334008</v>
      </c>
      <c r="CY133" s="62">
        <f ca="1">AVERAGE(OFFSET($CX$3,0,0,'Données projet'!$E$13+1,1))-AVERAGE(OFFSET($H$3,0,0,'Données projet'!$E$13+1,1))</f>
        <v>300.36889324671682</v>
      </c>
      <c r="CZ133" s="62">
        <f t="shared" ref="CZ133:CZ196" si="150">$CZ$3</f>
        <v>214.36051699039683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projet'!$B$9,Paramètres!$A$1:$I$89,3,0)*VLOOKUP('Données projet'!$B$9,Paramètres!$A$1:$I$89,5,0)</f>
        <v>290.00399999999934</v>
      </c>
      <c r="P134" s="14">
        <f t="shared" si="141"/>
        <v>69.076802897485763</v>
      </c>
      <c r="Q134" s="22">
        <f t="shared" si="108"/>
        <v>625.39906504645319</v>
      </c>
      <c r="R134" s="62">
        <f t="shared" si="109"/>
        <v>918.73239837978645</v>
      </c>
      <c r="S134" s="62">
        <f ca="1">AVERAGE(OFFSET($R$3,0,0,'Données projet'!$E$9+1,1))-AVERAGE(OFFSET($H$3,0,0,'Données projet'!$E$9+1,1))</f>
        <v>477.00263959594946</v>
      </c>
      <c r="T134" s="62">
        <f t="shared" si="142"/>
        <v>254.25036207346591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-6.2527760746888816E-13</v>
      </c>
      <c r="AJ134" s="14">
        <f>AI134*VLOOKUP('Données projet'!$B$10,Paramètres!$A$1:$I$89,3,0)*VLOOKUP('Données projet'!$B$10,Paramètres!$A$1:$I$89,5,0)</f>
        <v>-2.9262992029543964E-13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245.47494516762282</v>
      </c>
      <c r="AO134" s="62">
        <f t="shared" si="144"/>
        <v>145.54897745089966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3</v>
      </c>
      <c r="BD134" s="13">
        <f>IF('Données projet'!$A$88&gt;35,BD133+BC134-BL133,IF(A134&lt;'Données projet'!$A$88,$BA$205^A134,IF(A134='Données projet'!$A$88,'Données projet'!$B$88,BD133+BC134-BL133)))</f>
        <v>285.99999999999932</v>
      </c>
      <c r="BE134" s="14">
        <f>BD134*VLOOKUP('Données projet'!$B$11,Paramètres!$A$1:$I$89,3,0)*VLOOKUP('Données projet'!$B$11,Paramètres!$A$1:$I$89,5,0)</f>
        <v>258.77279999999939</v>
      </c>
      <c r="BF134" s="14">
        <f t="shared" si="145"/>
        <v>62.460716522234527</v>
      </c>
      <c r="BG134" s="22">
        <f t="shared" si="115"/>
        <v>559.48170794289069</v>
      </c>
      <c r="BH134" s="62">
        <f t="shared" si="116"/>
        <v>852.81504127622406</v>
      </c>
      <c r="BI134" s="62">
        <f ca="1">AVERAGE(OFFSET($BH$3,0,0,'Données projet'!$E$11+1,1))-AVERAGE(OFFSET($H$3,0,0,'Données projet'!$E$11+1,1))</f>
        <v>430.21146937947236</v>
      </c>
      <c r="BJ134" s="62">
        <f t="shared" si="146"/>
        <v>231.36959598460686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8.8675733422860506E-14</v>
      </c>
      <c r="CA134" s="14">
        <f t="shared" si="147"/>
        <v>1.3509285393066301E-12</v>
      </c>
      <c r="CB134" s="22">
        <f t="shared" si="118"/>
        <v>2.5073107750038623E-12</v>
      </c>
      <c r="CC134" s="62">
        <f t="shared" si="119"/>
        <v>293.33333333333582</v>
      </c>
      <c r="CD134" s="62">
        <f ca="1">AVERAGE(OFFSET($CC$3,0,0,'Données projet'!$E$12+1,1))-AVERAGE(OFFSET($H$3,0,0,'Données projet'!$E$12+1,1))</f>
        <v>299.07024205218266</v>
      </c>
      <c r="CE134" s="62">
        <f t="shared" si="148"/>
        <v>328.70296497136366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2.8421709430404007E-13</v>
      </c>
      <c r="CU134" s="18">
        <f>CT134*VLOOKUP('Données projet'!$B$13,Paramètres!$A$1:$I$89,3,0)*VLOOKUP('Données projet'!$B$13,Paramètres!$A$1:$I$89,5,0)</f>
        <v>2.7046098693972454E-13</v>
      </c>
      <c r="CV134" s="14">
        <f t="shared" si="149"/>
        <v>3.6187594451142911E-12</v>
      </c>
      <c r="CW134" s="22">
        <f t="shared" si="121"/>
        <v>6.7737255858274096E-12</v>
      </c>
      <c r="CX134" s="62">
        <f t="shared" si="122"/>
        <v>293.33333333334008</v>
      </c>
      <c r="CY134" s="62">
        <f ca="1">AVERAGE(OFFSET($CX$3,0,0,'Données projet'!$E$13+1,1))-AVERAGE(OFFSET($H$3,0,0,'Données projet'!$E$13+1,1))</f>
        <v>300.36889324671682</v>
      </c>
      <c r="CZ134" s="62">
        <f t="shared" si="150"/>
        <v>214.36051699039683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projet'!$B$9,Paramètres!$A$1:$I$89,3,0)*VLOOKUP('Données projet'!$B$9,Paramètres!$A$1:$I$89,5,0)</f>
        <v>293.04599999999931</v>
      </c>
      <c r="P135" s="14">
        <f t="shared" si="141"/>
        <v>69.716654076072487</v>
      </c>
      <c r="Q135" s="22">
        <f t="shared" si="108"/>
        <v>631.81162251582498</v>
      </c>
      <c r="R135" s="62">
        <f t="shared" si="109"/>
        <v>925.14495584915835</v>
      </c>
      <c r="S135" s="62">
        <f ca="1">AVERAGE(OFFSET($R$3,0,0,'Données projet'!$E$9+1,1))-AVERAGE(OFFSET($H$3,0,0,'Données projet'!$E$9+1,1))</f>
        <v>477.00263959594946</v>
      </c>
      <c r="T135" s="62">
        <f t="shared" si="142"/>
        <v>254.25036207346591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-6.2527760746888816E-13</v>
      </c>
      <c r="AJ135" s="14">
        <f>AI135*VLOOKUP('Données projet'!$B$10,Paramètres!$A$1:$I$89,3,0)*VLOOKUP('Données projet'!$B$10,Paramètres!$A$1:$I$89,5,0)</f>
        <v>-2.9262992029543964E-13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245.47494516762282</v>
      </c>
      <c r="AO135" s="62">
        <f t="shared" si="144"/>
        <v>145.54897745089966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3</v>
      </c>
      <c r="BD135" s="13">
        <f>IF('Données projet'!$A$88&gt;35,BD134+BC135-BL134,IF(A135&lt;'Données projet'!$A$88,$BA$205^A135,IF(A135='Données projet'!$A$88,'Données projet'!$B$88,BD134+BC135-BL134)))</f>
        <v>288.99999999999932</v>
      </c>
      <c r="BE135" s="14">
        <f>BD135*VLOOKUP('Données projet'!$B$11,Paramètres!$A$1:$I$89,3,0)*VLOOKUP('Données projet'!$B$11,Paramètres!$A$1:$I$89,5,0)</f>
        <v>261.4871999999994</v>
      </c>
      <c r="BF135" s="14">
        <f t="shared" si="145"/>
        <v>63.03928358680222</v>
      </c>
      <c r="BG135" s="22">
        <f t="shared" si="115"/>
        <v>565.21695891367949</v>
      </c>
      <c r="BH135" s="62">
        <f t="shared" si="116"/>
        <v>858.55029224701275</v>
      </c>
      <c r="BI135" s="62">
        <f ca="1">AVERAGE(OFFSET($BH$3,0,0,'Données projet'!$E$11+1,1))-AVERAGE(OFFSET($H$3,0,0,'Données projet'!$E$11+1,1))</f>
        <v>430.21146937947236</v>
      </c>
      <c r="BJ135" s="62">
        <f t="shared" si="146"/>
        <v>231.36959598460686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8.8675733422860506E-14</v>
      </c>
      <c r="CA135" s="14">
        <f t="shared" si="147"/>
        <v>1.3509285393066301E-12</v>
      </c>
      <c r="CB135" s="22">
        <f t="shared" si="118"/>
        <v>2.5073107750038623E-12</v>
      </c>
      <c r="CC135" s="62">
        <f t="shared" si="119"/>
        <v>293.33333333333582</v>
      </c>
      <c r="CD135" s="62">
        <f ca="1">AVERAGE(OFFSET($CC$3,0,0,'Données projet'!$E$12+1,1))-AVERAGE(OFFSET($H$3,0,0,'Données projet'!$E$12+1,1))</f>
        <v>299.07024205218266</v>
      </c>
      <c r="CE135" s="62">
        <f t="shared" si="148"/>
        <v>328.70296497136366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2.8421709430404007E-13</v>
      </c>
      <c r="CU135" s="18">
        <f>CT135*VLOOKUP('Données projet'!$B$13,Paramètres!$A$1:$I$89,3,0)*VLOOKUP('Données projet'!$B$13,Paramètres!$A$1:$I$89,5,0)</f>
        <v>2.7046098693972454E-13</v>
      </c>
      <c r="CV135" s="14">
        <f t="shared" si="149"/>
        <v>3.6187594451142911E-12</v>
      </c>
      <c r="CW135" s="22">
        <f t="shared" si="121"/>
        <v>6.7737255858274096E-12</v>
      </c>
      <c r="CX135" s="62">
        <f t="shared" si="122"/>
        <v>293.33333333334008</v>
      </c>
      <c r="CY135" s="62">
        <f ca="1">AVERAGE(OFFSET($CX$3,0,0,'Données projet'!$E$13+1,1))-AVERAGE(OFFSET($H$3,0,0,'Données projet'!$E$13+1,1))</f>
        <v>300.36889324671682</v>
      </c>
      <c r="CZ135" s="62">
        <f t="shared" si="150"/>
        <v>214.36051699039683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projet'!$B$9,Paramètres!$A$1:$I$89,3,0)*VLOOKUP('Données projet'!$B$9,Paramètres!$A$1:$I$89,5,0)</f>
        <v>296.08799999999934</v>
      </c>
      <c r="P136" s="14">
        <f t="shared" si="141"/>
        <v>70.355732571828923</v>
      </c>
      <c r="Q136" s="22">
        <f t="shared" si="108"/>
        <v>638.22283422926751</v>
      </c>
      <c r="R136" s="62">
        <f t="shared" si="109"/>
        <v>931.55616756260088</v>
      </c>
      <c r="S136" s="62">
        <f ca="1">AVERAGE(OFFSET($R$3,0,0,'Données projet'!$E$9+1,1))-AVERAGE(OFFSET($H$3,0,0,'Données projet'!$E$9+1,1))</f>
        <v>477.00263959594946</v>
      </c>
      <c r="T136" s="62">
        <f t="shared" si="142"/>
        <v>254.25036207346591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-6.2527760746888816E-13</v>
      </c>
      <c r="AJ136" s="14">
        <f>AI136*VLOOKUP('Données projet'!$B$10,Paramètres!$A$1:$I$89,3,0)*VLOOKUP('Données projet'!$B$10,Paramètres!$A$1:$I$89,5,0)</f>
        <v>-2.9262992029543964E-13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245.47494516762282</v>
      </c>
      <c r="AO136" s="62">
        <f t="shared" si="144"/>
        <v>145.54897745089966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3</v>
      </c>
      <c r="BD136" s="13">
        <f>IF('Données projet'!$A$88&gt;35,BD135+BC136-BL135,IF(A136&lt;'Données projet'!$A$88,$BA$205^A136,IF(A136='Données projet'!$A$88,'Données projet'!$B$88,BD135+BC136-BL135)))</f>
        <v>291.99999999999932</v>
      </c>
      <c r="BE136" s="14">
        <f>BD136*VLOOKUP('Données projet'!$B$11,Paramètres!$A$1:$I$89,3,0)*VLOOKUP('Données projet'!$B$11,Paramètres!$A$1:$I$89,5,0)</f>
        <v>264.20159999999936</v>
      </c>
      <c r="BF136" s="14">
        <f t="shared" si="145"/>
        <v>63.617151975096597</v>
      </c>
      <c r="BG136" s="22">
        <f t="shared" si="115"/>
        <v>570.95099302329209</v>
      </c>
      <c r="BH136" s="62">
        <f t="shared" si="116"/>
        <v>864.28432635662534</v>
      </c>
      <c r="BI136" s="62">
        <f ca="1">AVERAGE(OFFSET($BH$3,0,0,'Données projet'!$E$11+1,1))-AVERAGE(OFFSET($H$3,0,0,'Données projet'!$E$11+1,1))</f>
        <v>430.21146937947236</v>
      </c>
      <c r="BJ136" s="62">
        <f t="shared" si="146"/>
        <v>231.36959598460686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8.8675733422860506E-14</v>
      </c>
      <c r="CA136" s="14">
        <f t="shared" si="147"/>
        <v>1.3509285393066301E-12</v>
      </c>
      <c r="CB136" s="22">
        <f t="shared" si="118"/>
        <v>2.5073107750038623E-12</v>
      </c>
      <c r="CC136" s="62">
        <f t="shared" si="119"/>
        <v>293.33333333333582</v>
      </c>
      <c r="CD136" s="62">
        <f ca="1">AVERAGE(OFFSET($CC$3,0,0,'Données projet'!$E$12+1,1))-AVERAGE(OFFSET($H$3,0,0,'Données projet'!$E$12+1,1))</f>
        <v>299.07024205218266</v>
      </c>
      <c r="CE136" s="62">
        <f t="shared" si="148"/>
        <v>328.70296497136366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2.8421709430404007E-13</v>
      </c>
      <c r="CU136" s="18">
        <f>CT136*VLOOKUP('Données projet'!$B$13,Paramètres!$A$1:$I$89,3,0)*VLOOKUP('Données projet'!$B$13,Paramètres!$A$1:$I$89,5,0)</f>
        <v>2.7046098693972454E-13</v>
      </c>
      <c r="CV136" s="14">
        <f t="shared" si="149"/>
        <v>3.6187594451142911E-12</v>
      </c>
      <c r="CW136" s="22">
        <f t="shared" si="121"/>
        <v>6.7737255858274096E-12</v>
      </c>
      <c r="CX136" s="62">
        <f t="shared" si="122"/>
        <v>293.33333333334008</v>
      </c>
      <c r="CY136" s="62">
        <f ca="1">AVERAGE(OFFSET($CX$3,0,0,'Données projet'!$E$13+1,1))-AVERAGE(OFFSET($H$3,0,0,'Données projet'!$E$13+1,1))</f>
        <v>300.36889324671682</v>
      </c>
      <c r="CZ136" s="62">
        <f t="shared" si="150"/>
        <v>214.36051699039683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projet'!$B$9,Paramètres!$A$1:$I$89,3,0)*VLOOKUP('Données projet'!$B$9,Paramètres!$A$1:$I$89,5,0)</f>
        <v>299.12999999999937</v>
      </c>
      <c r="P137" s="14">
        <f t="shared" si="141"/>
        <v>70.994047242337089</v>
      </c>
      <c r="Q137" s="22">
        <f t="shared" si="108"/>
        <v>644.63271561373597</v>
      </c>
      <c r="R137" s="62">
        <f t="shared" si="109"/>
        <v>937.96604894706934</v>
      </c>
      <c r="S137" s="62">
        <f ca="1">AVERAGE(OFFSET($R$3,0,0,'Données projet'!$E$9+1,1))-AVERAGE(OFFSET($H$3,0,0,'Données projet'!$E$9+1,1))</f>
        <v>477.00263959594946</v>
      </c>
      <c r="T137" s="62">
        <f t="shared" si="142"/>
        <v>254.25036207346591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-6.2527760746888816E-13</v>
      </c>
      <c r="AJ137" s="14">
        <f>AI137*VLOOKUP('Données projet'!$B$10,Paramètres!$A$1:$I$89,3,0)*VLOOKUP('Données projet'!$B$10,Paramètres!$A$1:$I$89,5,0)</f>
        <v>-2.9262992029543964E-13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245.47494516762282</v>
      </c>
      <c r="AO137" s="62">
        <f t="shared" si="144"/>
        <v>145.54897745089966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3</v>
      </c>
      <c r="BD137" s="13">
        <f>IF('Données projet'!$A$88&gt;35,BD136+BC137-BL136,IF(A137&lt;'Données projet'!$A$88,$BA$205^A137,IF(A137='Données projet'!$A$88,'Données projet'!$B$88,BD136+BC137-BL136)))</f>
        <v>294.99999999999932</v>
      </c>
      <c r="BE137" s="14">
        <f>BD137*VLOOKUP('Données projet'!$B$11,Paramètres!$A$1:$I$89,3,0)*VLOOKUP('Données projet'!$B$11,Paramètres!$A$1:$I$89,5,0)</f>
        <v>266.91599999999937</v>
      </c>
      <c r="BF137" s="14">
        <f t="shared" si="145"/>
        <v>64.194329696332005</v>
      </c>
      <c r="BG137" s="22">
        <f t="shared" si="115"/>
        <v>576.68382422111051</v>
      </c>
      <c r="BH137" s="62">
        <f t="shared" si="116"/>
        <v>870.01715755444388</v>
      </c>
      <c r="BI137" s="62">
        <f ca="1">AVERAGE(OFFSET($BH$3,0,0,'Données projet'!$E$11+1,1))-AVERAGE(OFFSET($H$3,0,0,'Données projet'!$E$11+1,1))</f>
        <v>430.21146937947236</v>
      </c>
      <c r="BJ137" s="62">
        <f t="shared" si="146"/>
        <v>231.36959598460686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8.8675733422860506E-14</v>
      </c>
      <c r="CA137" s="14">
        <f t="shared" si="147"/>
        <v>1.3509285393066301E-12</v>
      </c>
      <c r="CB137" s="22">
        <f t="shared" si="118"/>
        <v>2.5073107750038623E-12</v>
      </c>
      <c r="CC137" s="62">
        <f t="shared" si="119"/>
        <v>293.33333333333582</v>
      </c>
      <c r="CD137" s="62">
        <f ca="1">AVERAGE(OFFSET($CC$3,0,0,'Données projet'!$E$12+1,1))-AVERAGE(OFFSET($H$3,0,0,'Données projet'!$E$12+1,1))</f>
        <v>299.07024205218266</v>
      </c>
      <c r="CE137" s="62">
        <f t="shared" si="148"/>
        <v>328.70296497136366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2.8421709430404007E-13</v>
      </c>
      <c r="CU137" s="18">
        <f>CT137*VLOOKUP('Données projet'!$B$13,Paramètres!$A$1:$I$89,3,0)*VLOOKUP('Données projet'!$B$13,Paramètres!$A$1:$I$89,5,0)</f>
        <v>2.7046098693972454E-13</v>
      </c>
      <c r="CV137" s="14">
        <f t="shared" si="149"/>
        <v>3.6187594451142911E-12</v>
      </c>
      <c r="CW137" s="22">
        <f t="shared" si="121"/>
        <v>6.7737255858274096E-12</v>
      </c>
      <c r="CX137" s="62">
        <f t="shared" si="122"/>
        <v>293.33333333334008</v>
      </c>
      <c r="CY137" s="62">
        <f ca="1">AVERAGE(OFFSET($CX$3,0,0,'Données projet'!$E$13+1,1))-AVERAGE(OFFSET($H$3,0,0,'Données projet'!$E$13+1,1))</f>
        <v>300.36889324671682</v>
      </c>
      <c r="CZ137" s="62">
        <f t="shared" si="150"/>
        <v>214.36051699039683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projet'!$B$9,Paramètres!$A$1:$I$89,3,0)*VLOOKUP('Données projet'!$B$9,Paramètres!$A$1:$I$89,5,0)</f>
        <v>302.17199999999934</v>
      </c>
      <c r="P138" s="14">
        <f t="shared" si="141"/>
        <v>71.631606754643101</v>
      </c>
      <c r="Q138" s="22">
        <f t="shared" si="108"/>
        <v>651.04128176433551</v>
      </c>
      <c r="R138" s="62">
        <f t="shared" si="109"/>
        <v>944.37461509766877</v>
      </c>
      <c r="S138" s="62">
        <f ca="1">AVERAGE(OFFSET($R$3,0,0,'Données projet'!$E$9+1,1))-AVERAGE(OFFSET($H$3,0,0,'Données projet'!$E$9+1,1))</f>
        <v>477.00263959594946</v>
      </c>
      <c r="T138" s="62">
        <f t="shared" si="142"/>
        <v>254.25036207346591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-6.2527760746888816E-13</v>
      </c>
      <c r="AJ138" s="14">
        <f>AI138*VLOOKUP('Données projet'!$B$10,Paramètres!$A$1:$I$89,3,0)*VLOOKUP('Données projet'!$B$10,Paramètres!$A$1:$I$89,5,0)</f>
        <v>-2.9262992029543964E-13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245.47494516762282</v>
      </c>
      <c r="AO138" s="62">
        <f t="shared" si="144"/>
        <v>145.54897745089966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298</v>
      </c>
      <c r="BB138" s="13">
        <f>VLOOKUP(A138,'Données projet'!$A$87:$I$107,9,0)</f>
        <v>3</v>
      </c>
      <c r="BC138" s="13">
        <f t="array" ref="BC138">INDEX(BB:BB,MIN(IF(ISNUMBER(BB138:BB334),ROW(BB138:BB334),"")))</f>
        <v>3</v>
      </c>
      <c r="BD138" s="13">
        <f>IF('Données projet'!$A$88&gt;35,BD137+BC138-BL137,IF(A138&lt;'Données projet'!$A$88,$BA$205^A138,IF(A138='Données projet'!$A$88,'Données projet'!$B$88,BD137+BC138-BL137)))</f>
        <v>297.99999999999932</v>
      </c>
      <c r="BE138" s="14">
        <f>BD138*VLOOKUP('Données projet'!$B$11,Paramètres!$A$1:$I$89,3,0)*VLOOKUP('Données projet'!$B$11,Paramètres!$A$1:$I$89,5,0)</f>
        <v>269.63039999999938</v>
      </c>
      <c r="BF138" s="14">
        <f t="shared" si="145"/>
        <v>64.770824587435968</v>
      </c>
      <c r="BG138" s="22">
        <f t="shared" si="115"/>
        <v>582.41546615644995</v>
      </c>
      <c r="BH138" s="62">
        <f t="shared" si="116"/>
        <v>875.74879948978332</v>
      </c>
      <c r="BI138" s="62">
        <f ca="1">AVERAGE(OFFSET($BH$3,0,0,'Données projet'!$E$11+1,1))-AVERAGE(OFFSET($H$3,0,0,'Données projet'!$E$11+1,1))</f>
        <v>430.21146937947236</v>
      </c>
      <c r="BJ138" s="62">
        <f t="shared" si="146"/>
        <v>231.36959598460686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29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8.8675733422860506E-14</v>
      </c>
      <c r="CA138" s="14">
        <f t="shared" si="147"/>
        <v>1.3509285393066301E-12</v>
      </c>
      <c r="CB138" s="22">
        <f t="shared" si="118"/>
        <v>2.5073107750038623E-12</v>
      </c>
      <c r="CC138" s="62">
        <f t="shared" si="119"/>
        <v>293.33333333333582</v>
      </c>
      <c r="CD138" s="62">
        <f ca="1">AVERAGE(OFFSET($CC$3,0,0,'Données projet'!$E$12+1,1))-AVERAGE(OFFSET($H$3,0,0,'Données projet'!$E$12+1,1))</f>
        <v>299.07024205218266</v>
      </c>
      <c r="CE138" s="62">
        <f t="shared" si="148"/>
        <v>328.70296497136366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2.8421709430404007E-13</v>
      </c>
      <c r="CU138" s="18">
        <f>CT138*VLOOKUP('Données projet'!$B$13,Paramètres!$A$1:$I$89,3,0)*VLOOKUP('Données projet'!$B$13,Paramètres!$A$1:$I$89,5,0)</f>
        <v>2.7046098693972454E-13</v>
      </c>
      <c r="CV138" s="14">
        <f t="shared" si="149"/>
        <v>3.6187594451142911E-12</v>
      </c>
      <c r="CW138" s="22">
        <f t="shared" si="121"/>
        <v>6.7737255858274096E-12</v>
      </c>
      <c r="CX138" s="62">
        <f t="shared" si="122"/>
        <v>293.33333333334008</v>
      </c>
      <c r="CY138" s="62">
        <f ca="1">AVERAGE(OFFSET($CX$3,0,0,'Données projet'!$E$13+1,1))-AVERAGE(OFFSET($H$3,0,0,'Données projet'!$E$13+1,1))</f>
        <v>300.36889324671682</v>
      </c>
      <c r="CZ138" s="62">
        <f t="shared" si="150"/>
        <v>214.36051699039683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projet'!$B$9,Paramètres!$A$1:$I$89,3,0)*VLOOKUP('Données projet'!$B$9,Paramètres!$A$1:$I$89,5,0)</f>
        <v>275.40239999999932</v>
      </c>
      <c r="P139" s="14">
        <f t="shared" si="141"/>
        <v>65.994469603831334</v>
      </c>
      <c r="Q139" s="22">
        <f t="shared" si="108"/>
        <v>594.59954789333835</v>
      </c>
      <c r="R139" s="62">
        <f t="shared" si="109"/>
        <v>887.93288122667173</v>
      </c>
      <c r="S139" s="62">
        <f ca="1">AVERAGE(OFFSET($R$3,0,0,'Données projet'!$E$9+1,1))-AVERAGE(OFFSET($H$3,0,0,'Données projet'!$E$9+1,1))</f>
        <v>477.00263959594946</v>
      </c>
      <c r="T139" s="62">
        <f t="shared" si="142"/>
        <v>254.25036207346591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-6.2527760746888816E-13</v>
      </c>
      <c r="AJ139" s="14">
        <f>AI139*VLOOKUP('Données projet'!$B$10,Paramètres!$A$1:$I$89,3,0)*VLOOKUP('Données projet'!$B$10,Paramètres!$A$1:$I$89,5,0)</f>
        <v>-2.9262992029543964E-13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245.47494516762282</v>
      </c>
      <c r="AO139" s="62">
        <f t="shared" si="144"/>
        <v>145.54897745089966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2.6</v>
      </c>
      <c r="BD139" s="13">
        <f>IF('Données projet'!$A$88&gt;35,BD138+BC139-BL138,IF(A139&lt;'Données projet'!$A$88,$BA$205^A139,IF(A139='Données projet'!$A$88,'Données projet'!$B$88,BD138+BC139-BL138)))</f>
        <v>271.59999999999934</v>
      </c>
      <c r="BE139" s="14">
        <f>BD139*VLOOKUP('Données projet'!$B$11,Paramètres!$A$1:$I$89,3,0)*VLOOKUP('Données projet'!$B$11,Paramètres!$A$1:$I$89,5,0)</f>
        <v>245.74367999999939</v>
      </c>
      <c r="BF139" s="14">
        <f t="shared" si="145"/>
        <v>59.673605104126288</v>
      </c>
      <c r="BG139" s="22">
        <f t="shared" si="115"/>
        <v>531.93510488968548</v>
      </c>
      <c r="BH139" s="62">
        <f t="shared" si="116"/>
        <v>825.26843822301885</v>
      </c>
      <c r="BI139" s="62">
        <f ca="1">AVERAGE(OFFSET($BH$3,0,0,'Données projet'!$E$11+1,1))-AVERAGE(OFFSET($H$3,0,0,'Données projet'!$E$11+1,1))</f>
        <v>430.21146937947236</v>
      </c>
      <c r="BJ139" s="62">
        <f t="shared" si="146"/>
        <v>231.36959598460686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8.8675733422860506E-14</v>
      </c>
      <c r="CA139" s="14">
        <f t="shared" si="147"/>
        <v>1.3509285393066301E-12</v>
      </c>
      <c r="CB139" s="22">
        <f t="shared" si="118"/>
        <v>2.5073107750038623E-12</v>
      </c>
      <c r="CC139" s="62">
        <f t="shared" si="119"/>
        <v>293.33333333333582</v>
      </c>
      <c r="CD139" s="62">
        <f ca="1">AVERAGE(OFFSET($CC$3,0,0,'Données projet'!$E$12+1,1))-AVERAGE(OFFSET($H$3,0,0,'Données projet'!$E$12+1,1))</f>
        <v>299.07024205218266</v>
      </c>
      <c r="CE139" s="62">
        <f t="shared" si="148"/>
        <v>328.70296497136366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2.8421709430404007E-13</v>
      </c>
      <c r="CU139" s="18">
        <f>CT139*VLOOKUP('Données projet'!$B$13,Paramètres!$A$1:$I$89,3,0)*VLOOKUP('Données projet'!$B$13,Paramètres!$A$1:$I$89,5,0)</f>
        <v>2.7046098693972454E-13</v>
      </c>
      <c r="CV139" s="14">
        <f t="shared" si="149"/>
        <v>3.6187594451142911E-12</v>
      </c>
      <c r="CW139" s="22">
        <f t="shared" si="121"/>
        <v>6.7737255858274096E-12</v>
      </c>
      <c r="CX139" s="62">
        <f t="shared" si="122"/>
        <v>293.33333333334008</v>
      </c>
      <c r="CY139" s="62">
        <f ca="1">AVERAGE(OFFSET($CX$3,0,0,'Données projet'!$E$13+1,1))-AVERAGE(OFFSET($H$3,0,0,'Données projet'!$E$13+1,1))</f>
        <v>300.36889324671682</v>
      </c>
      <c r="CZ139" s="62">
        <f t="shared" si="150"/>
        <v>214.36051699039683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projet'!$B$9,Paramètres!$A$1:$I$89,3,0)*VLOOKUP('Données projet'!$B$9,Paramètres!$A$1:$I$89,5,0)</f>
        <v>278.03879999999936</v>
      </c>
      <c r="P140" s="14">
        <f t="shared" si="141"/>
        <v>66.552381547717616</v>
      </c>
      <c r="Q140" s="22">
        <f t="shared" si="108"/>
        <v>600.16297452894037</v>
      </c>
      <c r="R140" s="62">
        <f t="shared" si="109"/>
        <v>893.49630786227362</v>
      </c>
      <c r="S140" s="62">
        <f ca="1">AVERAGE(OFFSET($R$3,0,0,'Données projet'!$E$9+1,1))-AVERAGE(OFFSET($H$3,0,0,'Données projet'!$E$9+1,1))</f>
        <v>477.00263959594946</v>
      </c>
      <c r="T140" s="62">
        <f t="shared" si="142"/>
        <v>254.25036207346591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-6.2527760746888816E-13</v>
      </c>
      <c r="AJ140" s="14">
        <f>AI140*VLOOKUP('Données projet'!$B$10,Paramètres!$A$1:$I$89,3,0)*VLOOKUP('Données projet'!$B$10,Paramètres!$A$1:$I$89,5,0)</f>
        <v>-2.9262992029543964E-13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245.47494516762282</v>
      </c>
      <c r="AO140" s="62">
        <f t="shared" si="144"/>
        <v>145.54897745089966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2.6</v>
      </c>
      <c r="BD140" s="13">
        <f>IF('Données projet'!$A$88&gt;35,BD139+BC140-BL139,IF(A140&lt;'Données projet'!$A$88,$BA$205^A140,IF(A140='Données projet'!$A$88,'Données projet'!$B$88,BD139+BC140-BL139)))</f>
        <v>274.19999999999936</v>
      </c>
      <c r="BE140" s="14">
        <f>BD140*VLOOKUP('Données projet'!$B$11,Paramètres!$A$1:$I$89,3,0)*VLOOKUP('Données projet'!$B$11,Paramètres!$A$1:$I$89,5,0)</f>
        <v>248.09615999999943</v>
      </c>
      <c r="BF140" s="14">
        <f t="shared" si="145"/>
        <v>60.178080967364579</v>
      </c>
      <c r="BG140" s="22">
        <f t="shared" si="115"/>
        <v>536.91096968482555</v>
      </c>
      <c r="BH140" s="62">
        <f t="shared" si="116"/>
        <v>830.24430301815892</v>
      </c>
      <c r="BI140" s="62">
        <f ca="1">AVERAGE(OFFSET($BH$3,0,0,'Données projet'!$E$11+1,1))-AVERAGE(OFFSET($H$3,0,0,'Données projet'!$E$11+1,1))</f>
        <v>430.21146937947236</v>
      </c>
      <c r="BJ140" s="62">
        <f t="shared" si="146"/>
        <v>231.36959598460686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8.8675733422860506E-14</v>
      </c>
      <c r="CA140" s="14">
        <f t="shared" si="147"/>
        <v>1.3509285393066301E-12</v>
      </c>
      <c r="CB140" s="22">
        <f t="shared" si="118"/>
        <v>2.5073107750038623E-12</v>
      </c>
      <c r="CC140" s="62">
        <f t="shared" si="119"/>
        <v>293.33333333333582</v>
      </c>
      <c r="CD140" s="62">
        <f ca="1">AVERAGE(OFFSET($CC$3,0,0,'Données projet'!$E$12+1,1))-AVERAGE(OFFSET($H$3,0,0,'Données projet'!$E$12+1,1))</f>
        <v>299.07024205218266</v>
      </c>
      <c r="CE140" s="62">
        <f t="shared" si="148"/>
        <v>328.70296497136366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2.8421709430404007E-13</v>
      </c>
      <c r="CU140" s="18">
        <f>CT140*VLOOKUP('Données projet'!$B$13,Paramètres!$A$1:$I$89,3,0)*VLOOKUP('Données projet'!$B$13,Paramètres!$A$1:$I$89,5,0)</f>
        <v>2.7046098693972454E-13</v>
      </c>
      <c r="CV140" s="14">
        <f t="shared" si="149"/>
        <v>3.6187594451142911E-12</v>
      </c>
      <c r="CW140" s="22">
        <f t="shared" si="121"/>
        <v>6.7737255858274096E-12</v>
      </c>
      <c r="CX140" s="62">
        <f t="shared" si="122"/>
        <v>293.33333333334008</v>
      </c>
      <c r="CY140" s="62">
        <f ca="1">AVERAGE(OFFSET($CX$3,0,0,'Données projet'!$E$13+1,1))-AVERAGE(OFFSET($H$3,0,0,'Données projet'!$E$13+1,1))</f>
        <v>300.36889324671682</v>
      </c>
      <c r="CZ140" s="62">
        <f t="shared" si="150"/>
        <v>214.36051699039683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projet'!$B$9,Paramètres!$A$1:$I$89,3,0)*VLOOKUP('Données projet'!$B$9,Paramètres!$A$1:$I$89,5,0)</f>
        <v>280.67519999999939</v>
      </c>
      <c r="P141" s="14">
        <f t="shared" si="141"/>
        <v>67.109678043026364</v>
      </c>
      <c r="Q141" s="22">
        <f t="shared" si="108"/>
        <v>605.72532925826988</v>
      </c>
      <c r="R141" s="62">
        <f t="shared" si="109"/>
        <v>899.05866259160325</v>
      </c>
      <c r="S141" s="62">
        <f ca="1">AVERAGE(OFFSET($R$3,0,0,'Données projet'!$E$9+1,1))-AVERAGE(OFFSET($H$3,0,0,'Données projet'!$E$9+1,1))</f>
        <v>477.00263959594946</v>
      </c>
      <c r="T141" s="62">
        <f t="shared" si="142"/>
        <v>254.25036207346591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-6.2527760746888816E-13</v>
      </c>
      <c r="AJ141" s="14">
        <f>AI141*VLOOKUP('Données projet'!$B$10,Paramètres!$A$1:$I$89,3,0)*VLOOKUP('Données projet'!$B$10,Paramètres!$A$1:$I$89,5,0)</f>
        <v>-2.9262992029543964E-13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245.47494516762282</v>
      </c>
      <c r="AO141" s="62">
        <f t="shared" si="144"/>
        <v>145.54897745089966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2.6</v>
      </c>
      <c r="BD141" s="13">
        <f>IF('Données projet'!$A$88&gt;35,BD140+BC141-BL140,IF(A141&lt;'Données projet'!$A$88,$BA$205^A141,IF(A141='Données projet'!$A$88,'Données projet'!$B$88,BD140+BC141-BL140)))</f>
        <v>276.79999999999939</v>
      </c>
      <c r="BE141" s="14">
        <f>BD141*VLOOKUP('Données projet'!$B$11,Paramètres!$A$1:$I$89,3,0)*VLOOKUP('Données projet'!$B$11,Paramètres!$A$1:$I$89,5,0)</f>
        <v>250.44863999999944</v>
      </c>
      <c r="BF141" s="14">
        <f t="shared" si="145"/>
        <v>60.682000328889892</v>
      </c>
      <c r="BG141" s="22">
        <f t="shared" si="115"/>
        <v>541.88586523948231</v>
      </c>
      <c r="BH141" s="62">
        <f t="shared" si="116"/>
        <v>835.21919857281569</v>
      </c>
      <c r="BI141" s="62">
        <f ca="1">AVERAGE(OFFSET($BH$3,0,0,'Données projet'!$E$11+1,1))-AVERAGE(OFFSET($H$3,0,0,'Données projet'!$E$11+1,1))</f>
        <v>430.21146937947236</v>
      </c>
      <c r="BJ141" s="62">
        <f t="shared" si="146"/>
        <v>231.36959598460686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8.8675733422860506E-14</v>
      </c>
      <c r="CA141" s="14">
        <f t="shared" si="147"/>
        <v>1.3509285393066301E-12</v>
      </c>
      <c r="CB141" s="22">
        <f t="shared" si="118"/>
        <v>2.5073107750038623E-12</v>
      </c>
      <c r="CC141" s="62">
        <f t="shared" si="119"/>
        <v>293.33333333333582</v>
      </c>
      <c r="CD141" s="62">
        <f ca="1">AVERAGE(OFFSET($CC$3,0,0,'Données projet'!$E$12+1,1))-AVERAGE(OFFSET($H$3,0,0,'Données projet'!$E$12+1,1))</f>
        <v>299.07024205218266</v>
      </c>
      <c r="CE141" s="62">
        <f t="shared" si="148"/>
        <v>328.70296497136366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2.8421709430404007E-13</v>
      </c>
      <c r="CU141" s="18">
        <f>CT141*VLOOKUP('Données projet'!$B$13,Paramètres!$A$1:$I$89,3,0)*VLOOKUP('Données projet'!$B$13,Paramètres!$A$1:$I$89,5,0)</f>
        <v>2.7046098693972454E-13</v>
      </c>
      <c r="CV141" s="14">
        <f t="shared" si="149"/>
        <v>3.6187594451142911E-12</v>
      </c>
      <c r="CW141" s="22">
        <f t="shared" si="121"/>
        <v>6.7737255858274096E-12</v>
      </c>
      <c r="CX141" s="62">
        <f t="shared" si="122"/>
        <v>293.33333333334008</v>
      </c>
      <c r="CY141" s="62">
        <f ca="1">AVERAGE(OFFSET($CX$3,0,0,'Données projet'!$E$13+1,1))-AVERAGE(OFFSET($H$3,0,0,'Données projet'!$E$13+1,1))</f>
        <v>300.36889324671682</v>
      </c>
      <c r="CZ141" s="62">
        <f t="shared" si="150"/>
        <v>214.36051699039683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projet'!$B$9,Paramètres!$A$1:$I$89,3,0)*VLOOKUP('Données projet'!$B$9,Paramètres!$A$1:$I$89,5,0)</f>
        <v>283.31159999999943</v>
      </c>
      <c r="P142" s="14">
        <f t="shared" si="141"/>
        <v>67.666365540271144</v>
      </c>
      <c r="Q142" s="22">
        <f t="shared" si="108"/>
        <v>611.28662331597127</v>
      </c>
      <c r="R142" s="62">
        <f t="shared" si="109"/>
        <v>904.61995664930464</v>
      </c>
      <c r="S142" s="62">
        <f ca="1">AVERAGE(OFFSET($R$3,0,0,'Données projet'!$E$9+1,1))-AVERAGE(OFFSET($H$3,0,0,'Données projet'!$E$9+1,1))</f>
        <v>477.00263959594946</v>
      </c>
      <c r="T142" s="62">
        <f t="shared" si="142"/>
        <v>254.25036207346591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-6.2527760746888816E-13</v>
      </c>
      <c r="AJ142" s="14">
        <f>AI142*VLOOKUP('Données projet'!$B$10,Paramètres!$A$1:$I$89,3,0)*VLOOKUP('Données projet'!$B$10,Paramètres!$A$1:$I$89,5,0)</f>
        <v>-2.9262992029543964E-13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245.47494516762282</v>
      </c>
      <c r="AO142" s="62">
        <f t="shared" si="144"/>
        <v>145.54897745089966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2.6</v>
      </c>
      <c r="BD142" s="13">
        <f>IF('Données projet'!$A$88&gt;35,BD141+BC142-BL141,IF(A142&lt;'Données projet'!$A$88,$BA$205^A142,IF(A142='Données projet'!$A$88,'Données projet'!$B$88,BD141+BC142-BL141)))</f>
        <v>279.39999999999941</v>
      </c>
      <c r="BE142" s="14">
        <f>BD142*VLOOKUP('Données projet'!$B$11,Paramètres!$A$1:$I$89,3,0)*VLOOKUP('Données projet'!$B$11,Paramètres!$A$1:$I$89,5,0)</f>
        <v>252.80111999999946</v>
      </c>
      <c r="BF142" s="14">
        <f t="shared" si="145"/>
        <v>61.185369021394152</v>
      </c>
      <c r="BG142" s="22">
        <f t="shared" si="115"/>
        <v>546.85980171226049</v>
      </c>
      <c r="BH142" s="62">
        <f t="shared" si="116"/>
        <v>840.19313504559386</v>
      </c>
      <c r="BI142" s="62">
        <f ca="1">AVERAGE(OFFSET($BH$3,0,0,'Données projet'!$E$11+1,1))-AVERAGE(OFFSET($H$3,0,0,'Données projet'!$E$11+1,1))</f>
        <v>430.21146937947236</v>
      </c>
      <c r="BJ142" s="62">
        <f t="shared" si="146"/>
        <v>231.36959598460686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8.8675733422860506E-14</v>
      </c>
      <c r="CA142" s="14">
        <f t="shared" si="147"/>
        <v>1.3509285393066301E-12</v>
      </c>
      <c r="CB142" s="22">
        <f t="shared" si="118"/>
        <v>2.5073107750038623E-12</v>
      </c>
      <c r="CC142" s="62">
        <f t="shared" si="119"/>
        <v>293.33333333333582</v>
      </c>
      <c r="CD142" s="62">
        <f ca="1">AVERAGE(OFFSET($CC$3,0,0,'Données projet'!$E$12+1,1))-AVERAGE(OFFSET($H$3,0,0,'Données projet'!$E$12+1,1))</f>
        <v>299.07024205218266</v>
      </c>
      <c r="CE142" s="62">
        <f t="shared" si="148"/>
        <v>328.70296497136366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2.8421709430404007E-13</v>
      </c>
      <c r="CU142" s="18">
        <f>CT142*VLOOKUP('Données projet'!$B$13,Paramètres!$A$1:$I$89,3,0)*VLOOKUP('Données projet'!$B$13,Paramètres!$A$1:$I$89,5,0)</f>
        <v>2.7046098693972454E-13</v>
      </c>
      <c r="CV142" s="14">
        <f t="shared" si="149"/>
        <v>3.6187594451142911E-12</v>
      </c>
      <c r="CW142" s="22">
        <f t="shared" si="121"/>
        <v>6.7737255858274096E-12</v>
      </c>
      <c r="CX142" s="62">
        <f t="shared" si="122"/>
        <v>293.33333333334008</v>
      </c>
      <c r="CY142" s="62">
        <f ca="1">AVERAGE(OFFSET($CX$3,0,0,'Données projet'!$E$13+1,1))-AVERAGE(OFFSET($H$3,0,0,'Données projet'!$E$13+1,1))</f>
        <v>300.36889324671682</v>
      </c>
      <c r="CZ142" s="62">
        <f t="shared" si="150"/>
        <v>214.36051699039683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projet'!$B$9,Paramètres!$A$1:$I$89,3,0)*VLOOKUP('Données projet'!$B$9,Paramètres!$A$1:$I$89,5,0)</f>
        <v>285.94799999999947</v>
      </c>
      <c r="P143" s="14">
        <f t="shared" si="141"/>
        <v>68.222450362989306</v>
      </c>
      <c r="Q143" s="22">
        <f t="shared" si="108"/>
        <v>616.84686771553879</v>
      </c>
      <c r="R143" s="62">
        <f t="shared" si="109"/>
        <v>910.18020104887205</v>
      </c>
      <c r="S143" s="62">
        <f ca="1">AVERAGE(OFFSET($R$3,0,0,'Données projet'!$E$9+1,1))-AVERAGE(OFFSET($H$3,0,0,'Données projet'!$E$9+1,1))</f>
        <v>477.00263959594946</v>
      </c>
      <c r="T143" s="62">
        <f t="shared" si="142"/>
        <v>254.25036207346591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-6.2527760746888816E-13</v>
      </c>
      <c r="AJ143" s="14">
        <f>AI143*VLOOKUP('Données projet'!$B$10,Paramètres!$A$1:$I$89,3,0)*VLOOKUP('Données projet'!$B$10,Paramètres!$A$1:$I$89,5,0)</f>
        <v>-2.9262992029543964E-13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245.47494516762282</v>
      </c>
      <c r="AO143" s="62">
        <f t="shared" si="144"/>
        <v>145.54897745089966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2.6</v>
      </c>
      <c r="BD143" s="13">
        <f>IF('Données projet'!$A$88&gt;35,BD142+BC143-BL142,IF(A143&lt;'Données projet'!$A$88,$BA$205^A143,IF(A143='Données projet'!$A$88,'Données projet'!$B$88,BD142+BC143-BL142)))</f>
        <v>281.99999999999943</v>
      </c>
      <c r="BE143" s="14">
        <f>BD143*VLOOKUP('Données projet'!$B$11,Paramètres!$A$1:$I$89,3,0)*VLOOKUP('Données projet'!$B$11,Paramètres!$A$1:$I$89,5,0)</f>
        <v>255.15359999999947</v>
      </c>
      <c r="BF143" s="14">
        <f t="shared" si="145"/>
        <v>61.688192762754319</v>
      </c>
      <c r="BG143" s="22">
        <f t="shared" si="115"/>
        <v>551.83278906179623</v>
      </c>
      <c r="BH143" s="62">
        <f t="shared" si="116"/>
        <v>845.16612239512961</v>
      </c>
      <c r="BI143" s="62">
        <f ca="1">AVERAGE(OFFSET($BH$3,0,0,'Données projet'!$E$11+1,1))-AVERAGE(OFFSET($H$3,0,0,'Données projet'!$E$11+1,1))</f>
        <v>430.21146937947236</v>
      </c>
      <c r="BJ143" s="62">
        <f t="shared" si="146"/>
        <v>231.36959598460686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8.8675733422860506E-14</v>
      </c>
      <c r="CA143" s="14">
        <f t="shared" si="147"/>
        <v>1.3509285393066301E-12</v>
      </c>
      <c r="CB143" s="22">
        <f t="shared" si="118"/>
        <v>2.5073107750038623E-12</v>
      </c>
      <c r="CC143" s="62">
        <f t="shared" si="119"/>
        <v>293.33333333333582</v>
      </c>
      <c r="CD143" s="62">
        <f ca="1">AVERAGE(OFFSET($CC$3,0,0,'Données projet'!$E$12+1,1))-AVERAGE(OFFSET($H$3,0,0,'Données projet'!$E$12+1,1))</f>
        <v>299.07024205218266</v>
      </c>
      <c r="CE143" s="62">
        <f t="shared" si="148"/>
        <v>328.70296497136366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2.8421709430404007E-13</v>
      </c>
      <c r="CU143" s="18">
        <f>CT143*VLOOKUP('Données projet'!$B$13,Paramètres!$A$1:$I$89,3,0)*VLOOKUP('Données projet'!$B$13,Paramètres!$A$1:$I$89,5,0)</f>
        <v>2.7046098693972454E-13</v>
      </c>
      <c r="CV143" s="14">
        <f t="shared" si="149"/>
        <v>3.6187594451142911E-12</v>
      </c>
      <c r="CW143" s="22">
        <f t="shared" si="121"/>
        <v>6.7737255858274096E-12</v>
      </c>
      <c r="CX143" s="62">
        <f t="shared" si="122"/>
        <v>293.33333333334008</v>
      </c>
      <c r="CY143" s="62">
        <f ca="1">AVERAGE(OFFSET($CX$3,0,0,'Données projet'!$E$13+1,1))-AVERAGE(OFFSET($H$3,0,0,'Données projet'!$E$13+1,1))</f>
        <v>300.36889324671682</v>
      </c>
      <c r="CZ143" s="62">
        <f t="shared" si="150"/>
        <v>214.36051699039683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projet'!$B$9,Paramètres!$A$1:$I$89,3,0)*VLOOKUP('Données projet'!$B$9,Paramètres!$A$1:$I$89,5,0)</f>
        <v>288.58439999999945</v>
      </c>
      <c r="P144" s="14">
        <f t="shared" si="141"/>
        <v>68.777938711388487</v>
      </c>
      <c r="Q144" s="22">
        <f t="shared" si="108"/>
        <v>622.40607325566725</v>
      </c>
      <c r="R144" s="62">
        <f t="shared" si="109"/>
        <v>915.73940658900051</v>
      </c>
      <c r="S144" s="62">
        <f ca="1">AVERAGE(OFFSET($R$3,0,0,'Données projet'!$E$9+1,1))-AVERAGE(OFFSET($H$3,0,0,'Données projet'!$E$9+1,1))</f>
        <v>477.00263959594946</v>
      </c>
      <c r="T144" s="62">
        <f t="shared" si="142"/>
        <v>254.25036207346591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-6.2527760746888816E-13</v>
      </c>
      <c r="AJ144" s="14">
        <f>AI144*VLOOKUP('Données projet'!$B$10,Paramètres!$A$1:$I$89,3,0)*VLOOKUP('Données projet'!$B$10,Paramètres!$A$1:$I$89,5,0)</f>
        <v>-2.9262992029543964E-13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245.47494516762282</v>
      </c>
      <c r="AO144" s="62">
        <f t="shared" si="144"/>
        <v>145.54897745089966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2.6</v>
      </c>
      <c r="BD144" s="13">
        <f>IF('Données projet'!$A$88&gt;35,BD143+BC144-BL143,IF(A144&lt;'Données projet'!$A$88,$BA$205^A144,IF(A144='Données projet'!$A$88,'Données projet'!$B$88,BD143+BC144-BL143)))</f>
        <v>284.59999999999945</v>
      </c>
      <c r="BE144" s="14">
        <f>BD144*VLOOKUP('Données projet'!$B$11,Paramètres!$A$1:$I$89,3,0)*VLOOKUP('Données projet'!$B$11,Paramètres!$A$1:$I$89,5,0)</f>
        <v>257.50607999999949</v>
      </c>
      <c r="BF144" s="14">
        <f t="shared" si="145"/>
        <v>62.190477159330406</v>
      </c>
      <c r="BG144" s="22">
        <f t="shared" si="115"/>
        <v>556.80483705249947</v>
      </c>
      <c r="BH144" s="62">
        <f t="shared" si="116"/>
        <v>850.13817038583284</v>
      </c>
      <c r="BI144" s="62">
        <f ca="1">AVERAGE(OFFSET($BH$3,0,0,'Données projet'!$E$11+1,1))-AVERAGE(OFFSET($H$3,0,0,'Données projet'!$E$11+1,1))</f>
        <v>430.21146937947236</v>
      </c>
      <c r="BJ144" s="62">
        <f t="shared" si="146"/>
        <v>231.36959598460686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8.8675733422860506E-14</v>
      </c>
      <c r="CA144" s="14">
        <f t="shared" si="147"/>
        <v>1.3509285393066301E-12</v>
      </c>
      <c r="CB144" s="22">
        <f t="shared" si="118"/>
        <v>2.5073107750038623E-12</v>
      </c>
      <c r="CC144" s="62">
        <f t="shared" si="119"/>
        <v>293.33333333333582</v>
      </c>
      <c r="CD144" s="62">
        <f ca="1">AVERAGE(OFFSET($CC$3,0,0,'Données projet'!$E$12+1,1))-AVERAGE(OFFSET($H$3,0,0,'Données projet'!$E$12+1,1))</f>
        <v>299.07024205218266</v>
      </c>
      <c r="CE144" s="62">
        <f t="shared" si="148"/>
        <v>328.70296497136366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2.8421709430404007E-13</v>
      </c>
      <c r="CU144" s="18">
        <f>CT144*VLOOKUP('Données projet'!$B$13,Paramètres!$A$1:$I$89,3,0)*VLOOKUP('Données projet'!$B$13,Paramètres!$A$1:$I$89,5,0)</f>
        <v>2.7046098693972454E-13</v>
      </c>
      <c r="CV144" s="14">
        <f t="shared" si="149"/>
        <v>3.6187594451142911E-12</v>
      </c>
      <c r="CW144" s="22">
        <f t="shared" si="121"/>
        <v>6.7737255858274096E-12</v>
      </c>
      <c r="CX144" s="62">
        <f t="shared" si="122"/>
        <v>293.33333333334008</v>
      </c>
      <c r="CY144" s="62">
        <f ca="1">AVERAGE(OFFSET($CX$3,0,0,'Données projet'!$E$13+1,1))-AVERAGE(OFFSET($H$3,0,0,'Données projet'!$E$13+1,1))</f>
        <v>300.36889324671682</v>
      </c>
      <c r="CZ144" s="62">
        <f t="shared" si="150"/>
        <v>214.36051699039683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projet'!$B$9,Paramètres!$A$1:$I$89,3,0)*VLOOKUP('Données projet'!$B$9,Paramètres!$A$1:$I$89,5,0)</f>
        <v>291.22079999999949</v>
      </c>
      <c r="P145" s="14">
        <f t="shared" si="141"/>
        <v>69.332836665856547</v>
      </c>
      <c r="Q145" s="22">
        <f t="shared" si="108"/>
        <v>627.96425052636596</v>
      </c>
      <c r="R145" s="62">
        <f t="shared" si="109"/>
        <v>921.29758385969922</v>
      </c>
      <c r="S145" s="62">
        <f ca="1">AVERAGE(OFFSET($R$3,0,0,'Données projet'!$E$9+1,1))-AVERAGE(OFFSET($H$3,0,0,'Données projet'!$E$9+1,1))</f>
        <v>477.00263959594946</v>
      </c>
      <c r="T145" s="62">
        <f t="shared" si="142"/>
        <v>254.25036207346591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-6.2527760746888816E-13</v>
      </c>
      <c r="AJ145" s="14">
        <f>AI145*VLOOKUP('Données projet'!$B$10,Paramètres!$A$1:$I$89,3,0)*VLOOKUP('Données projet'!$B$10,Paramètres!$A$1:$I$89,5,0)</f>
        <v>-2.9262992029543964E-13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245.47494516762282</v>
      </c>
      <c r="AO145" s="62">
        <f t="shared" si="144"/>
        <v>145.54897745089966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2.6</v>
      </c>
      <c r="BD145" s="13">
        <f>IF('Données projet'!$A$88&gt;35,BD144+BC145-BL144,IF(A145&lt;'Données projet'!$A$88,$BA$205^A145,IF(A145='Données projet'!$A$88,'Données projet'!$B$88,BD144+BC145-BL144)))</f>
        <v>287.19999999999948</v>
      </c>
      <c r="BE145" s="14">
        <f>BD145*VLOOKUP('Données projet'!$B$11,Paramètres!$A$1:$I$89,3,0)*VLOOKUP('Données projet'!$B$11,Paramètres!$A$1:$I$89,5,0)</f>
        <v>259.8585599999995</v>
      </c>
      <c r="BF145" s="14">
        <f t="shared" si="145"/>
        <v>62.692227709138365</v>
      </c>
      <c r="BG145" s="22">
        <f t="shared" si="115"/>
        <v>561.77595526008179</v>
      </c>
      <c r="BH145" s="62">
        <f t="shared" si="116"/>
        <v>855.10928859341516</v>
      </c>
      <c r="BI145" s="62">
        <f ca="1">AVERAGE(OFFSET($BH$3,0,0,'Données projet'!$E$11+1,1))-AVERAGE(OFFSET($H$3,0,0,'Données projet'!$E$11+1,1))</f>
        <v>430.21146937947236</v>
      </c>
      <c r="BJ145" s="62">
        <f t="shared" si="146"/>
        <v>231.36959598460686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8.8675733422860506E-14</v>
      </c>
      <c r="CA145" s="14">
        <f t="shared" si="147"/>
        <v>1.3509285393066301E-12</v>
      </c>
      <c r="CB145" s="22">
        <f t="shared" si="118"/>
        <v>2.5073107750038623E-12</v>
      </c>
      <c r="CC145" s="62">
        <f t="shared" si="119"/>
        <v>293.33333333333582</v>
      </c>
      <c r="CD145" s="62">
        <f ca="1">AVERAGE(OFFSET($CC$3,0,0,'Données projet'!$E$12+1,1))-AVERAGE(OFFSET($H$3,0,0,'Données projet'!$E$12+1,1))</f>
        <v>299.07024205218266</v>
      </c>
      <c r="CE145" s="62">
        <f t="shared" si="148"/>
        <v>328.70296497136366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2.8421709430404007E-13</v>
      </c>
      <c r="CU145" s="18">
        <f>CT145*VLOOKUP('Données projet'!$B$13,Paramètres!$A$1:$I$89,3,0)*VLOOKUP('Données projet'!$B$13,Paramètres!$A$1:$I$89,5,0)</f>
        <v>2.7046098693972454E-13</v>
      </c>
      <c r="CV145" s="14">
        <f t="shared" si="149"/>
        <v>3.6187594451142911E-12</v>
      </c>
      <c r="CW145" s="22">
        <f t="shared" si="121"/>
        <v>6.7737255858274096E-12</v>
      </c>
      <c r="CX145" s="62">
        <f t="shared" si="122"/>
        <v>293.33333333334008</v>
      </c>
      <c r="CY145" s="62">
        <f ca="1">AVERAGE(OFFSET($CX$3,0,0,'Données projet'!$E$13+1,1))-AVERAGE(OFFSET($H$3,0,0,'Données projet'!$E$13+1,1))</f>
        <v>300.36889324671682</v>
      </c>
      <c r="CZ145" s="62">
        <f t="shared" si="150"/>
        <v>214.36051699039683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projet'!$B$9,Paramètres!$A$1:$I$89,3,0)*VLOOKUP('Données projet'!$B$9,Paramètres!$A$1:$I$89,5,0)</f>
        <v>293.85719999999952</v>
      </c>
      <c r="P146" s="14">
        <f t="shared" si="141"/>
        <v>69.88715019033971</v>
      </c>
      <c r="Q146" s="22">
        <f t="shared" si="108"/>
        <v>633.52140991484077</v>
      </c>
      <c r="R146" s="62">
        <f t="shared" si="109"/>
        <v>926.85474324817415</v>
      </c>
      <c r="S146" s="62">
        <f ca="1">AVERAGE(OFFSET($R$3,0,0,'Données projet'!$E$9+1,1))-AVERAGE(OFFSET($H$3,0,0,'Données projet'!$E$9+1,1))</f>
        <v>477.00263959594946</v>
      </c>
      <c r="T146" s="62">
        <f t="shared" si="142"/>
        <v>254.25036207346591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-6.2527760746888816E-13</v>
      </c>
      <c r="AJ146" s="14">
        <f>AI146*VLOOKUP('Données projet'!$B$10,Paramètres!$A$1:$I$89,3,0)*VLOOKUP('Données projet'!$B$10,Paramètres!$A$1:$I$89,5,0)</f>
        <v>-2.9262992029543964E-13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245.47494516762282</v>
      </c>
      <c r="AO146" s="62">
        <f t="shared" si="144"/>
        <v>145.54897745089966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2.6</v>
      </c>
      <c r="BD146" s="13">
        <f>IF('Données projet'!$A$88&gt;35,BD145+BC146-BL145,IF(A146&lt;'Données projet'!$A$88,$BA$205^A146,IF(A146='Données projet'!$A$88,'Données projet'!$B$88,BD145+BC146-BL145)))</f>
        <v>289.7999999999995</v>
      </c>
      <c r="BE146" s="14">
        <f>BD146*VLOOKUP('Données projet'!$B$11,Paramètres!$A$1:$I$89,3,0)*VLOOKUP('Données projet'!$B$11,Paramètres!$A$1:$I$89,5,0)</f>
        <v>262.21103999999951</v>
      </c>
      <c r="BF146" s="14">
        <f t="shared" si="145"/>
        <v>63.19344980490574</v>
      </c>
      <c r="BG146" s="22">
        <f t="shared" si="115"/>
        <v>566.74615307687668</v>
      </c>
      <c r="BH146" s="62">
        <f t="shared" si="116"/>
        <v>860.07948641020994</v>
      </c>
      <c r="BI146" s="62">
        <f ca="1">AVERAGE(OFFSET($BH$3,0,0,'Données projet'!$E$11+1,1))-AVERAGE(OFFSET($H$3,0,0,'Données projet'!$E$11+1,1))</f>
        <v>430.21146937947236</v>
      </c>
      <c r="BJ146" s="62">
        <f t="shared" si="146"/>
        <v>231.36959598460686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8.8675733422860506E-14</v>
      </c>
      <c r="CA146" s="14">
        <f t="shared" si="147"/>
        <v>1.3509285393066301E-12</v>
      </c>
      <c r="CB146" s="22">
        <f t="shared" si="118"/>
        <v>2.5073107750038623E-12</v>
      </c>
      <c r="CC146" s="62">
        <f t="shared" si="119"/>
        <v>293.33333333333582</v>
      </c>
      <c r="CD146" s="62">
        <f ca="1">AVERAGE(OFFSET($CC$3,0,0,'Données projet'!$E$12+1,1))-AVERAGE(OFFSET($H$3,0,0,'Données projet'!$E$12+1,1))</f>
        <v>299.07024205218266</v>
      </c>
      <c r="CE146" s="62">
        <f t="shared" si="148"/>
        <v>328.70296497136366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2.8421709430404007E-13</v>
      </c>
      <c r="CU146" s="18">
        <f>CT146*VLOOKUP('Données projet'!$B$13,Paramètres!$A$1:$I$89,3,0)*VLOOKUP('Données projet'!$B$13,Paramètres!$A$1:$I$89,5,0)</f>
        <v>2.7046098693972454E-13</v>
      </c>
      <c r="CV146" s="14">
        <f t="shared" si="149"/>
        <v>3.6187594451142911E-12</v>
      </c>
      <c r="CW146" s="22">
        <f t="shared" si="121"/>
        <v>6.7737255858274096E-12</v>
      </c>
      <c r="CX146" s="62">
        <f t="shared" si="122"/>
        <v>293.33333333334008</v>
      </c>
      <c r="CY146" s="62">
        <f ca="1">AVERAGE(OFFSET($CX$3,0,0,'Données projet'!$E$13+1,1))-AVERAGE(OFFSET($H$3,0,0,'Données projet'!$E$13+1,1))</f>
        <v>300.36889324671682</v>
      </c>
      <c r="CZ146" s="62">
        <f t="shared" si="150"/>
        <v>214.36051699039683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projet'!$B$9,Paramètres!$A$1:$I$89,3,0)*VLOOKUP('Données projet'!$B$9,Paramètres!$A$1:$I$89,5,0)</f>
        <v>296.4935999999995</v>
      </c>
      <c r="P147" s="14">
        <f t="shared" si="141"/>
        <v>70.440885135597512</v>
      </c>
      <c r="Q147" s="22">
        <f t="shared" si="108"/>
        <v>639.07756161116481</v>
      </c>
      <c r="R147" s="62">
        <f t="shared" si="109"/>
        <v>932.41089494449807</v>
      </c>
      <c r="S147" s="62">
        <f ca="1">AVERAGE(OFFSET($R$3,0,0,'Données projet'!$E$9+1,1))-AVERAGE(OFFSET($H$3,0,0,'Données projet'!$E$9+1,1))</f>
        <v>477.00263959594946</v>
      </c>
      <c r="T147" s="62">
        <f t="shared" si="142"/>
        <v>254.25036207346591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-6.2527760746888816E-13</v>
      </c>
      <c r="AJ147" s="14">
        <f>AI147*VLOOKUP('Données projet'!$B$10,Paramètres!$A$1:$I$89,3,0)*VLOOKUP('Données projet'!$B$10,Paramètres!$A$1:$I$89,5,0)</f>
        <v>-2.9262992029543964E-13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245.47494516762282</v>
      </c>
      <c r="AO147" s="62">
        <f t="shared" si="144"/>
        <v>145.54897745089966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2.6</v>
      </c>
      <c r="BD147" s="13">
        <f>IF('Données projet'!$A$88&gt;35,BD146+BC147-BL146,IF(A147&lt;'Données projet'!$A$88,$BA$205^A147,IF(A147='Données projet'!$A$88,'Données projet'!$B$88,BD146+BC147-BL146)))</f>
        <v>292.39999999999952</v>
      </c>
      <c r="BE147" s="14">
        <f>BD147*VLOOKUP('Données projet'!$B$11,Paramètres!$A$1:$I$89,3,0)*VLOOKUP('Données projet'!$B$11,Paramètres!$A$1:$I$89,5,0)</f>
        <v>264.56351999999953</v>
      </c>
      <c r="BF147" s="14">
        <f t="shared" si="145"/>
        <v>63.694148737013748</v>
      </c>
      <c r="BG147" s="22">
        <f t="shared" si="115"/>
        <v>571.71543971696474</v>
      </c>
      <c r="BH147" s="62">
        <f t="shared" si="116"/>
        <v>865.048773050298</v>
      </c>
      <c r="BI147" s="62">
        <f ca="1">AVERAGE(OFFSET($BH$3,0,0,'Données projet'!$E$11+1,1))-AVERAGE(OFFSET($H$3,0,0,'Données projet'!$E$11+1,1))</f>
        <v>430.21146937947236</v>
      </c>
      <c r="BJ147" s="62">
        <f t="shared" si="146"/>
        <v>231.36959598460686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8.8675733422860506E-14</v>
      </c>
      <c r="CA147" s="14">
        <f t="shared" si="147"/>
        <v>1.3509285393066301E-12</v>
      </c>
      <c r="CB147" s="22">
        <f t="shared" si="118"/>
        <v>2.5073107750038623E-12</v>
      </c>
      <c r="CC147" s="62">
        <f t="shared" si="119"/>
        <v>293.33333333333582</v>
      </c>
      <c r="CD147" s="62">
        <f ca="1">AVERAGE(OFFSET($CC$3,0,0,'Données projet'!$E$12+1,1))-AVERAGE(OFFSET($H$3,0,0,'Données projet'!$E$12+1,1))</f>
        <v>299.07024205218266</v>
      </c>
      <c r="CE147" s="62">
        <f t="shared" si="148"/>
        <v>328.70296497136366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2.8421709430404007E-13</v>
      </c>
      <c r="CU147" s="18">
        <f>CT147*VLOOKUP('Données projet'!$B$13,Paramètres!$A$1:$I$89,3,0)*VLOOKUP('Données projet'!$B$13,Paramètres!$A$1:$I$89,5,0)</f>
        <v>2.7046098693972454E-13</v>
      </c>
      <c r="CV147" s="14">
        <f t="shared" si="149"/>
        <v>3.6187594451142911E-12</v>
      </c>
      <c r="CW147" s="22">
        <f t="shared" si="121"/>
        <v>6.7737255858274096E-12</v>
      </c>
      <c r="CX147" s="62">
        <f t="shared" si="122"/>
        <v>293.33333333334008</v>
      </c>
      <c r="CY147" s="62">
        <f ca="1">AVERAGE(OFFSET($CX$3,0,0,'Données projet'!$E$13+1,1))-AVERAGE(OFFSET($H$3,0,0,'Données projet'!$E$13+1,1))</f>
        <v>300.36889324671682</v>
      </c>
      <c r="CZ147" s="62">
        <f t="shared" si="150"/>
        <v>214.36051699039683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projet'!$B$9,Paramètres!$A$1:$I$89,3,0)*VLOOKUP('Données projet'!$B$9,Paramètres!$A$1:$I$89,5,0)</f>
        <v>299.12999999999954</v>
      </c>
      <c r="P148" s="14">
        <f t="shared" si="141"/>
        <v>70.994047242337146</v>
      </c>
      <c r="Q148" s="22">
        <f t="shared" si="108"/>
        <v>644.63271561373642</v>
      </c>
      <c r="R148" s="62">
        <f t="shared" si="109"/>
        <v>937.96604894706979</v>
      </c>
      <c r="S148" s="62">
        <f ca="1">AVERAGE(OFFSET($R$3,0,0,'Données projet'!$E$9+1,1))-AVERAGE(OFFSET($H$3,0,0,'Données projet'!$E$9+1,1))</f>
        <v>477.00263959594946</v>
      </c>
      <c r="T148" s="62">
        <f t="shared" si="142"/>
        <v>254.25036207346591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-6.2527760746888816E-13</v>
      </c>
      <c r="AJ148" s="14">
        <f>AI148*VLOOKUP('Données projet'!$B$10,Paramètres!$A$1:$I$89,3,0)*VLOOKUP('Données projet'!$B$10,Paramètres!$A$1:$I$89,5,0)</f>
        <v>-2.9262992029543964E-13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245.47494516762282</v>
      </c>
      <c r="AO148" s="62">
        <f t="shared" si="144"/>
        <v>145.54897745089966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>
        <f>VLOOKUP(A148,'Données projet'!$A$87:$I$107,2,0)</f>
        <v>295</v>
      </c>
      <c r="BB148" s="13">
        <f>VLOOKUP(A148,'Données projet'!$A$87:$I$107,9,0)</f>
        <v>2.6</v>
      </c>
      <c r="BC148" s="13">
        <f t="array" ref="BC148">INDEX(BB:BB,MIN(IF(ISNUMBER(BB148:BB344),ROW(BB148:BB344),"")))</f>
        <v>2.6</v>
      </c>
      <c r="BD148" s="13">
        <f>IF('Données projet'!$A$88&gt;35,BD147+BC148-BL147,IF(A148&lt;'Données projet'!$A$88,$BA$205^A148,IF(A148='Données projet'!$A$88,'Données projet'!$B$88,BD147+BC148-BL147)))</f>
        <v>294.99999999999955</v>
      </c>
      <c r="BE148" s="14">
        <f>BD148*VLOOKUP('Données projet'!$B$11,Paramètres!$A$1:$I$89,3,0)*VLOOKUP('Données projet'!$B$11,Paramètres!$A$1:$I$89,5,0)</f>
        <v>266.9159999999996</v>
      </c>
      <c r="BF148" s="14">
        <f t="shared" si="145"/>
        <v>64.194329696332062</v>
      </c>
      <c r="BG148" s="22">
        <f t="shared" si="115"/>
        <v>576.68382422111085</v>
      </c>
      <c r="BH148" s="62">
        <f t="shared" si="116"/>
        <v>870.01715755444411</v>
      </c>
      <c r="BI148" s="62">
        <f ca="1">AVERAGE(OFFSET($BH$3,0,0,'Données projet'!$E$11+1,1))-AVERAGE(OFFSET($H$3,0,0,'Données projet'!$E$11+1,1))</f>
        <v>430.21146937947236</v>
      </c>
      <c r="BJ148" s="62">
        <f t="shared" si="146"/>
        <v>231.36959598460686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8.8675733422860506E-14</v>
      </c>
      <c r="CA148" s="14">
        <f t="shared" si="147"/>
        <v>1.3509285393066301E-12</v>
      </c>
      <c r="CB148" s="22">
        <f t="shared" si="118"/>
        <v>2.5073107750038623E-12</v>
      </c>
      <c r="CC148" s="62">
        <f t="shared" si="119"/>
        <v>293.33333333333582</v>
      </c>
      <c r="CD148" s="62">
        <f ca="1">AVERAGE(OFFSET($CC$3,0,0,'Données projet'!$E$12+1,1))-AVERAGE(OFFSET($H$3,0,0,'Données projet'!$E$12+1,1))</f>
        <v>299.07024205218266</v>
      </c>
      <c r="CE148" s="62">
        <f t="shared" si="148"/>
        <v>328.70296497136366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2.8421709430404007E-13</v>
      </c>
      <c r="CU148" s="18">
        <f>CT148*VLOOKUP('Données projet'!$B$13,Paramètres!$A$1:$I$89,3,0)*VLOOKUP('Données projet'!$B$13,Paramètres!$A$1:$I$89,5,0)</f>
        <v>2.7046098693972454E-13</v>
      </c>
      <c r="CV148" s="14">
        <f t="shared" si="149"/>
        <v>3.6187594451142911E-12</v>
      </c>
      <c r="CW148" s="22">
        <f t="shared" si="121"/>
        <v>6.7737255858274096E-12</v>
      </c>
      <c r="CX148" s="62">
        <f t="shared" si="122"/>
        <v>293.33333333334008</v>
      </c>
      <c r="CY148" s="62">
        <f ca="1">AVERAGE(OFFSET($CX$3,0,0,'Données projet'!$E$13+1,1))-AVERAGE(OFFSET($H$3,0,0,'Données projet'!$E$13+1,1))</f>
        <v>300.36889324671682</v>
      </c>
      <c r="CZ148" s="62">
        <f t="shared" si="150"/>
        <v>214.36051699039683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297.19999999999953</v>
      </c>
      <c r="O149" s="14">
        <f>N149*VLOOKUP('Données projet'!$B$9,Paramètres!$A$1:$I$89,3,0)*VLOOKUP('Données projet'!$B$9,Paramètres!$A$1:$I$89,5,0)</f>
        <v>301.36079999999953</v>
      </c>
      <c r="P149" s="14">
        <f t="shared" si="141"/>
        <v>71.461664239932929</v>
      </c>
      <c r="Q149" s="22">
        <f t="shared" si="108"/>
        <v>649.33245855121572</v>
      </c>
      <c r="R149" s="62">
        <f t="shared" si="109"/>
        <v>942.66579188454898</v>
      </c>
      <c r="S149" s="62">
        <f ca="1">AVERAGE(OFFSET($R$3,0,0,'Données projet'!$E$9+1,1))-AVERAGE(OFFSET($H$3,0,0,'Données projet'!$E$9+1,1))</f>
        <v>477.00263959594946</v>
      </c>
      <c r="T149" s="62">
        <f t="shared" si="142"/>
        <v>254.25036207346591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-6.2527760746888816E-13</v>
      </c>
      <c r="AJ149" s="14">
        <f>AI149*VLOOKUP('Données projet'!$B$10,Paramètres!$A$1:$I$89,3,0)*VLOOKUP('Données projet'!$B$10,Paramètres!$A$1:$I$89,5,0)</f>
        <v>-2.9262992029543964E-13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245.47494516762282</v>
      </c>
      <c r="AO149" s="62">
        <f t="shared" si="144"/>
        <v>145.54897745089966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2.2000000000000002</v>
      </c>
      <c r="BD149" s="13">
        <f>IF('Données projet'!$A$88&gt;35,BD148+BC149-BL148,IF(A149&lt;'Données projet'!$A$88,$BA$205^A149,IF(A149='Données projet'!$A$88,'Données projet'!$B$88,BD148+BC149-BL148)))</f>
        <v>297.19999999999953</v>
      </c>
      <c r="BE149" s="14">
        <f>BD149*VLOOKUP('Données projet'!$B$11,Paramètres!$A$1:$I$89,3,0)*VLOOKUP('Données projet'!$B$11,Paramètres!$A$1:$I$89,5,0)</f>
        <v>268.90655999999956</v>
      </c>
      <c r="BF149" s="14">
        <f t="shared" si="145"/>
        <v>64.617158945843656</v>
      </c>
      <c r="BG149" s="22">
        <f t="shared" si="115"/>
        <v>580.88714383067679</v>
      </c>
      <c r="BH149" s="62">
        <f t="shared" si="116"/>
        <v>874.22047716401016</v>
      </c>
      <c r="BI149" s="62">
        <f ca="1">AVERAGE(OFFSET($BH$3,0,0,'Données projet'!$E$11+1,1))-AVERAGE(OFFSET($H$3,0,0,'Données projet'!$E$11+1,1))</f>
        <v>430.21146937947236</v>
      </c>
      <c r="BJ149" s="62">
        <f t="shared" si="146"/>
        <v>231.36959598460686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8.8675733422860506E-14</v>
      </c>
      <c r="CA149" s="14">
        <f t="shared" si="147"/>
        <v>1.3509285393066301E-12</v>
      </c>
      <c r="CB149" s="22">
        <f t="shared" si="118"/>
        <v>2.5073107750038623E-12</v>
      </c>
      <c r="CC149" s="62">
        <f t="shared" si="119"/>
        <v>293.33333333333582</v>
      </c>
      <c r="CD149" s="62">
        <f ca="1">AVERAGE(OFFSET($CC$3,0,0,'Données projet'!$E$12+1,1))-AVERAGE(OFFSET($H$3,0,0,'Données projet'!$E$12+1,1))</f>
        <v>299.07024205218266</v>
      </c>
      <c r="CE149" s="62">
        <f t="shared" si="148"/>
        <v>328.70296497136366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2.8421709430404007E-13</v>
      </c>
      <c r="CU149" s="18">
        <f>CT149*VLOOKUP('Données projet'!$B$13,Paramètres!$A$1:$I$89,3,0)*VLOOKUP('Données projet'!$B$13,Paramètres!$A$1:$I$89,5,0)</f>
        <v>2.7046098693972454E-13</v>
      </c>
      <c r="CV149" s="14">
        <f t="shared" si="149"/>
        <v>3.6187594451142911E-12</v>
      </c>
      <c r="CW149" s="22">
        <f t="shared" si="121"/>
        <v>6.7737255858274096E-12</v>
      </c>
      <c r="CX149" s="62">
        <f t="shared" si="122"/>
        <v>293.33333333334008</v>
      </c>
      <c r="CY149" s="62">
        <f ca="1">AVERAGE(OFFSET($CX$3,0,0,'Données projet'!$E$13+1,1))-AVERAGE(OFFSET($H$3,0,0,'Données projet'!$E$13+1,1))</f>
        <v>300.36889324671682</v>
      </c>
      <c r="CZ149" s="62">
        <f t="shared" si="150"/>
        <v>214.36051699039683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299.39999999999952</v>
      </c>
      <c r="O150" s="14">
        <f>N150*VLOOKUP('Données projet'!$B$9,Paramètres!$A$1:$I$89,3,0)*VLOOKUP('Données projet'!$B$9,Paramètres!$A$1:$I$89,5,0)</f>
        <v>303.59159999999952</v>
      </c>
      <c r="P150" s="14">
        <f t="shared" si="141"/>
        <v>71.928878488732622</v>
      </c>
      <c r="Q150" s="22">
        <f t="shared" si="108"/>
        <v>654.03150003454175</v>
      </c>
      <c r="R150" s="62">
        <f t="shared" si="109"/>
        <v>947.36483336787501</v>
      </c>
      <c r="S150" s="62">
        <f ca="1">AVERAGE(OFFSET($R$3,0,0,'Données projet'!$E$9+1,1))-AVERAGE(OFFSET($H$3,0,0,'Données projet'!$E$9+1,1))</f>
        <v>477.00263959594946</v>
      </c>
      <c r="T150" s="62">
        <f t="shared" si="142"/>
        <v>254.25036207346591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-6.2527760746888816E-13</v>
      </c>
      <c r="AJ150" s="14">
        <f>AI150*VLOOKUP('Données projet'!$B$10,Paramètres!$A$1:$I$89,3,0)*VLOOKUP('Données projet'!$B$10,Paramètres!$A$1:$I$89,5,0)</f>
        <v>-2.9262992029543964E-13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245.47494516762282</v>
      </c>
      <c r="AO150" s="62">
        <f t="shared" si="144"/>
        <v>145.54897745089966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2.2000000000000002</v>
      </c>
      <c r="BD150" s="13">
        <f>IF('Données projet'!$A$88&gt;35,BD149+BC150-BL149,IF(A150&lt;'Données projet'!$A$88,$BA$205^A150,IF(A150='Données projet'!$A$88,'Données projet'!$B$88,BD149+BC150-BL149)))</f>
        <v>299.39999999999952</v>
      </c>
      <c r="BE150" s="14">
        <f>BD150*VLOOKUP('Données projet'!$B$11,Paramètres!$A$1:$I$89,3,0)*VLOOKUP('Données projet'!$B$11,Paramètres!$A$1:$I$89,5,0)</f>
        <v>270.89711999999952</v>
      </c>
      <c r="BF150" s="14">
        <f t="shared" si="145"/>
        <v>65.039624021315362</v>
      </c>
      <c r="BG150" s="22">
        <f t="shared" si="115"/>
        <v>585.08982917045671</v>
      </c>
      <c r="BH150" s="62">
        <f t="shared" si="116"/>
        <v>878.42316250379008</v>
      </c>
      <c r="BI150" s="62">
        <f ca="1">AVERAGE(OFFSET($BH$3,0,0,'Données projet'!$E$11+1,1))-AVERAGE(OFFSET($H$3,0,0,'Données projet'!$E$11+1,1))</f>
        <v>430.21146937947236</v>
      </c>
      <c r="BJ150" s="62">
        <f t="shared" si="146"/>
        <v>231.36959598460686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8.8675733422860506E-14</v>
      </c>
      <c r="CA150" s="14">
        <f t="shared" si="147"/>
        <v>1.3509285393066301E-12</v>
      </c>
      <c r="CB150" s="22">
        <f t="shared" si="118"/>
        <v>2.5073107750038623E-12</v>
      </c>
      <c r="CC150" s="62">
        <f t="shared" si="119"/>
        <v>293.33333333333582</v>
      </c>
      <c r="CD150" s="62">
        <f ca="1">AVERAGE(OFFSET($CC$3,0,0,'Données projet'!$E$12+1,1))-AVERAGE(OFFSET($H$3,0,0,'Données projet'!$E$12+1,1))</f>
        <v>299.07024205218266</v>
      </c>
      <c r="CE150" s="62">
        <f t="shared" si="148"/>
        <v>328.70296497136366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2.8421709430404007E-13</v>
      </c>
      <c r="CU150" s="18">
        <f>CT150*VLOOKUP('Données projet'!$B$13,Paramètres!$A$1:$I$89,3,0)*VLOOKUP('Données projet'!$B$13,Paramètres!$A$1:$I$89,5,0)</f>
        <v>2.7046098693972454E-13</v>
      </c>
      <c r="CV150" s="14">
        <f t="shared" si="149"/>
        <v>3.6187594451142911E-12</v>
      </c>
      <c r="CW150" s="22">
        <f t="shared" si="121"/>
        <v>6.7737255858274096E-12</v>
      </c>
      <c r="CX150" s="62">
        <f t="shared" si="122"/>
        <v>293.33333333334008</v>
      </c>
      <c r="CY150" s="62">
        <f ca="1">AVERAGE(OFFSET($CX$3,0,0,'Données projet'!$E$13+1,1))-AVERAGE(OFFSET($H$3,0,0,'Données projet'!$E$13+1,1))</f>
        <v>300.36889324671682</v>
      </c>
      <c r="CZ150" s="62">
        <f t="shared" si="150"/>
        <v>214.36051699039683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301.59999999999951</v>
      </c>
      <c r="O151" s="14">
        <f>N151*VLOOKUP('Données projet'!$B$9,Paramètres!$A$1:$I$89,3,0)*VLOOKUP('Données projet'!$B$9,Paramètres!$A$1:$I$89,5,0)</f>
        <v>305.8223999999995</v>
      </c>
      <c r="P151" s="14">
        <f t="shared" si="141"/>
        <v>72.395693291268813</v>
      </c>
      <c r="Q151" s="22">
        <f t="shared" si="108"/>
        <v>658.72984581562559</v>
      </c>
      <c r="R151" s="62">
        <f t="shared" si="109"/>
        <v>952.06317914895885</v>
      </c>
      <c r="S151" s="62">
        <f ca="1">AVERAGE(OFFSET($R$3,0,0,'Données projet'!$E$9+1,1))-AVERAGE(OFFSET($H$3,0,0,'Données projet'!$E$9+1,1))</f>
        <v>477.00263959594946</v>
      </c>
      <c r="T151" s="62">
        <f t="shared" si="142"/>
        <v>254.25036207346591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-6.2527760746888816E-13</v>
      </c>
      <c r="AJ151" s="14">
        <f>AI151*VLOOKUP('Données projet'!$B$10,Paramètres!$A$1:$I$89,3,0)*VLOOKUP('Données projet'!$B$10,Paramètres!$A$1:$I$89,5,0)</f>
        <v>-2.9262992029543964E-13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245.47494516762282</v>
      </c>
      <c r="AO151" s="62">
        <f t="shared" si="144"/>
        <v>145.54897745089966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2.2000000000000002</v>
      </c>
      <c r="BD151" s="13">
        <f>IF('Données projet'!$A$88&gt;35,BD150+BC151-BL150,IF(A151&lt;'Données projet'!$A$88,$BA$205^A151,IF(A151='Données projet'!$A$88,'Données projet'!$B$88,BD150+BC151-BL150)))</f>
        <v>301.59999999999951</v>
      </c>
      <c r="BE151" s="14">
        <f>BD151*VLOOKUP('Données projet'!$B$11,Paramètres!$A$1:$I$89,3,0)*VLOOKUP('Données projet'!$B$11,Paramètres!$A$1:$I$89,5,0)</f>
        <v>272.88767999999953</v>
      </c>
      <c r="BF151" s="14">
        <f t="shared" si="145"/>
        <v>65.461727908967305</v>
      </c>
      <c r="BG151" s="22">
        <f t="shared" si="115"/>
        <v>589.29188544145063</v>
      </c>
      <c r="BH151" s="62">
        <f t="shared" si="116"/>
        <v>882.62521877478389</v>
      </c>
      <c r="BI151" s="62">
        <f ca="1">AVERAGE(OFFSET($BH$3,0,0,'Données projet'!$E$11+1,1))-AVERAGE(OFFSET($H$3,0,0,'Données projet'!$E$11+1,1))</f>
        <v>430.21146937947236</v>
      </c>
      <c r="BJ151" s="62">
        <f t="shared" si="146"/>
        <v>231.36959598460686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8.8675733422860506E-14</v>
      </c>
      <c r="CA151" s="14">
        <f t="shared" si="147"/>
        <v>1.3509285393066301E-12</v>
      </c>
      <c r="CB151" s="22">
        <f t="shared" si="118"/>
        <v>2.5073107750038623E-12</v>
      </c>
      <c r="CC151" s="62">
        <f t="shared" si="119"/>
        <v>293.33333333333582</v>
      </c>
      <c r="CD151" s="62">
        <f ca="1">AVERAGE(OFFSET($CC$3,0,0,'Données projet'!$E$12+1,1))-AVERAGE(OFFSET($H$3,0,0,'Données projet'!$E$12+1,1))</f>
        <v>299.07024205218266</v>
      </c>
      <c r="CE151" s="62">
        <f t="shared" si="148"/>
        <v>328.70296497136366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2.8421709430404007E-13</v>
      </c>
      <c r="CU151" s="18">
        <f>CT151*VLOOKUP('Données projet'!$B$13,Paramètres!$A$1:$I$89,3,0)*VLOOKUP('Données projet'!$B$13,Paramètres!$A$1:$I$89,5,0)</f>
        <v>2.7046098693972454E-13</v>
      </c>
      <c r="CV151" s="14">
        <f t="shared" si="149"/>
        <v>3.6187594451142911E-12</v>
      </c>
      <c r="CW151" s="22">
        <f t="shared" si="121"/>
        <v>6.7737255858274096E-12</v>
      </c>
      <c r="CX151" s="62">
        <f t="shared" si="122"/>
        <v>293.33333333334008</v>
      </c>
      <c r="CY151" s="62">
        <f ca="1">AVERAGE(OFFSET($CX$3,0,0,'Données projet'!$E$13+1,1))-AVERAGE(OFFSET($H$3,0,0,'Données projet'!$E$13+1,1))</f>
        <v>300.36889324671682</v>
      </c>
      <c r="CZ151" s="62">
        <f t="shared" si="150"/>
        <v>214.36051699039683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303.7999999999995</v>
      </c>
      <c r="O152" s="14">
        <f>N152*VLOOKUP('Données projet'!$B$9,Paramètres!$A$1:$I$89,3,0)*VLOOKUP('Données projet'!$B$9,Paramètres!$A$1:$I$89,5,0)</f>
        <v>308.05319999999955</v>
      </c>
      <c r="P152" s="14">
        <f t="shared" si="141"/>
        <v>72.862111899109848</v>
      </c>
      <c r="Q152" s="22">
        <f t="shared" si="108"/>
        <v>663.42750155761553</v>
      </c>
      <c r="R152" s="62">
        <f t="shared" si="109"/>
        <v>956.7608348909489</v>
      </c>
      <c r="S152" s="62">
        <f ca="1">AVERAGE(OFFSET($R$3,0,0,'Données projet'!$E$9+1,1))-AVERAGE(OFFSET($H$3,0,0,'Données projet'!$E$9+1,1))</f>
        <v>477.00263959594946</v>
      </c>
      <c r="T152" s="62">
        <f t="shared" si="142"/>
        <v>254.25036207346591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-6.2527760746888816E-13</v>
      </c>
      <c r="AJ152" s="14">
        <f>AI152*VLOOKUP('Données projet'!$B$10,Paramètres!$A$1:$I$89,3,0)*VLOOKUP('Données projet'!$B$10,Paramètres!$A$1:$I$89,5,0)</f>
        <v>-2.9262992029543964E-13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245.47494516762282</v>
      </c>
      <c r="AO152" s="62">
        <f t="shared" si="144"/>
        <v>145.54897745089966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2.2000000000000002</v>
      </c>
      <c r="BD152" s="13">
        <f>IF('Données projet'!$A$88&gt;35,BD151+BC152-BL151,IF(A152&lt;'Données projet'!$A$88,$BA$205^A152,IF(A152='Données projet'!$A$88,'Données projet'!$B$88,BD151+BC152-BL151)))</f>
        <v>303.7999999999995</v>
      </c>
      <c r="BE152" s="14">
        <f>BD152*VLOOKUP('Données projet'!$B$11,Paramètres!$A$1:$I$89,3,0)*VLOOKUP('Données projet'!$B$11,Paramètres!$A$1:$I$89,5,0)</f>
        <v>274.87823999999955</v>
      </c>
      <c r="BF152" s="14">
        <f t="shared" si="145"/>
        <v>65.883473548936905</v>
      </c>
      <c r="BG152" s="22">
        <f t="shared" si="115"/>
        <v>593.4933177643976</v>
      </c>
      <c r="BH152" s="62">
        <f t="shared" si="116"/>
        <v>886.82665109773097</v>
      </c>
      <c r="BI152" s="62">
        <f ca="1">AVERAGE(OFFSET($BH$3,0,0,'Données projet'!$E$11+1,1))-AVERAGE(OFFSET($H$3,0,0,'Données projet'!$E$11+1,1))</f>
        <v>430.21146937947236</v>
      </c>
      <c r="BJ152" s="62">
        <f t="shared" si="146"/>
        <v>231.36959598460686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8.8675733422860506E-14</v>
      </c>
      <c r="CA152" s="14">
        <f t="shared" si="147"/>
        <v>1.3509285393066301E-12</v>
      </c>
      <c r="CB152" s="22">
        <f t="shared" si="118"/>
        <v>2.5073107750038623E-12</v>
      </c>
      <c r="CC152" s="62">
        <f t="shared" si="119"/>
        <v>293.33333333333582</v>
      </c>
      <c r="CD152" s="62">
        <f ca="1">AVERAGE(OFFSET($CC$3,0,0,'Données projet'!$E$12+1,1))-AVERAGE(OFFSET($H$3,0,0,'Données projet'!$E$12+1,1))</f>
        <v>299.07024205218266</v>
      </c>
      <c r="CE152" s="62">
        <f t="shared" si="148"/>
        <v>328.70296497136366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2.8421709430404007E-13</v>
      </c>
      <c r="CU152" s="18">
        <f>CT152*VLOOKUP('Données projet'!$B$13,Paramètres!$A$1:$I$89,3,0)*VLOOKUP('Données projet'!$B$13,Paramètres!$A$1:$I$89,5,0)</f>
        <v>2.7046098693972454E-13</v>
      </c>
      <c r="CV152" s="14">
        <f t="shared" si="149"/>
        <v>3.6187594451142911E-12</v>
      </c>
      <c r="CW152" s="22">
        <f t="shared" si="121"/>
        <v>6.7737255858274096E-12</v>
      </c>
      <c r="CX152" s="62">
        <f t="shared" si="122"/>
        <v>293.33333333334008</v>
      </c>
      <c r="CY152" s="62">
        <f ca="1">AVERAGE(OFFSET($CX$3,0,0,'Données projet'!$E$13+1,1))-AVERAGE(OFFSET($H$3,0,0,'Données projet'!$E$13+1,1))</f>
        <v>300.36889324671682</v>
      </c>
      <c r="CZ152" s="62">
        <f t="shared" si="150"/>
        <v>214.36051699039683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305.99999999999949</v>
      </c>
      <c r="O153" s="14">
        <f>N153*VLOOKUP('Données projet'!$B$9,Paramètres!$A$1:$I$89,3,0)*VLOOKUP('Données projet'!$B$9,Paramètres!$A$1:$I$89,5,0)</f>
        <v>310.28399999999948</v>
      </c>
      <c r="P153" s="14">
        <f t="shared" si="141"/>
        <v>73.328137514010024</v>
      </c>
      <c r="Q153" s="22">
        <f t="shared" si="108"/>
        <v>668.12447283689983</v>
      </c>
      <c r="R153" s="62">
        <f t="shared" si="109"/>
        <v>961.4578061702332</v>
      </c>
      <c r="S153" s="62">
        <f ca="1">AVERAGE(OFFSET($R$3,0,0,'Données projet'!$E$9+1,1))-AVERAGE(OFFSET($H$3,0,0,'Données projet'!$E$9+1,1))</f>
        <v>477.00263959594946</v>
      </c>
      <c r="T153" s="62">
        <f t="shared" si="142"/>
        <v>254.25036207346591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-6.2527760746888816E-13</v>
      </c>
      <c r="AJ153" s="14">
        <f>AI153*VLOOKUP('Données projet'!$B$10,Paramètres!$A$1:$I$89,3,0)*VLOOKUP('Données projet'!$B$10,Paramètres!$A$1:$I$89,5,0)</f>
        <v>-2.9262992029543964E-13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245.47494516762282</v>
      </c>
      <c r="AO153" s="62">
        <f t="shared" si="144"/>
        <v>145.54897745089966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306</v>
      </c>
      <c r="BB153" s="13">
        <f>VLOOKUP(A153,'Données projet'!$A$87:$I$107,9,0)</f>
        <v>2.2000000000000002</v>
      </c>
      <c r="BC153" s="13">
        <f t="array" ref="BC153">INDEX(BB:BB,MIN(IF(ISNUMBER(BB153:BB349),ROW(BB153:BB349),"")))</f>
        <v>2.2000000000000002</v>
      </c>
      <c r="BD153" s="13">
        <f>IF('Données projet'!$A$88&gt;35,BD152+BC153-BL152,IF(A153&lt;'Données projet'!$A$88,$BA$205^A153,IF(A153='Données projet'!$A$88,'Données projet'!$B$88,BD152+BC153-BL152)))</f>
        <v>305.99999999999949</v>
      </c>
      <c r="BE153" s="14">
        <f>BD153*VLOOKUP('Données projet'!$B$11,Paramètres!$A$1:$I$89,3,0)*VLOOKUP('Données projet'!$B$11,Paramètres!$A$1:$I$89,5,0)</f>
        <v>276.86879999999951</v>
      </c>
      <c r="BF153" s="14">
        <f t="shared" si="145"/>
        <v>66.304863836318546</v>
      </c>
      <c r="BG153" s="22">
        <f t="shared" si="115"/>
        <v>597.6941311815873</v>
      </c>
      <c r="BH153" s="62">
        <f t="shared" si="116"/>
        <v>891.02746451492067</v>
      </c>
      <c r="BI153" s="62">
        <f ca="1">AVERAGE(OFFSET($BH$3,0,0,'Données projet'!$E$11+1,1))-AVERAGE(OFFSET($H$3,0,0,'Données projet'!$E$11+1,1))</f>
        <v>430.21146937947236</v>
      </c>
      <c r="BJ153" s="62">
        <f t="shared" si="146"/>
        <v>231.36959598460686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306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8.8675733422860506E-14</v>
      </c>
      <c r="CA153" s="14">
        <f t="shared" si="147"/>
        <v>1.3509285393066301E-12</v>
      </c>
      <c r="CB153" s="22">
        <f t="shared" si="118"/>
        <v>2.5073107750038623E-12</v>
      </c>
      <c r="CC153" s="62">
        <f t="shared" si="119"/>
        <v>293.33333333333582</v>
      </c>
      <c r="CD153" s="62">
        <f ca="1">AVERAGE(OFFSET($CC$3,0,0,'Données projet'!$E$12+1,1))-AVERAGE(OFFSET($H$3,0,0,'Données projet'!$E$12+1,1))</f>
        <v>299.07024205218266</v>
      </c>
      <c r="CE153" s="62">
        <f t="shared" si="148"/>
        <v>328.70296497136366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2.8421709430404007E-13</v>
      </c>
      <c r="CU153" s="18">
        <f>CT153*VLOOKUP('Données projet'!$B$13,Paramètres!$A$1:$I$89,3,0)*VLOOKUP('Données projet'!$B$13,Paramètres!$A$1:$I$89,5,0)</f>
        <v>2.7046098693972454E-13</v>
      </c>
      <c r="CV153" s="14">
        <f t="shared" si="149"/>
        <v>3.6187594451142911E-12</v>
      </c>
      <c r="CW153" s="22">
        <f t="shared" si="121"/>
        <v>6.7737255858274096E-12</v>
      </c>
      <c r="CX153" s="62">
        <f t="shared" si="122"/>
        <v>293.33333333334008</v>
      </c>
      <c r="CY153" s="62">
        <f ca="1">AVERAGE(OFFSET($CX$3,0,0,'Données projet'!$E$13+1,1))-AVERAGE(OFFSET($H$3,0,0,'Données projet'!$E$13+1,1))</f>
        <v>300.36889324671682</v>
      </c>
      <c r="CZ153" s="62">
        <f t="shared" si="150"/>
        <v>214.36051699039683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-5.1159076974727213E-13</v>
      </c>
      <c r="O154" s="14">
        <f>N154*VLOOKUP('Données projet'!$B$9,Paramètres!$A$1:$I$89,3,0)*VLOOKUP('Données projet'!$B$9,Paramètres!$A$1:$I$89,5,0)</f>
        <v>-5.1875304052373401E-13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477.00263959594946</v>
      </c>
      <c r="T154" s="62">
        <f t="shared" si="142"/>
        <v>254.25036207346591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-6.2527760746888816E-13</v>
      </c>
      <c r="AJ154" s="14">
        <f>AI154*VLOOKUP('Données projet'!$B$10,Paramètres!$A$1:$I$89,3,0)*VLOOKUP('Données projet'!$B$10,Paramètres!$A$1:$I$89,5,0)</f>
        <v>-2.9262992029543964E-13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245.47494516762282</v>
      </c>
      <c r="AO154" s="62">
        <f t="shared" si="144"/>
        <v>145.54897745089966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-5.1159076974727213E-13</v>
      </c>
      <c r="BE154" s="14">
        <f>BD154*VLOOKUP('Données projet'!$B$11,Paramètres!$A$1:$I$89,3,0)*VLOOKUP('Données projet'!$B$11,Paramètres!$A$1:$I$89,5,0)</f>
        <v>-4.6288732846733184E-13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430.21146937947236</v>
      </c>
      <c r="BJ154" s="62">
        <f t="shared" si="146"/>
        <v>231.36959598460686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8.8675733422860506E-14</v>
      </c>
      <c r="CA154" s="14">
        <f t="shared" ref="CA154:CA203" si="170">EXP(-1.0587+0.8836*LN(BZ154)+0.284)</f>
        <v>1.3509285393066301E-12</v>
      </c>
      <c r="CB154" s="22">
        <f t="shared" ref="CB154:CB203" si="171">(BZ154+CA154)*0.475*44/12</f>
        <v>2.5073107750038623E-12</v>
      </c>
      <c r="CC154" s="62">
        <f t="shared" si="119"/>
        <v>293.33333333333582</v>
      </c>
      <c r="CD154" s="62">
        <f ca="1">AVERAGE(OFFSET($CC$3,0,0,'Données projet'!$E$12+1,1))-AVERAGE(OFFSET($H$3,0,0,'Données projet'!$E$12+1,1))</f>
        <v>299.07024205218266</v>
      </c>
      <c r="CE154" s="62">
        <f t="shared" si="148"/>
        <v>328.70296497136366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2.8421709430404007E-13</v>
      </c>
      <c r="CU154" s="18">
        <f>CT154*VLOOKUP('Données projet'!$B$13,Paramètres!$A$1:$I$89,3,0)*VLOOKUP('Données projet'!$B$13,Paramètres!$A$1:$I$89,5,0)</f>
        <v>2.7046098693972454E-13</v>
      </c>
      <c r="CV154" s="14">
        <f t="shared" ref="CV154:CV203" si="173">EXP(-1.0587+0.8836*LN(CU154)+0.284)</f>
        <v>3.6187594451142911E-12</v>
      </c>
      <c r="CW154" s="22">
        <f t="shared" ref="CW154:CW203" si="174">(CU154+CV154)*0.475*44/12</f>
        <v>6.7737255858274096E-12</v>
      </c>
      <c r="CX154" s="62">
        <f t="shared" si="122"/>
        <v>293.33333333334008</v>
      </c>
      <c r="CY154" s="62">
        <f ca="1">AVERAGE(OFFSET($CX$3,0,0,'Données projet'!$E$13+1,1))-AVERAGE(OFFSET($H$3,0,0,'Données projet'!$E$13+1,1))</f>
        <v>300.36889324671682</v>
      </c>
      <c r="CZ154" s="62">
        <f t="shared" si="150"/>
        <v>214.36051699039683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-5.1159076974727213E-13</v>
      </c>
      <c r="O155" s="14">
        <f>N155*VLOOKUP('Données projet'!$B$9,Paramètres!$A$1:$I$89,3,0)*VLOOKUP('Données projet'!$B$9,Paramètres!$A$1:$I$89,5,0)</f>
        <v>-5.1875304052373401E-13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477.00263959594946</v>
      </c>
      <c r="T155" s="62">
        <f t="shared" si="142"/>
        <v>254.25036207346591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-6.2527760746888816E-13</v>
      </c>
      <c r="AJ155" s="14">
        <f>AI155*VLOOKUP('Données projet'!$B$10,Paramètres!$A$1:$I$89,3,0)*VLOOKUP('Données projet'!$B$10,Paramètres!$A$1:$I$89,5,0)</f>
        <v>-2.9262992029543964E-13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245.47494516762282</v>
      </c>
      <c r="AO155" s="62">
        <f t="shared" si="144"/>
        <v>145.54897745089966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-5.1159076974727213E-13</v>
      </c>
      <c r="BE155" s="14">
        <f>BD155*VLOOKUP('Données projet'!$B$11,Paramètres!$A$1:$I$89,3,0)*VLOOKUP('Données projet'!$B$11,Paramètres!$A$1:$I$89,5,0)</f>
        <v>-4.6288732846733184E-13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430.21146937947236</v>
      </c>
      <c r="BJ155" s="62">
        <f t="shared" si="146"/>
        <v>231.36959598460686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8.8675733422860506E-14</v>
      </c>
      <c r="CA155" s="14">
        <f t="shared" si="170"/>
        <v>1.3509285393066301E-12</v>
      </c>
      <c r="CB155" s="22">
        <f t="shared" si="171"/>
        <v>2.5073107750038623E-12</v>
      </c>
      <c r="CC155" s="62">
        <f t="shared" si="119"/>
        <v>293.33333333333582</v>
      </c>
      <c r="CD155" s="62">
        <f ca="1">AVERAGE(OFFSET($CC$3,0,0,'Données projet'!$E$12+1,1))-AVERAGE(OFFSET($H$3,0,0,'Données projet'!$E$12+1,1))</f>
        <v>299.07024205218266</v>
      </c>
      <c r="CE155" s="62">
        <f t="shared" si="148"/>
        <v>328.70296497136366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2.8421709430404007E-13</v>
      </c>
      <c r="CU155" s="18">
        <f>CT155*VLOOKUP('Données projet'!$B$13,Paramètres!$A$1:$I$89,3,0)*VLOOKUP('Données projet'!$B$13,Paramètres!$A$1:$I$89,5,0)</f>
        <v>2.7046098693972454E-13</v>
      </c>
      <c r="CV155" s="14">
        <f t="shared" si="173"/>
        <v>3.6187594451142911E-12</v>
      </c>
      <c r="CW155" s="22">
        <f t="shared" si="174"/>
        <v>6.7737255858274096E-12</v>
      </c>
      <c r="CX155" s="62">
        <f t="shared" si="122"/>
        <v>293.33333333334008</v>
      </c>
      <c r="CY155" s="62">
        <f ca="1">AVERAGE(OFFSET($CX$3,0,0,'Données projet'!$E$13+1,1))-AVERAGE(OFFSET($H$3,0,0,'Données projet'!$E$13+1,1))</f>
        <v>300.36889324671682</v>
      </c>
      <c r="CZ155" s="62">
        <f t="shared" si="150"/>
        <v>214.36051699039683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-5.1159076974727213E-13</v>
      </c>
      <c r="O156" s="14">
        <f>N156*VLOOKUP('Données projet'!$B$9,Paramètres!$A$1:$I$89,3,0)*VLOOKUP('Données projet'!$B$9,Paramètres!$A$1:$I$89,5,0)</f>
        <v>-5.1875304052373401E-13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477.00263959594946</v>
      </c>
      <c r="T156" s="62">
        <f t="shared" si="142"/>
        <v>254.25036207346591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-6.2527760746888816E-13</v>
      </c>
      <c r="AJ156" s="14">
        <f>AI156*VLOOKUP('Données projet'!$B$10,Paramètres!$A$1:$I$89,3,0)*VLOOKUP('Données projet'!$B$10,Paramètres!$A$1:$I$89,5,0)</f>
        <v>-2.9262992029543964E-13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245.47494516762282</v>
      </c>
      <c r="AO156" s="62">
        <f t="shared" si="144"/>
        <v>145.54897745089966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-5.1159076974727213E-13</v>
      </c>
      <c r="BE156" s="14">
        <f>BD156*VLOOKUP('Données projet'!$B$11,Paramètres!$A$1:$I$89,3,0)*VLOOKUP('Données projet'!$B$11,Paramètres!$A$1:$I$89,5,0)</f>
        <v>-4.6288732846733184E-13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430.21146937947236</v>
      </c>
      <c r="BJ156" s="62">
        <f t="shared" si="146"/>
        <v>231.36959598460686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8.8675733422860506E-14</v>
      </c>
      <c r="CA156" s="14">
        <f t="shared" si="170"/>
        <v>1.3509285393066301E-12</v>
      </c>
      <c r="CB156" s="22">
        <f t="shared" si="171"/>
        <v>2.5073107750038623E-12</v>
      </c>
      <c r="CC156" s="62">
        <f t="shared" si="119"/>
        <v>293.33333333333582</v>
      </c>
      <c r="CD156" s="62">
        <f ca="1">AVERAGE(OFFSET($CC$3,0,0,'Données projet'!$E$12+1,1))-AVERAGE(OFFSET($H$3,0,0,'Données projet'!$E$12+1,1))</f>
        <v>299.07024205218266</v>
      </c>
      <c r="CE156" s="62">
        <f t="shared" si="148"/>
        <v>328.70296497136366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2.8421709430404007E-13</v>
      </c>
      <c r="CU156" s="18">
        <f>CT156*VLOOKUP('Données projet'!$B$13,Paramètres!$A$1:$I$89,3,0)*VLOOKUP('Données projet'!$B$13,Paramètres!$A$1:$I$89,5,0)</f>
        <v>2.7046098693972454E-13</v>
      </c>
      <c r="CV156" s="14">
        <f t="shared" si="173"/>
        <v>3.6187594451142911E-12</v>
      </c>
      <c r="CW156" s="22">
        <f t="shared" si="174"/>
        <v>6.7737255858274096E-12</v>
      </c>
      <c r="CX156" s="62">
        <f t="shared" si="122"/>
        <v>293.33333333334008</v>
      </c>
      <c r="CY156" s="62">
        <f ca="1">AVERAGE(OFFSET($CX$3,0,0,'Données projet'!$E$13+1,1))-AVERAGE(OFFSET($H$3,0,0,'Données projet'!$E$13+1,1))</f>
        <v>300.36889324671682</v>
      </c>
      <c r="CZ156" s="62">
        <f t="shared" si="150"/>
        <v>214.36051699039683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-5.1159076974727213E-13</v>
      </c>
      <c r="O157" s="14">
        <f>N157*VLOOKUP('Données projet'!$B$9,Paramètres!$A$1:$I$89,3,0)*VLOOKUP('Données projet'!$B$9,Paramètres!$A$1:$I$89,5,0)</f>
        <v>-5.1875304052373401E-13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477.00263959594946</v>
      </c>
      <c r="T157" s="62">
        <f t="shared" si="142"/>
        <v>254.25036207346591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-6.2527760746888816E-13</v>
      </c>
      <c r="AJ157" s="14">
        <f>AI157*VLOOKUP('Données projet'!$B$10,Paramètres!$A$1:$I$89,3,0)*VLOOKUP('Données projet'!$B$10,Paramètres!$A$1:$I$89,5,0)</f>
        <v>-2.9262992029543964E-13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245.47494516762282</v>
      </c>
      <c r="AO157" s="62">
        <f t="shared" si="144"/>
        <v>145.54897745089966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-5.1159076974727213E-13</v>
      </c>
      <c r="BE157" s="14">
        <f>BD157*VLOOKUP('Données projet'!$B$11,Paramètres!$A$1:$I$89,3,0)*VLOOKUP('Données projet'!$B$11,Paramètres!$A$1:$I$89,5,0)</f>
        <v>-4.6288732846733184E-13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430.21146937947236</v>
      </c>
      <c r="BJ157" s="62">
        <f t="shared" si="146"/>
        <v>231.36959598460686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8.8675733422860506E-14</v>
      </c>
      <c r="CA157" s="14">
        <f t="shared" si="170"/>
        <v>1.3509285393066301E-12</v>
      </c>
      <c r="CB157" s="22">
        <f t="shared" si="171"/>
        <v>2.5073107750038623E-12</v>
      </c>
      <c r="CC157" s="62">
        <f t="shared" si="119"/>
        <v>293.33333333333582</v>
      </c>
      <c r="CD157" s="62">
        <f ca="1">AVERAGE(OFFSET($CC$3,0,0,'Données projet'!$E$12+1,1))-AVERAGE(OFFSET($H$3,0,0,'Données projet'!$E$12+1,1))</f>
        <v>299.07024205218266</v>
      </c>
      <c r="CE157" s="62">
        <f t="shared" si="148"/>
        <v>328.70296497136366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2.8421709430404007E-13</v>
      </c>
      <c r="CU157" s="18">
        <f>CT157*VLOOKUP('Données projet'!$B$13,Paramètres!$A$1:$I$89,3,0)*VLOOKUP('Données projet'!$B$13,Paramètres!$A$1:$I$89,5,0)</f>
        <v>2.7046098693972454E-13</v>
      </c>
      <c r="CV157" s="14">
        <f t="shared" si="173"/>
        <v>3.6187594451142911E-12</v>
      </c>
      <c r="CW157" s="22">
        <f t="shared" si="174"/>
        <v>6.7737255858274096E-12</v>
      </c>
      <c r="CX157" s="62">
        <f t="shared" si="122"/>
        <v>293.33333333334008</v>
      </c>
      <c r="CY157" s="62">
        <f ca="1">AVERAGE(OFFSET($CX$3,0,0,'Données projet'!$E$13+1,1))-AVERAGE(OFFSET($H$3,0,0,'Données projet'!$E$13+1,1))</f>
        <v>300.36889324671682</v>
      </c>
      <c r="CZ157" s="62">
        <f t="shared" si="150"/>
        <v>214.36051699039683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-5.1159076974727213E-13</v>
      </c>
      <c r="O158" s="14">
        <f>N158*VLOOKUP('Données projet'!$B$9,Paramètres!$A$1:$I$89,3,0)*VLOOKUP('Données projet'!$B$9,Paramètres!$A$1:$I$89,5,0)</f>
        <v>-5.1875304052373401E-13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477.00263959594946</v>
      </c>
      <c r="T158" s="62">
        <f t="shared" si="142"/>
        <v>254.25036207346591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-6.2527760746888816E-13</v>
      </c>
      <c r="AJ158" s="14">
        <f>AI158*VLOOKUP('Données projet'!$B$10,Paramètres!$A$1:$I$89,3,0)*VLOOKUP('Données projet'!$B$10,Paramètres!$A$1:$I$89,5,0)</f>
        <v>-2.9262992029543964E-13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245.47494516762282</v>
      </c>
      <c r="AO158" s="62">
        <f t="shared" si="144"/>
        <v>145.54897745089966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-5.1159076974727213E-13</v>
      </c>
      <c r="BE158" s="14">
        <f>BD158*VLOOKUP('Données projet'!$B$11,Paramètres!$A$1:$I$89,3,0)*VLOOKUP('Données projet'!$B$11,Paramètres!$A$1:$I$89,5,0)</f>
        <v>-4.6288732846733184E-13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430.21146937947236</v>
      </c>
      <c r="BJ158" s="62">
        <f t="shared" si="146"/>
        <v>231.36959598460686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8.8675733422860506E-14</v>
      </c>
      <c r="CA158" s="14">
        <f t="shared" si="170"/>
        <v>1.3509285393066301E-12</v>
      </c>
      <c r="CB158" s="22">
        <f t="shared" si="171"/>
        <v>2.5073107750038623E-12</v>
      </c>
      <c r="CC158" s="62">
        <f t="shared" si="119"/>
        <v>293.33333333333582</v>
      </c>
      <c r="CD158" s="62">
        <f ca="1">AVERAGE(OFFSET($CC$3,0,0,'Données projet'!$E$12+1,1))-AVERAGE(OFFSET($H$3,0,0,'Données projet'!$E$12+1,1))</f>
        <v>299.07024205218266</v>
      </c>
      <c r="CE158" s="62">
        <f t="shared" si="148"/>
        <v>328.70296497136366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2.8421709430404007E-13</v>
      </c>
      <c r="CU158" s="18">
        <f>CT158*VLOOKUP('Données projet'!$B$13,Paramètres!$A$1:$I$89,3,0)*VLOOKUP('Données projet'!$B$13,Paramètres!$A$1:$I$89,5,0)</f>
        <v>2.7046098693972454E-13</v>
      </c>
      <c r="CV158" s="14">
        <f t="shared" si="173"/>
        <v>3.6187594451142911E-12</v>
      </c>
      <c r="CW158" s="22">
        <f t="shared" si="174"/>
        <v>6.7737255858274096E-12</v>
      </c>
      <c r="CX158" s="62">
        <f t="shared" si="122"/>
        <v>293.33333333334008</v>
      </c>
      <c r="CY158" s="62">
        <f ca="1">AVERAGE(OFFSET($CX$3,0,0,'Données projet'!$E$13+1,1))-AVERAGE(OFFSET($H$3,0,0,'Données projet'!$E$13+1,1))</f>
        <v>300.36889324671682</v>
      </c>
      <c r="CZ158" s="62">
        <f t="shared" si="150"/>
        <v>214.36051699039683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-5.1159076974727213E-13</v>
      </c>
      <c r="O159" s="14">
        <f>N159*VLOOKUP('Données projet'!$B$9,Paramètres!$A$1:$I$89,3,0)*VLOOKUP('Données projet'!$B$9,Paramètres!$A$1:$I$89,5,0)</f>
        <v>-5.1875304052373401E-13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477.00263959594946</v>
      </c>
      <c r="T159" s="62">
        <f t="shared" si="142"/>
        <v>254.25036207346591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-6.2527760746888816E-13</v>
      </c>
      <c r="AJ159" s="14">
        <f>AI159*VLOOKUP('Données projet'!$B$10,Paramètres!$A$1:$I$89,3,0)*VLOOKUP('Données projet'!$B$10,Paramètres!$A$1:$I$89,5,0)</f>
        <v>-2.9262992029543964E-13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245.47494516762282</v>
      </c>
      <c r="AO159" s="62">
        <f t="shared" si="144"/>
        <v>145.54897745089966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-5.1159076974727213E-13</v>
      </c>
      <c r="BE159" s="14">
        <f>BD159*VLOOKUP('Données projet'!$B$11,Paramètres!$A$1:$I$89,3,0)*VLOOKUP('Données projet'!$B$11,Paramètres!$A$1:$I$89,5,0)</f>
        <v>-4.6288732846733184E-13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430.21146937947236</v>
      </c>
      <c r="BJ159" s="62">
        <f t="shared" si="146"/>
        <v>231.36959598460686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8.8675733422860506E-14</v>
      </c>
      <c r="CA159" s="14">
        <f t="shared" si="170"/>
        <v>1.3509285393066301E-12</v>
      </c>
      <c r="CB159" s="22">
        <f t="shared" si="171"/>
        <v>2.5073107750038623E-12</v>
      </c>
      <c r="CC159" s="62">
        <f t="shared" si="119"/>
        <v>293.33333333333582</v>
      </c>
      <c r="CD159" s="62">
        <f ca="1">AVERAGE(OFFSET($CC$3,0,0,'Données projet'!$E$12+1,1))-AVERAGE(OFFSET($H$3,0,0,'Données projet'!$E$12+1,1))</f>
        <v>299.07024205218266</v>
      </c>
      <c r="CE159" s="62">
        <f t="shared" si="148"/>
        <v>328.70296497136366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2.8421709430404007E-13</v>
      </c>
      <c r="CU159" s="18">
        <f>CT159*VLOOKUP('Données projet'!$B$13,Paramètres!$A$1:$I$89,3,0)*VLOOKUP('Données projet'!$B$13,Paramètres!$A$1:$I$89,5,0)</f>
        <v>2.7046098693972454E-13</v>
      </c>
      <c r="CV159" s="14">
        <f t="shared" si="173"/>
        <v>3.6187594451142911E-12</v>
      </c>
      <c r="CW159" s="22">
        <f t="shared" si="174"/>
        <v>6.7737255858274096E-12</v>
      </c>
      <c r="CX159" s="62">
        <f t="shared" si="122"/>
        <v>293.33333333334008</v>
      </c>
      <c r="CY159" s="62">
        <f ca="1">AVERAGE(OFFSET($CX$3,0,0,'Données projet'!$E$13+1,1))-AVERAGE(OFFSET($H$3,0,0,'Données projet'!$E$13+1,1))</f>
        <v>300.36889324671682</v>
      </c>
      <c r="CZ159" s="62">
        <f t="shared" si="150"/>
        <v>214.36051699039683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-5.1159076974727213E-13</v>
      </c>
      <c r="O160" s="14">
        <f>N160*VLOOKUP('Données projet'!$B$9,Paramètres!$A$1:$I$89,3,0)*VLOOKUP('Données projet'!$B$9,Paramètres!$A$1:$I$89,5,0)</f>
        <v>-5.1875304052373401E-13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477.00263959594946</v>
      </c>
      <c r="T160" s="62">
        <f t="shared" si="142"/>
        <v>254.25036207346591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-6.2527760746888816E-13</v>
      </c>
      <c r="AJ160" s="14">
        <f>AI160*VLOOKUP('Données projet'!$B$10,Paramètres!$A$1:$I$89,3,0)*VLOOKUP('Données projet'!$B$10,Paramètres!$A$1:$I$89,5,0)</f>
        <v>-2.9262992029543964E-13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245.47494516762282</v>
      </c>
      <c r="AO160" s="62">
        <f t="shared" si="144"/>
        <v>145.54897745089966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-5.1159076974727213E-13</v>
      </c>
      <c r="BE160" s="14">
        <f>BD160*VLOOKUP('Données projet'!$B$11,Paramètres!$A$1:$I$89,3,0)*VLOOKUP('Données projet'!$B$11,Paramètres!$A$1:$I$89,5,0)</f>
        <v>-4.6288732846733184E-13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430.21146937947236</v>
      </c>
      <c r="BJ160" s="62">
        <f t="shared" si="146"/>
        <v>231.36959598460686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8.8675733422860506E-14</v>
      </c>
      <c r="CA160" s="14">
        <f t="shared" si="170"/>
        <v>1.3509285393066301E-12</v>
      </c>
      <c r="CB160" s="22">
        <f t="shared" si="171"/>
        <v>2.5073107750038623E-12</v>
      </c>
      <c r="CC160" s="62">
        <f t="shared" si="119"/>
        <v>293.33333333333582</v>
      </c>
      <c r="CD160" s="62">
        <f ca="1">AVERAGE(OFFSET($CC$3,0,0,'Données projet'!$E$12+1,1))-AVERAGE(OFFSET($H$3,0,0,'Données projet'!$E$12+1,1))</f>
        <v>299.07024205218266</v>
      </c>
      <c r="CE160" s="62">
        <f t="shared" si="148"/>
        <v>328.70296497136366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2.8421709430404007E-13</v>
      </c>
      <c r="CU160" s="18">
        <f>CT160*VLOOKUP('Données projet'!$B$13,Paramètres!$A$1:$I$89,3,0)*VLOOKUP('Données projet'!$B$13,Paramètres!$A$1:$I$89,5,0)</f>
        <v>2.7046098693972454E-13</v>
      </c>
      <c r="CV160" s="14">
        <f t="shared" si="173"/>
        <v>3.6187594451142911E-12</v>
      </c>
      <c r="CW160" s="22">
        <f t="shared" si="174"/>
        <v>6.7737255858274096E-12</v>
      </c>
      <c r="CX160" s="62">
        <f t="shared" si="122"/>
        <v>293.33333333334008</v>
      </c>
      <c r="CY160" s="62">
        <f ca="1">AVERAGE(OFFSET($CX$3,0,0,'Données projet'!$E$13+1,1))-AVERAGE(OFFSET($H$3,0,0,'Données projet'!$E$13+1,1))</f>
        <v>300.36889324671682</v>
      </c>
      <c r="CZ160" s="62">
        <f t="shared" si="150"/>
        <v>214.36051699039683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-5.1159076974727213E-13</v>
      </c>
      <c r="O161" s="14">
        <f>N161*VLOOKUP('Données projet'!$B$9,Paramètres!$A$1:$I$89,3,0)*VLOOKUP('Données projet'!$B$9,Paramètres!$A$1:$I$89,5,0)</f>
        <v>-5.1875304052373401E-13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477.00263959594946</v>
      </c>
      <c r="T161" s="62">
        <f t="shared" si="142"/>
        <v>254.25036207346591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-6.2527760746888816E-13</v>
      </c>
      <c r="AJ161" s="14">
        <f>AI161*VLOOKUP('Données projet'!$B$10,Paramètres!$A$1:$I$89,3,0)*VLOOKUP('Données projet'!$B$10,Paramètres!$A$1:$I$89,5,0)</f>
        <v>-2.9262992029543964E-13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245.47494516762282</v>
      </c>
      <c r="AO161" s="62">
        <f t="shared" si="144"/>
        <v>145.54897745089966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-5.1159076974727213E-13</v>
      </c>
      <c r="BE161" s="14">
        <f>BD161*VLOOKUP('Données projet'!$B$11,Paramètres!$A$1:$I$89,3,0)*VLOOKUP('Données projet'!$B$11,Paramètres!$A$1:$I$89,5,0)</f>
        <v>-4.6288732846733184E-13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430.21146937947236</v>
      </c>
      <c r="BJ161" s="62">
        <f t="shared" si="146"/>
        <v>231.36959598460686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8.8675733422860506E-14</v>
      </c>
      <c r="CA161" s="14">
        <f t="shared" si="170"/>
        <v>1.3509285393066301E-12</v>
      </c>
      <c r="CB161" s="22">
        <f t="shared" si="171"/>
        <v>2.5073107750038623E-12</v>
      </c>
      <c r="CC161" s="62">
        <f t="shared" si="119"/>
        <v>293.33333333333582</v>
      </c>
      <c r="CD161" s="62">
        <f ca="1">AVERAGE(OFFSET($CC$3,0,0,'Données projet'!$E$12+1,1))-AVERAGE(OFFSET($H$3,0,0,'Données projet'!$E$12+1,1))</f>
        <v>299.07024205218266</v>
      </c>
      <c r="CE161" s="62">
        <f t="shared" si="148"/>
        <v>328.70296497136366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2.8421709430404007E-13</v>
      </c>
      <c r="CU161" s="18">
        <f>CT161*VLOOKUP('Données projet'!$B$13,Paramètres!$A$1:$I$89,3,0)*VLOOKUP('Données projet'!$B$13,Paramètres!$A$1:$I$89,5,0)</f>
        <v>2.7046098693972454E-13</v>
      </c>
      <c r="CV161" s="14">
        <f t="shared" si="173"/>
        <v>3.6187594451142911E-12</v>
      </c>
      <c r="CW161" s="22">
        <f t="shared" si="174"/>
        <v>6.7737255858274096E-12</v>
      </c>
      <c r="CX161" s="62">
        <f t="shared" si="122"/>
        <v>293.33333333334008</v>
      </c>
      <c r="CY161" s="62">
        <f ca="1">AVERAGE(OFFSET($CX$3,0,0,'Données projet'!$E$13+1,1))-AVERAGE(OFFSET($H$3,0,0,'Données projet'!$E$13+1,1))</f>
        <v>300.36889324671682</v>
      </c>
      <c r="CZ161" s="62">
        <f t="shared" si="150"/>
        <v>214.36051699039683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-5.1159076974727213E-13</v>
      </c>
      <c r="O162" s="14">
        <f>N162*VLOOKUP('Données projet'!$B$9,Paramètres!$A$1:$I$89,3,0)*VLOOKUP('Données projet'!$B$9,Paramètres!$A$1:$I$89,5,0)</f>
        <v>-5.1875304052373401E-13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477.00263959594946</v>
      </c>
      <c r="T162" s="62">
        <f t="shared" si="142"/>
        <v>254.25036207346591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-6.2527760746888816E-13</v>
      </c>
      <c r="AJ162" s="14">
        <f>AI162*VLOOKUP('Données projet'!$B$10,Paramètres!$A$1:$I$89,3,0)*VLOOKUP('Données projet'!$B$10,Paramètres!$A$1:$I$89,5,0)</f>
        <v>-2.9262992029543964E-13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245.47494516762282</v>
      </c>
      <c r="AO162" s="62">
        <f t="shared" si="144"/>
        <v>145.54897745089966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-5.1159076974727213E-13</v>
      </c>
      <c r="BE162" s="14">
        <f>BD162*VLOOKUP('Données projet'!$B$11,Paramètres!$A$1:$I$89,3,0)*VLOOKUP('Données projet'!$B$11,Paramètres!$A$1:$I$89,5,0)</f>
        <v>-4.6288732846733184E-13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430.21146937947236</v>
      </c>
      <c r="BJ162" s="62">
        <f t="shared" si="146"/>
        <v>231.36959598460686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8.8675733422860506E-14</v>
      </c>
      <c r="CA162" s="14">
        <f t="shared" si="170"/>
        <v>1.3509285393066301E-12</v>
      </c>
      <c r="CB162" s="22">
        <f t="shared" si="171"/>
        <v>2.5073107750038623E-12</v>
      </c>
      <c r="CC162" s="62">
        <f t="shared" si="119"/>
        <v>293.33333333333582</v>
      </c>
      <c r="CD162" s="62">
        <f ca="1">AVERAGE(OFFSET($CC$3,0,0,'Données projet'!$E$12+1,1))-AVERAGE(OFFSET($H$3,0,0,'Données projet'!$E$12+1,1))</f>
        <v>299.07024205218266</v>
      </c>
      <c r="CE162" s="62">
        <f t="shared" si="148"/>
        <v>328.70296497136366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2.8421709430404007E-13</v>
      </c>
      <c r="CU162" s="18">
        <f>CT162*VLOOKUP('Données projet'!$B$13,Paramètres!$A$1:$I$89,3,0)*VLOOKUP('Données projet'!$B$13,Paramètres!$A$1:$I$89,5,0)</f>
        <v>2.7046098693972454E-13</v>
      </c>
      <c r="CV162" s="14">
        <f t="shared" si="173"/>
        <v>3.6187594451142911E-12</v>
      </c>
      <c r="CW162" s="22">
        <f t="shared" si="174"/>
        <v>6.7737255858274096E-12</v>
      </c>
      <c r="CX162" s="62">
        <f t="shared" si="122"/>
        <v>293.33333333334008</v>
      </c>
      <c r="CY162" s="62">
        <f ca="1">AVERAGE(OFFSET($CX$3,0,0,'Données projet'!$E$13+1,1))-AVERAGE(OFFSET($H$3,0,0,'Données projet'!$E$13+1,1))</f>
        <v>300.36889324671682</v>
      </c>
      <c r="CZ162" s="62">
        <f t="shared" si="150"/>
        <v>214.36051699039683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-5.1159076974727213E-13</v>
      </c>
      <c r="O163" s="14">
        <f>N163*VLOOKUP('Données projet'!$B$9,Paramètres!$A$1:$I$89,3,0)*VLOOKUP('Données projet'!$B$9,Paramètres!$A$1:$I$89,5,0)</f>
        <v>-5.1875304052373401E-13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477.00263959594946</v>
      </c>
      <c r="T163" s="62">
        <f t="shared" si="142"/>
        <v>254.25036207346591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-6.2527760746888816E-13</v>
      </c>
      <c r="AJ163" s="14">
        <f>AI163*VLOOKUP('Données projet'!$B$10,Paramètres!$A$1:$I$89,3,0)*VLOOKUP('Données projet'!$B$10,Paramètres!$A$1:$I$89,5,0)</f>
        <v>-2.9262992029543964E-13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245.47494516762282</v>
      </c>
      <c r="AO163" s="62">
        <f t="shared" si="144"/>
        <v>145.54897745089966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-5.1159076974727213E-13</v>
      </c>
      <c r="BE163" s="14">
        <f>BD163*VLOOKUP('Données projet'!$B$11,Paramètres!$A$1:$I$89,3,0)*VLOOKUP('Données projet'!$B$11,Paramètres!$A$1:$I$89,5,0)</f>
        <v>-4.6288732846733184E-13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430.21146937947236</v>
      </c>
      <c r="BJ163" s="62">
        <f t="shared" si="146"/>
        <v>231.36959598460686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8.8675733422860506E-14</v>
      </c>
      <c r="CA163" s="14">
        <f t="shared" si="170"/>
        <v>1.3509285393066301E-12</v>
      </c>
      <c r="CB163" s="22">
        <f t="shared" si="171"/>
        <v>2.5073107750038623E-12</v>
      </c>
      <c r="CC163" s="62">
        <f t="shared" si="119"/>
        <v>293.33333333333582</v>
      </c>
      <c r="CD163" s="62">
        <f ca="1">AVERAGE(OFFSET($CC$3,0,0,'Données projet'!$E$12+1,1))-AVERAGE(OFFSET($H$3,0,0,'Données projet'!$E$12+1,1))</f>
        <v>299.07024205218266</v>
      </c>
      <c r="CE163" s="62">
        <f t="shared" si="148"/>
        <v>328.70296497136366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2.8421709430404007E-13</v>
      </c>
      <c r="CU163" s="18">
        <f>CT163*VLOOKUP('Données projet'!$B$13,Paramètres!$A$1:$I$89,3,0)*VLOOKUP('Données projet'!$B$13,Paramètres!$A$1:$I$89,5,0)</f>
        <v>2.7046098693972454E-13</v>
      </c>
      <c r="CV163" s="14">
        <f t="shared" si="173"/>
        <v>3.6187594451142911E-12</v>
      </c>
      <c r="CW163" s="22">
        <f t="shared" si="174"/>
        <v>6.7737255858274096E-12</v>
      </c>
      <c r="CX163" s="62">
        <f t="shared" si="122"/>
        <v>293.33333333334008</v>
      </c>
      <c r="CY163" s="62">
        <f ca="1">AVERAGE(OFFSET($CX$3,0,0,'Données projet'!$E$13+1,1))-AVERAGE(OFFSET($H$3,0,0,'Données projet'!$E$13+1,1))</f>
        <v>300.36889324671682</v>
      </c>
      <c r="CZ163" s="62">
        <f t="shared" si="150"/>
        <v>214.36051699039683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-5.1159076974727213E-13</v>
      </c>
      <c r="O164" s="14">
        <f>N164*VLOOKUP('Données projet'!$B$9,Paramètres!$A$1:$I$89,3,0)*VLOOKUP('Données projet'!$B$9,Paramètres!$A$1:$I$89,5,0)</f>
        <v>-5.1875304052373401E-13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477.00263959594946</v>
      </c>
      <c r="T164" s="62">
        <f t="shared" si="142"/>
        <v>254.25036207346591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-6.2527760746888816E-13</v>
      </c>
      <c r="AJ164" s="14">
        <f>AI164*VLOOKUP('Données projet'!$B$10,Paramètres!$A$1:$I$89,3,0)*VLOOKUP('Données projet'!$B$10,Paramètres!$A$1:$I$89,5,0)</f>
        <v>-2.9262992029543964E-13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245.47494516762282</v>
      </c>
      <c r="AO164" s="62">
        <f t="shared" si="144"/>
        <v>145.54897745089966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-5.1159076974727213E-13</v>
      </c>
      <c r="BE164" s="14">
        <f>BD164*VLOOKUP('Données projet'!$B$11,Paramètres!$A$1:$I$89,3,0)*VLOOKUP('Données projet'!$B$11,Paramètres!$A$1:$I$89,5,0)</f>
        <v>-4.6288732846733184E-13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430.21146937947236</v>
      </c>
      <c r="BJ164" s="62">
        <f t="shared" si="146"/>
        <v>231.36959598460686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8.8675733422860506E-14</v>
      </c>
      <c r="CA164" s="14">
        <f t="shared" si="170"/>
        <v>1.3509285393066301E-12</v>
      </c>
      <c r="CB164" s="22">
        <f t="shared" si="171"/>
        <v>2.5073107750038623E-12</v>
      </c>
      <c r="CC164" s="62">
        <f t="shared" si="119"/>
        <v>293.33333333333582</v>
      </c>
      <c r="CD164" s="62">
        <f ca="1">AVERAGE(OFFSET($CC$3,0,0,'Données projet'!$E$12+1,1))-AVERAGE(OFFSET($H$3,0,0,'Données projet'!$E$12+1,1))</f>
        <v>299.07024205218266</v>
      </c>
      <c r="CE164" s="62">
        <f t="shared" si="148"/>
        <v>328.70296497136366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2.8421709430404007E-13</v>
      </c>
      <c r="CU164" s="18">
        <f>CT164*VLOOKUP('Données projet'!$B$13,Paramètres!$A$1:$I$89,3,0)*VLOOKUP('Données projet'!$B$13,Paramètres!$A$1:$I$89,5,0)</f>
        <v>2.7046098693972454E-13</v>
      </c>
      <c r="CV164" s="14">
        <f t="shared" si="173"/>
        <v>3.6187594451142911E-12</v>
      </c>
      <c r="CW164" s="22">
        <f t="shared" si="174"/>
        <v>6.7737255858274096E-12</v>
      </c>
      <c r="CX164" s="62">
        <f t="shared" si="122"/>
        <v>293.33333333334008</v>
      </c>
      <c r="CY164" s="62">
        <f ca="1">AVERAGE(OFFSET($CX$3,0,0,'Données projet'!$E$13+1,1))-AVERAGE(OFFSET($H$3,0,0,'Données projet'!$E$13+1,1))</f>
        <v>300.36889324671682</v>
      </c>
      <c r="CZ164" s="62">
        <f t="shared" si="150"/>
        <v>214.36051699039683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-5.1159076974727213E-13</v>
      </c>
      <c r="O165" s="14">
        <f>N165*VLOOKUP('Données projet'!$B$9,Paramètres!$A$1:$I$89,3,0)*VLOOKUP('Données projet'!$B$9,Paramètres!$A$1:$I$89,5,0)</f>
        <v>-5.1875304052373401E-13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477.00263959594946</v>
      </c>
      <c r="T165" s="62">
        <f t="shared" si="142"/>
        <v>254.25036207346591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-6.2527760746888816E-13</v>
      </c>
      <c r="AJ165" s="14">
        <f>AI165*VLOOKUP('Données projet'!$B$10,Paramètres!$A$1:$I$89,3,0)*VLOOKUP('Données projet'!$B$10,Paramètres!$A$1:$I$89,5,0)</f>
        <v>-2.9262992029543964E-13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245.47494516762282</v>
      </c>
      <c r="AO165" s="62">
        <f t="shared" si="144"/>
        <v>145.54897745089966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-5.1159076974727213E-13</v>
      </c>
      <c r="BE165" s="14">
        <f>BD165*VLOOKUP('Données projet'!$B$11,Paramètres!$A$1:$I$89,3,0)*VLOOKUP('Données projet'!$B$11,Paramètres!$A$1:$I$89,5,0)</f>
        <v>-4.6288732846733184E-13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430.21146937947236</v>
      </c>
      <c r="BJ165" s="62">
        <f t="shared" si="146"/>
        <v>231.36959598460686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8.8675733422860506E-14</v>
      </c>
      <c r="CA165" s="14">
        <f t="shared" si="170"/>
        <v>1.3509285393066301E-12</v>
      </c>
      <c r="CB165" s="22">
        <f t="shared" si="171"/>
        <v>2.5073107750038623E-12</v>
      </c>
      <c r="CC165" s="62">
        <f t="shared" si="119"/>
        <v>293.33333333333582</v>
      </c>
      <c r="CD165" s="62">
        <f ca="1">AVERAGE(OFFSET($CC$3,0,0,'Données projet'!$E$12+1,1))-AVERAGE(OFFSET($H$3,0,0,'Données projet'!$E$12+1,1))</f>
        <v>299.07024205218266</v>
      </c>
      <c r="CE165" s="62">
        <f t="shared" si="148"/>
        <v>328.70296497136366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2.8421709430404007E-13</v>
      </c>
      <c r="CU165" s="18">
        <f>CT165*VLOOKUP('Données projet'!$B$13,Paramètres!$A$1:$I$89,3,0)*VLOOKUP('Données projet'!$B$13,Paramètres!$A$1:$I$89,5,0)</f>
        <v>2.7046098693972454E-13</v>
      </c>
      <c r="CV165" s="14">
        <f t="shared" si="173"/>
        <v>3.6187594451142911E-12</v>
      </c>
      <c r="CW165" s="22">
        <f t="shared" si="174"/>
        <v>6.7737255858274096E-12</v>
      </c>
      <c r="CX165" s="62">
        <f t="shared" si="122"/>
        <v>293.33333333334008</v>
      </c>
      <c r="CY165" s="62">
        <f ca="1">AVERAGE(OFFSET($CX$3,0,0,'Données projet'!$E$13+1,1))-AVERAGE(OFFSET($H$3,0,0,'Données projet'!$E$13+1,1))</f>
        <v>300.36889324671682</v>
      </c>
      <c r="CZ165" s="62">
        <f t="shared" si="150"/>
        <v>214.36051699039683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-5.1159076974727213E-13</v>
      </c>
      <c r="O166" s="14">
        <f>N166*VLOOKUP('Données projet'!$B$9,Paramètres!$A$1:$I$89,3,0)*VLOOKUP('Données projet'!$B$9,Paramètres!$A$1:$I$89,5,0)</f>
        <v>-5.1875304052373401E-13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477.00263959594946</v>
      </c>
      <c r="T166" s="62">
        <f t="shared" si="142"/>
        <v>254.25036207346591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-6.2527760746888816E-13</v>
      </c>
      <c r="AJ166" s="14">
        <f>AI166*VLOOKUP('Données projet'!$B$10,Paramètres!$A$1:$I$89,3,0)*VLOOKUP('Données projet'!$B$10,Paramètres!$A$1:$I$89,5,0)</f>
        <v>-2.9262992029543964E-13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245.47494516762282</v>
      </c>
      <c r="AO166" s="62">
        <f t="shared" si="144"/>
        <v>145.54897745089966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-5.1159076974727213E-13</v>
      </c>
      <c r="BE166" s="14">
        <f>BD166*VLOOKUP('Données projet'!$B$11,Paramètres!$A$1:$I$89,3,0)*VLOOKUP('Données projet'!$B$11,Paramètres!$A$1:$I$89,5,0)</f>
        <v>-4.6288732846733184E-13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430.21146937947236</v>
      </c>
      <c r="BJ166" s="62">
        <f t="shared" si="146"/>
        <v>231.36959598460686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8.8675733422860506E-14</v>
      </c>
      <c r="CA166" s="14">
        <f t="shared" si="170"/>
        <v>1.3509285393066301E-12</v>
      </c>
      <c r="CB166" s="22">
        <f t="shared" si="171"/>
        <v>2.5073107750038623E-12</v>
      </c>
      <c r="CC166" s="62">
        <f t="shared" si="119"/>
        <v>293.33333333333582</v>
      </c>
      <c r="CD166" s="62">
        <f ca="1">AVERAGE(OFFSET($CC$3,0,0,'Données projet'!$E$12+1,1))-AVERAGE(OFFSET($H$3,0,0,'Données projet'!$E$12+1,1))</f>
        <v>299.07024205218266</v>
      </c>
      <c r="CE166" s="62">
        <f t="shared" si="148"/>
        <v>328.70296497136366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2.8421709430404007E-13</v>
      </c>
      <c r="CU166" s="18">
        <f>CT166*VLOOKUP('Données projet'!$B$13,Paramètres!$A$1:$I$89,3,0)*VLOOKUP('Données projet'!$B$13,Paramètres!$A$1:$I$89,5,0)</f>
        <v>2.7046098693972454E-13</v>
      </c>
      <c r="CV166" s="14">
        <f t="shared" si="173"/>
        <v>3.6187594451142911E-12</v>
      </c>
      <c r="CW166" s="22">
        <f t="shared" si="174"/>
        <v>6.7737255858274096E-12</v>
      </c>
      <c r="CX166" s="62">
        <f t="shared" si="122"/>
        <v>293.33333333334008</v>
      </c>
      <c r="CY166" s="62">
        <f ca="1">AVERAGE(OFFSET($CX$3,0,0,'Données projet'!$E$13+1,1))-AVERAGE(OFFSET($H$3,0,0,'Données projet'!$E$13+1,1))</f>
        <v>300.36889324671682</v>
      </c>
      <c r="CZ166" s="62">
        <f t="shared" si="150"/>
        <v>214.36051699039683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-5.1159076974727213E-13</v>
      </c>
      <c r="O167" s="14">
        <f>N167*VLOOKUP('Données projet'!$B$9,Paramètres!$A$1:$I$89,3,0)*VLOOKUP('Données projet'!$B$9,Paramètres!$A$1:$I$89,5,0)</f>
        <v>-5.1875304052373401E-13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477.00263959594946</v>
      </c>
      <c r="T167" s="62">
        <f t="shared" si="142"/>
        <v>254.25036207346591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-6.2527760746888816E-13</v>
      </c>
      <c r="AJ167" s="14">
        <f>AI167*VLOOKUP('Données projet'!$B$10,Paramètres!$A$1:$I$89,3,0)*VLOOKUP('Données projet'!$B$10,Paramètres!$A$1:$I$89,5,0)</f>
        <v>-2.9262992029543964E-13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245.47494516762282</v>
      </c>
      <c r="AO167" s="62">
        <f t="shared" si="144"/>
        <v>145.54897745089966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-5.1159076974727213E-13</v>
      </c>
      <c r="BE167" s="14">
        <f>BD167*VLOOKUP('Données projet'!$B$11,Paramètres!$A$1:$I$89,3,0)*VLOOKUP('Données projet'!$B$11,Paramètres!$A$1:$I$89,5,0)</f>
        <v>-4.6288732846733184E-13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430.21146937947236</v>
      </c>
      <c r="BJ167" s="62">
        <f t="shared" si="146"/>
        <v>231.36959598460686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8.8675733422860506E-14</v>
      </c>
      <c r="CA167" s="14">
        <f t="shared" si="170"/>
        <v>1.3509285393066301E-12</v>
      </c>
      <c r="CB167" s="22">
        <f t="shared" si="171"/>
        <v>2.5073107750038623E-12</v>
      </c>
      <c r="CC167" s="62">
        <f t="shared" si="119"/>
        <v>293.33333333333582</v>
      </c>
      <c r="CD167" s="62">
        <f ca="1">AVERAGE(OFFSET($CC$3,0,0,'Données projet'!$E$12+1,1))-AVERAGE(OFFSET($H$3,0,0,'Données projet'!$E$12+1,1))</f>
        <v>299.07024205218266</v>
      </c>
      <c r="CE167" s="62">
        <f t="shared" si="148"/>
        <v>328.70296497136366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2.8421709430404007E-13</v>
      </c>
      <c r="CU167" s="18">
        <f>CT167*VLOOKUP('Données projet'!$B$13,Paramètres!$A$1:$I$89,3,0)*VLOOKUP('Données projet'!$B$13,Paramètres!$A$1:$I$89,5,0)</f>
        <v>2.7046098693972454E-13</v>
      </c>
      <c r="CV167" s="14">
        <f t="shared" si="173"/>
        <v>3.6187594451142911E-12</v>
      </c>
      <c r="CW167" s="22">
        <f t="shared" si="174"/>
        <v>6.7737255858274096E-12</v>
      </c>
      <c r="CX167" s="62">
        <f t="shared" si="122"/>
        <v>293.33333333334008</v>
      </c>
      <c r="CY167" s="62">
        <f ca="1">AVERAGE(OFFSET($CX$3,0,0,'Données projet'!$E$13+1,1))-AVERAGE(OFFSET($H$3,0,0,'Données projet'!$E$13+1,1))</f>
        <v>300.36889324671682</v>
      </c>
      <c r="CZ167" s="62">
        <f t="shared" si="150"/>
        <v>214.36051699039683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-5.1159076974727213E-13</v>
      </c>
      <c r="O168" s="14">
        <f>N168*VLOOKUP('Données projet'!$B$9,Paramètres!$A$1:$I$89,3,0)*VLOOKUP('Données projet'!$B$9,Paramètres!$A$1:$I$89,5,0)</f>
        <v>-5.1875304052373401E-13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477.00263959594946</v>
      </c>
      <c r="T168" s="62">
        <f t="shared" si="142"/>
        <v>254.25036207346591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-6.2527760746888816E-13</v>
      </c>
      <c r="AJ168" s="14">
        <f>AI168*VLOOKUP('Données projet'!$B$10,Paramètres!$A$1:$I$89,3,0)*VLOOKUP('Données projet'!$B$10,Paramètres!$A$1:$I$89,5,0)</f>
        <v>-2.9262992029543964E-13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245.47494516762282</v>
      </c>
      <c r="AO168" s="62">
        <f t="shared" si="144"/>
        <v>145.54897745089966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-5.1159076974727213E-13</v>
      </c>
      <c r="BE168" s="14">
        <f>BD168*VLOOKUP('Données projet'!$B$11,Paramètres!$A$1:$I$89,3,0)*VLOOKUP('Données projet'!$B$11,Paramètres!$A$1:$I$89,5,0)</f>
        <v>-4.6288732846733184E-13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430.21146937947236</v>
      </c>
      <c r="BJ168" s="62">
        <f t="shared" si="146"/>
        <v>231.36959598460686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8.8675733422860506E-14</v>
      </c>
      <c r="CA168" s="14">
        <f t="shared" si="170"/>
        <v>1.3509285393066301E-12</v>
      </c>
      <c r="CB168" s="22">
        <f t="shared" si="171"/>
        <v>2.5073107750038623E-12</v>
      </c>
      <c r="CC168" s="62">
        <f t="shared" si="119"/>
        <v>293.33333333333582</v>
      </c>
      <c r="CD168" s="62">
        <f ca="1">AVERAGE(OFFSET($CC$3,0,0,'Données projet'!$E$12+1,1))-AVERAGE(OFFSET($H$3,0,0,'Données projet'!$E$12+1,1))</f>
        <v>299.07024205218266</v>
      </c>
      <c r="CE168" s="62">
        <f t="shared" si="148"/>
        <v>328.70296497136366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2.8421709430404007E-13</v>
      </c>
      <c r="CU168" s="18">
        <f>CT168*VLOOKUP('Données projet'!$B$13,Paramètres!$A$1:$I$89,3,0)*VLOOKUP('Données projet'!$B$13,Paramètres!$A$1:$I$89,5,0)</f>
        <v>2.7046098693972454E-13</v>
      </c>
      <c r="CV168" s="14">
        <f t="shared" si="173"/>
        <v>3.6187594451142911E-12</v>
      </c>
      <c r="CW168" s="22">
        <f t="shared" si="174"/>
        <v>6.7737255858274096E-12</v>
      </c>
      <c r="CX168" s="62">
        <f t="shared" si="122"/>
        <v>293.33333333334008</v>
      </c>
      <c r="CY168" s="62">
        <f ca="1">AVERAGE(OFFSET($CX$3,0,0,'Données projet'!$E$13+1,1))-AVERAGE(OFFSET($H$3,0,0,'Données projet'!$E$13+1,1))</f>
        <v>300.36889324671682</v>
      </c>
      <c r="CZ168" s="62">
        <f t="shared" si="150"/>
        <v>214.36051699039683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-5.1159076974727213E-13</v>
      </c>
      <c r="O169" s="14">
        <f>N169*VLOOKUP('Données projet'!$B$9,Paramètres!$A$1:$I$89,3,0)*VLOOKUP('Données projet'!$B$9,Paramètres!$A$1:$I$89,5,0)</f>
        <v>-5.1875304052373401E-13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477.00263959594946</v>
      </c>
      <c r="T169" s="62">
        <f t="shared" si="142"/>
        <v>254.25036207346591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-6.2527760746888816E-13</v>
      </c>
      <c r="AJ169" s="14">
        <f>AI169*VLOOKUP('Données projet'!$B$10,Paramètres!$A$1:$I$89,3,0)*VLOOKUP('Données projet'!$B$10,Paramètres!$A$1:$I$89,5,0)</f>
        <v>-2.9262992029543964E-13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245.47494516762282</v>
      </c>
      <c r="AO169" s="62">
        <f t="shared" si="144"/>
        <v>145.54897745089966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-5.1159076974727213E-13</v>
      </c>
      <c r="BE169" s="14">
        <f>BD169*VLOOKUP('Données projet'!$B$11,Paramètres!$A$1:$I$89,3,0)*VLOOKUP('Données projet'!$B$11,Paramètres!$A$1:$I$89,5,0)</f>
        <v>-4.6288732846733184E-13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430.21146937947236</v>
      </c>
      <c r="BJ169" s="62">
        <f t="shared" si="146"/>
        <v>231.36959598460686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8.8675733422860506E-14</v>
      </c>
      <c r="CA169" s="14">
        <f t="shared" si="170"/>
        <v>1.3509285393066301E-12</v>
      </c>
      <c r="CB169" s="22">
        <f t="shared" si="171"/>
        <v>2.5073107750038623E-12</v>
      </c>
      <c r="CC169" s="62">
        <f t="shared" si="119"/>
        <v>293.33333333333582</v>
      </c>
      <c r="CD169" s="62">
        <f ca="1">AVERAGE(OFFSET($CC$3,0,0,'Données projet'!$E$12+1,1))-AVERAGE(OFFSET($H$3,0,0,'Données projet'!$E$12+1,1))</f>
        <v>299.07024205218266</v>
      </c>
      <c r="CE169" s="62">
        <f t="shared" si="148"/>
        <v>328.70296497136366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2.8421709430404007E-13</v>
      </c>
      <c r="CU169" s="18">
        <f>CT169*VLOOKUP('Données projet'!$B$13,Paramètres!$A$1:$I$89,3,0)*VLOOKUP('Données projet'!$B$13,Paramètres!$A$1:$I$89,5,0)</f>
        <v>2.7046098693972454E-13</v>
      </c>
      <c r="CV169" s="14">
        <f t="shared" si="173"/>
        <v>3.6187594451142911E-12</v>
      </c>
      <c r="CW169" s="22">
        <f t="shared" si="174"/>
        <v>6.7737255858274096E-12</v>
      </c>
      <c r="CX169" s="62">
        <f t="shared" si="122"/>
        <v>293.33333333334008</v>
      </c>
      <c r="CY169" s="62">
        <f ca="1">AVERAGE(OFFSET($CX$3,0,0,'Données projet'!$E$13+1,1))-AVERAGE(OFFSET($H$3,0,0,'Données projet'!$E$13+1,1))</f>
        <v>300.36889324671682</v>
      </c>
      <c r="CZ169" s="62">
        <f t="shared" si="150"/>
        <v>214.36051699039683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-5.1159076974727213E-13</v>
      </c>
      <c r="O170" s="14">
        <f>N170*VLOOKUP('Données projet'!$B$9,Paramètres!$A$1:$I$89,3,0)*VLOOKUP('Données projet'!$B$9,Paramètres!$A$1:$I$89,5,0)</f>
        <v>-5.1875304052373401E-13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477.00263959594946</v>
      </c>
      <c r="T170" s="62">
        <f t="shared" si="142"/>
        <v>254.25036207346591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-6.2527760746888816E-13</v>
      </c>
      <c r="AJ170" s="14">
        <f>AI170*VLOOKUP('Données projet'!$B$10,Paramètres!$A$1:$I$89,3,0)*VLOOKUP('Données projet'!$B$10,Paramètres!$A$1:$I$89,5,0)</f>
        <v>-2.9262992029543964E-13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245.47494516762282</v>
      </c>
      <c r="AO170" s="62">
        <f t="shared" si="144"/>
        <v>145.54897745089966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-5.1159076974727213E-13</v>
      </c>
      <c r="BE170" s="14">
        <f>BD170*VLOOKUP('Données projet'!$B$11,Paramètres!$A$1:$I$89,3,0)*VLOOKUP('Données projet'!$B$11,Paramètres!$A$1:$I$89,5,0)</f>
        <v>-4.6288732846733184E-13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430.21146937947236</v>
      </c>
      <c r="BJ170" s="62">
        <f t="shared" si="146"/>
        <v>231.36959598460686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8.8675733422860506E-14</v>
      </c>
      <c r="CA170" s="14">
        <f t="shared" si="170"/>
        <v>1.3509285393066301E-12</v>
      </c>
      <c r="CB170" s="22">
        <f t="shared" si="171"/>
        <v>2.5073107750038623E-12</v>
      </c>
      <c r="CC170" s="62">
        <f t="shared" si="119"/>
        <v>293.33333333333582</v>
      </c>
      <c r="CD170" s="62">
        <f ca="1">AVERAGE(OFFSET($CC$3,0,0,'Données projet'!$E$12+1,1))-AVERAGE(OFFSET($H$3,0,0,'Données projet'!$E$12+1,1))</f>
        <v>299.07024205218266</v>
      </c>
      <c r="CE170" s="62">
        <f t="shared" si="148"/>
        <v>328.70296497136366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2.8421709430404007E-13</v>
      </c>
      <c r="CU170" s="18">
        <f>CT170*VLOOKUP('Données projet'!$B$13,Paramètres!$A$1:$I$89,3,0)*VLOOKUP('Données projet'!$B$13,Paramètres!$A$1:$I$89,5,0)</f>
        <v>2.7046098693972454E-13</v>
      </c>
      <c r="CV170" s="14">
        <f t="shared" si="173"/>
        <v>3.6187594451142911E-12</v>
      </c>
      <c r="CW170" s="22">
        <f t="shared" si="174"/>
        <v>6.7737255858274096E-12</v>
      </c>
      <c r="CX170" s="62">
        <f t="shared" si="122"/>
        <v>293.33333333334008</v>
      </c>
      <c r="CY170" s="62">
        <f ca="1">AVERAGE(OFFSET($CX$3,0,0,'Données projet'!$E$13+1,1))-AVERAGE(OFFSET($H$3,0,0,'Données projet'!$E$13+1,1))</f>
        <v>300.36889324671682</v>
      </c>
      <c r="CZ170" s="62">
        <f t="shared" si="150"/>
        <v>214.36051699039683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-5.1159076974727213E-13</v>
      </c>
      <c r="O171" s="14">
        <f>N171*VLOOKUP('Données projet'!$B$9,Paramètres!$A$1:$I$89,3,0)*VLOOKUP('Données projet'!$B$9,Paramètres!$A$1:$I$89,5,0)</f>
        <v>-5.1875304052373401E-13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477.00263959594946</v>
      </c>
      <c r="T171" s="62">
        <f t="shared" si="142"/>
        <v>254.25036207346591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-6.2527760746888816E-13</v>
      </c>
      <c r="AJ171" s="14">
        <f>AI171*VLOOKUP('Données projet'!$B$10,Paramètres!$A$1:$I$89,3,0)*VLOOKUP('Données projet'!$B$10,Paramètres!$A$1:$I$89,5,0)</f>
        <v>-2.9262992029543964E-13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245.47494516762282</v>
      </c>
      <c r="AO171" s="62">
        <f t="shared" si="144"/>
        <v>145.54897745089966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-5.1159076974727213E-13</v>
      </c>
      <c r="BE171" s="14">
        <f>BD171*VLOOKUP('Données projet'!$B$11,Paramètres!$A$1:$I$89,3,0)*VLOOKUP('Données projet'!$B$11,Paramètres!$A$1:$I$89,5,0)</f>
        <v>-4.6288732846733184E-13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430.21146937947236</v>
      </c>
      <c r="BJ171" s="62">
        <f t="shared" si="146"/>
        <v>231.36959598460686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8.8675733422860506E-14</v>
      </c>
      <c r="CA171" s="14">
        <f t="shared" si="170"/>
        <v>1.3509285393066301E-12</v>
      </c>
      <c r="CB171" s="22">
        <f t="shared" si="171"/>
        <v>2.5073107750038623E-12</v>
      </c>
      <c r="CC171" s="62">
        <f t="shared" si="119"/>
        <v>293.33333333333582</v>
      </c>
      <c r="CD171" s="62">
        <f ca="1">AVERAGE(OFFSET($CC$3,0,0,'Données projet'!$E$12+1,1))-AVERAGE(OFFSET($H$3,0,0,'Données projet'!$E$12+1,1))</f>
        <v>299.07024205218266</v>
      </c>
      <c r="CE171" s="62">
        <f t="shared" si="148"/>
        <v>328.70296497136366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2.8421709430404007E-13</v>
      </c>
      <c r="CU171" s="18">
        <f>CT171*VLOOKUP('Données projet'!$B$13,Paramètres!$A$1:$I$89,3,0)*VLOOKUP('Données projet'!$B$13,Paramètres!$A$1:$I$89,5,0)</f>
        <v>2.7046098693972454E-13</v>
      </c>
      <c r="CV171" s="14">
        <f t="shared" si="173"/>
        <v>3.6187594451142911E-12</v>
      </c>
      <c r="CW171" s="22">
        <f t="shared" si="174"/>
        <v>6.7737255858274096E-12</v>
      </c>
      <c r="CX171" s="62">
        <f t="shared" si="122"/>
        <v>293.33333333334008</v>
      </c>
      <c r="CY171" s="62">
        <f ca="1">AVERAGE(OFFSET($CX$3,0,0,'Données projet'!$E$13+1,1))-AVERAGE(OFFSET($H$3,0,0,'Données projet'!$E$13+1,1))</f>
        <v>300.36889324671682</v>
      </c>
      <c r="CZ171" s="62">
        <f t="shared" si="150"/>
        <v>214.36051699039683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-5.1159076974727213E-13</v>
      </c>
      <c r="O172" s="14">
        <f>N172*VLOOKUP('Données projet'!$B$9,Paramètres!$A$1:$I$89,3,0)*VLOOKUP('Données projet'!$B$9,Paramètres!$A$1:$I$89,5,0)</f>
        <v>-5.1875304052373401E-13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477.00263959594946</v>
      </c>
      <c r="T172" s="62">
        <f t="shared" si="142"/>
        <v>254.25036207346591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-6.2527760746888816E-13</v>
      </c>
      <c r="AJ172" s="14">
        <f>AI172*VLOOKUP('Données projet'!$B$10,Paramètres!$A$1:$I$89,3,0)*VLOOKUP('Données projet'!$B$10,Paramètres!$A$1:$I$89,5,0)</f>
        <v>-2.9262992029543964E-13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245.47494516762282</v>
      </c>
      <c r="AO172" s="62">
        <f t="shared" si="144"/>
        <v>145.54897745089966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-5.1159076974727213E-13</v>
      </c>
      <c r="BE172" s="14">
        <f>BD172*VLOOKUP('Données projet'!$B$11,Paramètres!$A$1:$I$89,3,0)*VLOOKUP('Données projet'!$B$11,Paramètres!$A$1:$I$89,5,0)</f>
        <v>-4.6288732846733184E-13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430.21146937947236</v>
      </c>
      <c r="BJ172" s="62">
        <f t="shared" si="146"/>
        <v>231.36959598460686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8.8675733422860506E-14</v>
      </c>
      <c r="CA172" s="14">
        <f t="shared" si="170"/>
        <v>1.3509285393066301E-12</v>
      </c>
      <c r="CB172" s="22">
        <f t="shared" si="171"/>
        <v>2.5073107750038623E-12</v>
      </c>
      <c r="CC172" s="62">
        <f t="shared" si="119"/>
        <v>293.33333333333582</v>
      </c>
      <c r="CD172" s="62">
        <f ca="1">AVERAGE(OFFSET($CC$3,0,0,'Données projet'!$E$12+1,1))-AVERAGE(OFFSET($H$3,0,0,'Données projet'!$E$12+1,1))</f>
        <v>299.07024205218266</v>
      </c>
      <c r="CE172" s="62">
        <f t="shared" si="148"/>
        <v>328.70296497136366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2.8421709430404007E-13</v>
      </c>
      <c r="CU172" s="18">
        <f>CT172*VLOOKUP('Données projet'!$B$13,Paramètres!$A$1:$I$89,3,0)*VLOOKUP('Données projet'!$B$13,Paramètres!$A$1:$I$89,5,0)</f>
        <v>2.7046098693972454E-13</v>
      </c>
      <c r="CV172" s="14">
        <f t="shared" si="173"/>
        <v>3.6187594451142911E-12</v>
      </c>
      <c r="CW172" s="22">
        <f t="shared" si="174"/>
        <v>6.7737255858274096E-12</v>
      </c>
      <c r="CX172" s="62">
        <f t="shared" si="122"/>
        <v>293.33333333334008</v>
      </c>
      <c r="CY172" s="62">
        <f ca="1">AVERAGE(OFFSET($CX$3,0,0,'Données projet'!$E$13+1,1))-AVERAGE(OFFSET($H$3,0,0,'Données projet'!$E$13+1,1))</f>
        <v>300.36889324671682</v>
      </c>
      <c r="CZ172" s="62">
        <f t="shared" si="150"/>
        <v>214.36051699039683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-5.1159076974727213E-13</v>
      </c>
      <c r="O173" s="14">
        <f>N173*VLOOKUP('Données projet'!$B$9,Paramètres!$A$1:$I$89,3,0)*VLOOKUP('Données projet'!$B$9,Paramètres!$A$1:$I$89,5,0)</f>
        <v>-5.1875304052373401E-13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477.00263959594946</v>
      </c>
      <c r="T173" s="62">
        <f t="shared" si="142"/>
        <v>254.25036207346591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-6.2527760746888816E-13</v>
      </c>
      <c r="AJ173" s="14">
        <f>AI173*VLOOKUP('Données projet'!$B$10,Paramètres!$A$1:$I$89,3,0)*VLOOKUP('Données projet'!$B$10,Paramètres!$A$1:$I$89,5,0)</f>
        <v>-2.9262992029543964E-13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245.47494516762282</v>
      </c>
      <c r="AO173" s="62">
        <f t="shared" si="144"/>
        <v>145.54897745089966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-5.1159076974727213E-13</v>
      </c>
      <c r="BE173" s="14">
        <f>BD173*VLOOKUP('Données projet'!$B$11,Paramètres!$A$1:$I$89,3,0)*VLOOKUP('Données projet'!$B$11,Paramètres!$A$1:$I$89,5,0)</f>
        <v>-4.6288732846733184E-13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430.21146937947236</v>
      </c>
      <c r="BJ173" s="62">
        <f t="shared" si="146"/>
        <v>231.36959598460686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8.8675733422860506E-14</v>
      </c>
      <c r="CA173" s="14">
        <f t="shared" si="170"/>
        <v>1.3509285393066301E-12</v>
      </c>
      <c r="CB173" s="22">
        <f t="shared" si="171"/>
        <v>2.5073107750038623E-12</v>
      </c>
      <c r="CC173" s="62">
        <f t="shared" si="119"/>
        <v>293.33333333333582</v>
      </c>
      <c r="CD173" s="62">
        <f ca="1">AVERAGE(OFFSET($CC$3,0,0,'Données projet'!$E$12+1,1))-AVERAGE(OFFSET($H$3,0,0,'Données projet'!$E$12+1,1))</f>
        <v>299.07024205218266</v>
      </c>
      <c r="CE173" s="62">
        <f t="shared" si="148"/>
        <v>328.70296497136366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2.8421709430404007E-13</v>
      </c>
      <c r="CU173" s="18">
        <f>CT173*VLOOKUP('Données projet'!$B$13,Paramètres!$A$1:$I$89,3,0)*VLOOKUP('Données projet'!$B$13,Paramètres!$A$1:$I$89,5,0)</f>
        <v>2.7046098693972454E-13</v>
      </c>
      <c r="CV173" s="14">
        <f t="shared" si="173"/>
        <v>3.6187594451142911E-12</v>
      </c>
      <c r="CW173" s="22">
        <f t="shared" si="174"/>
        <v>6.7737255858274096E-12</v>
      </c>
      <c r="CX173" s="62">
        <f t="shared" si="122"/>
        <v>293.33333333334008</v>
      </c>
      <c r="CY173" s="62">
        <f ca="1">AVERAGE(OFFSET($CX$3,0,0,'Données projet'!$E$13+1,1))-AVERAGE(OFFSET($H$3,0,0,'Données projet'!$E$13+1,1))</f>
        <v>300.36889324671682</v>
      </c>
      <c r="CZ173" s="62">
        <f t="shared" si="150"/>
        <v>214.36051699039683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projet'!$B$9,Paramètres!$A$1:$I$89,3,0)*VLOOKUP('Données projet'!$B$9,Paramètres!$A$1:$I$89,5,0)</f>
        <v>-5.1875304052373401E-13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477.00263959594946</v>
      </c>
      <c r="T174" s="62">
        <f t="shared" si="142"/>
        <v>254.25036207346591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-6.2527760746888816E-13</v>
      </c>
      <c r="AJ174" s="14">
        <f>AI174*VLOOKUP('Données projet'!$B$10,Paramètres!$A$1:$I$89,3,0)*VLOOKUP('Données projet'!$B$10,Paramètres!$A$1:$I$89,5,0)</f>
        <v>-2.9262992029543964E-13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245.47494516762282</v>
      </c>
      <c r="AO174" s="62">
        <f t="shared" si="144"/>
        <v>145.54897745089966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-5.1159076974727213E-13</v>
      </c>
      <c r="BE174" s="14">
        <f>BD174*VLOOKUP('Données projet'!$B$11,Paramètres!$A$1:$I$89,3,0)*VLOOKUP('Données projet'!$B$11,Paramètres!$A$1:$I$89,5,0)</f>
        <v>-4.6288732846733184E-13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430.21146937947236</v>
      </c>
      <c r="BJ174" s="62">
        <f t="shared" si="146"/>
        <v>231.36959598460686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8.8675733422860506E-14</v>
      </c>
      <c r="CA174" s="14">
        <f t="shared" si="170"/>
        <v>1.3509285393066301E-12</v>
      </c>
      <c r="CB174" s="22">
        <f t="shared" si="171"/>
        <v>2.5073107750038623E-12</v>
      </c>
      <c r="CC174" s="62">
        <f t="shared" si="119"/>
        <v>293.33333333333582</v>
      </c>
      <c r="CD174" s="62">
        <f ca="1">AVERAGE(OFFSET($CC$3,0,0,'Données projet'!$E$12+1,1))-AVERAGE(OFFSET($H$3,0,0,'Données projet'!$E$12+1,1))</f>
        <v>299.07024205218266</v>
      </c>
      <c r="CE174" s="62">
        <f t="shared" si="148"/>
        <v>328.70296497136366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2.8421709430404007E-13</v>
      </c>
      <c r="CU174" s="18">
        <f>CT174*VLOOKUP('Données projet'!$B$13,Paramètres!$A$1:$I$89,3,0)*VLOOKUP('Données projet'!$B$13,Paramètres!$A$1:$I$89,5,0)</f>
        <v>2.7046098693972454E-13</v>
      </c>
      <c r="CV174" s="14">
        <f t="shared" si="173"/>
        <v>3.6187594451142911E-12</v>
      </c>
      <c r="CW174" s="22">
        <f t="shared" si="174"/>
        <v>6.7737255858274096E-12</v>
      </c>
      <c r="CX174" s="62">
        <f t="shared" si="122"/>
        <v>293.33333333334008</v>
      </c>
      <c r="CY174" s="62">
        <f ca="1">AVERAGE(OFFSET($CX$3,0,0,'Données projet'!$E$13+1,1))-AVERAGE(OFFSET($H$3,0,0,'Données projet'!$E$13+1,1))</f>
        <v>300.36889324671682</v>
      </c>
      <c r="CZ174" s="62">
        <f t="shared" si="150"/>
        <v>214.36051699039683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projet'!$B$9,Paramètres!$A$1:$I$89,3,0)*VLOOKUP('Données projet'!$B$9,Paramètres!$A$1:$I$89,5,0)</f>
        <v>-5.1875304052373401E-13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477.00263959594946</v>
      </c>
      <c r="T175" s="62">
        <f t="shared" si="142"/>
        <v>254.25036207346591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-6.2527760746888816E-13</v>
      </c>
      <c r="AJ175" s="14">
        <f>AI175*VLOOKUP('Données projet'!$B$10,Paramètres!$A$1:$I$89,3,0)*VLOOKUP('Données projet'!$B$10,Paramètres!$A$1:$I$89,5,0)</f>
        <v>-2.9262992029543964E-13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245.47494516762282</v>
      </c>
      <c r="AO175" s="62">
        <f t="shared" si="144"/>
        <v>145.54897745089966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-5.1159076974727213E-13</v>
      </c>
      <c r="BE175" s="14">
        <f>BD175*VLOOKUP('Données projet'!$B$11,Paramètres!$A$1:$I$89,3,0)*VLOOKUP('Données projet'!$B$11,Paramètres!$A$1:$I$89,5,0)</f>
        <v>-4.6288732846733184E-13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430.21146937947236</v>
      </c>
      <c r="BJ175" s="62">
        <f t="shared" si="146"/>
        <v>231.36959598460686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8.8675733422860506E-14</v>
      </c>
      <c r="CA175" s="14">
        <f t="shared" si="170"/>
        <v>1.3509285393066301E-12</v>
      </c>
      <c r="CB175" s="22">
        <f t="shared" si="171"/>
        <v>2.5073107750038623E-12</v>
      </c>
      <c r="CC175" s="62">
        <f t="shared" si="119"/>
        <v>293.33333333333582</v>
      </c>
      <c r="CD175" s="62">
        <f ca="1">AVERAGE(OFFSET($CC$3,0,0,'Données projet'!$E$12+1,1))-AVERAGE(OFFSET($H$3,0,0,'Données projet'!$E$12+1,1))</f>
        <v>299.07024205218266</v>
      </c>
      <c r="CE175" s="62">
        <f t="shared" si="148"/>
        <v>328.70296497136366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2.8421709430404007E-13</v>
      </c>
      <c r="CU175" s="18">
        <f>CT175*VLOOKUP('Données projet'!$B$13,Paramètres!$A$1:$I$89,3,0)*VLOOKUP('Données projet'!$B$13,Paramètres!$A$1:$I$89,5,0)</f>
        <v>2.7046098693972454E-13</v>
      </c>
      <c r="CV175" s="14">
        <f t="shared" si="173"/>
        <v>3.6187594451142911E-12</v>
      </c>
      <c r="CW175" s="22">
        <f t="shared" si="174"/>
        <v>6.7737255858274096E-12</v>
      </c>
      <c r="CX175" s="62">
        <f t="shared" si="122"/>
        <v>293.33333333334008</v>
      </c>
      <c r="CY175" s="62">
        <f ca="1">AVERAGE(OFFSET($CX$3,0,0,'Données projet'!$E$13+1,1))-AVERAGE(OFFSET($H$3,0,0,'Données projet'!$E$13+1,1))</f>
        <v>300.36889324671682</v>
      </c>
      <c r="CZ175" s="62">
        <f t="shared" si="150"/>
        <v>214.36051699039683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projet'!$B$9,Paramètres!$A$1:$I$89,3,0)*VLOOKUP('Données projet'!$B$9,Paramètres!$A$1:$I$89,5,0)</f>
        <v>-5.1875304052373401E-13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477.00263959594946</v>
      </c>
      <c r="T176" s="62">
        <f t="shared" si="142"/>
        <v>254.25036207346591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-6.2527760746888816E-13</v>
      </c>
      <c r="AJ176" s="14">
        <f>AI176*VLOOKUP('Données projet'!$B$10,Paramètres!$A$1:$I$89,3,0)*VLOOKUP('Données projet'!$B$10,Paramètres!$A$1:$I$89,5,0)</f>
        <v>-2.9262992029543964E-13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245.47494516762282</v>
      </c>
      <c r="AO176" s="62">
        <f t="shared" si="144"/>
        <v>145.54897745089966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-5.1159076974727213E-13</v>
      </c>
      <c r="BE176" s="14">
        <f>BD176*VLOOKUP('Données projet'!$B$11,Paramètres!$A$1:$I$89,3,0)*VLOOKUP('Données projet'!$B$11,Paramètres!$A$1:$I$89,5,0)</f>
        <v>-4.6288732846733184E-13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430.21146937947236</v>
      </c>
      <c r="BJ176" s="62">
        <f t="shared" si="146"/>
        <v>231.36959598460686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8.8675733422860506E-14</v>
      </c>
      <c r="CA176" s="14">
        <f t="shared" si="170"/>
        <v>1.3509285393066301E-12</v>
      </c>
      <c r="CB176" s="22">
        <f t="shared" si="171"/>
        <v>2.5073107750038623E-12</v>
      </c>
      <c r="CC176" s="62">
        <f t="shared" si="119"/>
        <v>293.33333333333582</v>
      </c>
      <c r="CD176" s="62">
        <f ca="1">AVERAGE(OFFSET($CC$3,0,0,'Données projet'!$E$12+1,1))-AVERAGE(OFFSET($H$3,0,0,'Données projet'!$E$12+1,1))</f>
        <v>299.07024205218266</v>
      </c>
      <c r="CE176" s="62">
        <f t="shared" si="148"/>
        <v>328.70296497136366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2.8421709430404007E-13</v>
      </c>
      <c r="CU176" s="18">
        <f>CT176*VLOOKUP('Données projet'!$B$13,Paramètres!$A$1:$I$89,3,0)*VLOOKUP('Données projet'!$B$13,Paramètres!$A$1:$I$89,5,0)</f>
        <v>2.7046098693972454E-13</v>
      </c>
      <c r="CV176" s="14">
        <f t="shared" si="173"/>
        <v>3.6187594451142911E-12</v>
      </c>
      <c r="CW176" s="22">
        <f t="shared" si="174"/>
        <v>6.7737255858274096E-12</v>
      </c>
      <c r="CX176" s="62">
        <f t="shared" si="122"/>
        <v>293.33333333334008</v>
      </c>
      <c r="CY176" s="62">
        <f ca="1">AVERAGE(OFFSET($CX$3,0,0,'Données projet'!$E$13+1,1))-AVERAGE(OFFSET($H$3,0,0,'Données projet'!$E$13+1,1))</f>
        <v>300.36889324671682</v>
      </c>
      <c r="CZ176" s="62">
        <f t="shared" si="150"/>
        <v>214.36051699039683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projet'!$B$9,Paramètres!$A$1:$I$89,3,0)*VLOOKUP('Données projet'!$B$9,Paramètres!$A$1:$I$89,5,0)</f>
        <v>-5.1875304052373401E-13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477.00263959594946</v>
      </c>
      <c r="T177" s="62">
        <f t="shared" si="142"/>
        <v>254.25036207346591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-6.2527760746888816E-13</v>
      </c>
      <c r="AJ177" s="14">
        <f>AI177*VLOOKUP('Données projet'!$B$10,Paramètres!$A$1:$I$89,3,0)*VLOOKUP('Données projet'!$B$10,Paramètres!$A$1:$I$89,5,0)</f>
        <v>-2.9262992029543964E-13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245.47494516762282</v>
      </c>
      <c r="AO177" s="62">
        <f t="shared" si="144"/>
        <v>145.54897745089966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-5.1159076974727213E-13</v>
      </c>
      <c r="BE177" s="14">
        <f>BD177*VLOOKUP('Données projet'!$B$11,Paramètres!$A$1:$I$89,3,0)*VLOOKUP('Données projet'!$B$11,Paramètres!$A$1:$I$89,5,0)</f>
        <v>-4.6288732846733184E-13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430.21146937947236</v>
      </c>
      <c r="BJ177" s="62">
        <f t="shared" si="146"/>
        <v>231.36959598460686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8.8675733422860506E-14</v>
      </c>
      <c r="CA177" s="14">
        <f t="shared" si="170"/>
        <v>1.3509285393066301E-12</v>
      </c>
      <c r="CB177" s="22">
        <f t="shared" si="171"/>
        <v>2.5073107750038623E-12</v>
      </c>
      <c r="CC177" s="62">
        <f t="shared" si="119"/>
        <v>293.33333333333582</v>
      </c>
      <c r="CD177" s="62">
        <f ca="1">AVERAGE(OFFSET($CC$3,0,0,'Données projet'!$E$12+1,1))-AVERAGE(OFFSET($H$3,0,0,'Données projet'!$E$12+1,1))</f>
        <v>299.07024205218266</v>
      </c>
      <c r="CE177" s="62">
        <f t="shared" si="148"/>
        <v>328.70296497136366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2.8421709430404007E-13</v>
      </c>
      <c r="CU177" s="18">
        <f>CT177*VLOOKUP('Données projet'!$B$13,Paramètres!$A$1:$I$89,3,0)*VLOOKUP('Données projet'!$B$13,Paramètres!$A$1:$I$89,5,0)</f>
        <v>2.7046098693972454E-13</v>
      </c>
      <c r="CV177" s="14">
        <f t="shared" si="173"/>
        <v>3.6187594451142911E-12</v>
      </c>
      <c r="CW177" s="22">
        <f t="shared" si="174"/>
        <v>6.7737255858274096E-12</v>
      </c>
      <c r="CX177" s="62">
        <f t="shared" si="122"/>
        <v>293.33333333334008</v>
      </c>
      <c r="CY177" s="62">
        <f ca="1">AVERAGE(OFFSET($CX$3,0,0,'Données projet'!$E$13+1,1))-AVERAGE(OFFSET($H$3,0,0,'Données projet'!$E$13+1,1))</f>
        <v>300.36889324671682</v>
      </c>
      <c r="CZ177" s="62">
        <f t="shared" si="150"/>
        <v>214.36051699039683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projet'!$B$9,Paramètres!$A$1:$I$89,3,0)*VLOOKUP('Données projet'!$B$9,Paramètres!$A$1:$I$89,5,0)</f>
        <v>-5.1875304052373401E-13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477.00263959594946</v>
      </c>
      <c r="T178" s="62">
        <f t="shared" si="142"/>
        <v>254.25036207346591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-6.2527760746888816E-13</v>
      </c>
      <c r="AJ178" s="14">
        <f>AI178*VLOOKUP('Données projet'!$B$10,Paramètres!$A$1:$I$89,3,0)*VLOOKUP('Données projet'!$B$10,Paramètres!$A$1:$I$89,5,0)</f>
        <v>-2.9262992029543964E-13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245.47494516762282</v>
      </c>
      <c r="AO178" s="62">
        <f t="shared" si="144"/>
        <v>145.54897745089966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-5.1159076974727213E-13</v>
      </c>
      <c r="BE178" s="14">
        <f>BD178*VLOOKUP('Données projet'!$B$11,Paramètres!$A$1:$I$89,3,0)*VLOOKUP('Données projet'!$B$11,Paramètres!$A$1:$I$89,5,0)</f>
        <v>-4.6288732846733184E-13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430.21146937947236</v>
      </c>
      <c r="BJ178" s="62">
        <f t="shared" si="146"/>
        <v>231.36959598460686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8.8675733422860506E-14</v>
      </c>
      <c r="CA178" s="14">
        <f t="shared" si="170"/>
        <v>1.3509285393066301E-12</v>
      </c>
      <c r="CB178" s="22">
        <f t="shared" si="171"/>
        <v>2.5073107750038623E-12</v>
      </c>
      <c r="CC178" s="62">
        <f t="shared" si="119"/>
        <v>293.33333333333582</v>
      </c>
      <c r="CD178" s="62">
        <f ca="1">AVERAGE(OFFSET($CC$3,0,0,'Données projet'!$E$12+1,1))-AVERAGE(OFFSET($H$3,0,0,'Données projet'!$E$12+1,1))</f>
        <v>299.07024205218266</v>
      </c>
      <c r="CE178" s="62">
        <f t="shared" si="148"/>
        <v>328.70296497136366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2.8421709430404007E-13</v>
      </c>
      <c r="CU178" s="18">
        <f>CT178*VLOOKUP('Données projet'!$B$13,Paramètres!$A$1:$I$89,3,0)*VLOOKUP('Données projet'!$B$13,Paramètres!$A$1:$I$89,5,0)</f>
        <v>2.7046098693972454E-13</v>
      </c>
      <c r="CV178" s="14">
        <f t="shared" si="173"/>
        <v>3.6187594451142911E-12</v>
      </c>
      <c r="CW178" s="22">
        <f t="shared" si="174"/>
        <v>6.7737255858274096E-12</v>
      </c>
      <c r="CX178" s="62">
        <f t="shared" si="122"/>
        <v>293.33333333334008</v>
      </c>
      <c r="CY178" s="62">
        <f ca="1">AVERAGE(OFFSET($CX$3,0,0,'Données projet'!$E$13+1,1))-AVERAGE(OFFSET($H$3,0,0,'Données projet'!$E$13+1,1))</f>
        <v>300.36889324671682</v>
      </c>
      <c r="CZ178" s="62">
        <f t="shared" si="150"/>
        <v>214.36051699039683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projet'!$B$9,Paramètres!$A$1:$I$89,3,0)*VLOOKUP('Données projet'!$B$9,Paramètres!$A$1:$I$89,5,0)</f>
        <v>-5.1875304052373401E-13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477.00263959594946</v>
      </c>
      <c r="T179" s="62">
        <f t="shared" si="142"/>
        <v>254.25036207346591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-6.2527760746888816E-13</v>
      </c>
      <c r="AJ179" s="14">
        <f>AI179*VLOOKUP('Données projet'!$B$10,Paramètres!$A$1:$I$89,3,0)*VLOOKUP('Données projet'!$B$10,Paramètres!$A$1:$I$89,5,0)</f>
        <v>-2.9262992029543964E-13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245.47494516762282</v>
      </c>
      <c r="AO179" s="62">
        <f t="shared" si="144"/>
        <v>145.54897745089966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-5.1159076974727213E-13</v>
      </c>
      <c r="BE179" s="14">
        <f>BD179*VLOOKUP('Données projet'!$B$11,Paramètres!$A$1:$I$89,3,0)*VLOOKUP('Données projet'!$B$11,Paramètres!$A$1:$I$89,5,0)</f>
        <v>-4.6288732846733184E-13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430.21146937947236</v>
      </c>
      <c r="BJ179" s="62">
        <f t="shared" si="146"/>
        <v>231.36959598460686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8.8675733422860506E-14</v>
      </c>
      <c r="CA179" s="14">
        <f t="shared" si="170"/>
        <v>1.3509285393066301E-12</v>
      </c>
      <c r="CB179" s="22">
        <f t="shared" si="171"/>
        <v>2.5073107750038623E-12</v>
      </c>
      <c r="CC179" s="62">
        <f t="shared" si="119"/>
        <v>293.33333333333582</v>
      </c>
      <c r="CD179" s="62">
        <f ca="1">AVERAGE(OFFSET($CC$3,0,0,'Données projet'!$E$12+1,1))-AVERAGE(OFFSET($H$3,0,0,'Données projet'!$E$12+1,1))</f>
        <v>299.07024205218266</v>
      </c>
      <c r="CE179" s="62">
        <f t="shared" si="148"/>
        <v>328.70296497136366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2.8421709430404007E-13</v>
      </c>
      <c r="CU179" s="18">
        <f>CT179*VLOOKUP('Données projet'!$B$13,Paramètres!$A$1:$I$89,3,0)*VLOOKUP('Données projet'!$B$13,Paramètres!$A$1:$I$89,5,0)</f>
        <v>2.7046098693972454E-13</v>
      </c>
      <c r="CV179" s="14">
        <f t="shared" si="173"/>
        <v>3.6187594451142911E-12</v>
      </c>
      <c r="CW179" s="22">
        <f t="shared" si="174"/>
        <v>6.7737255858274096E-12</v>
      </c>
      <c r="CX179" s="62">
        <f t="shared" si="122"/>
        <v>293.33333333334008</v>
      </c>
      <c r="CY179" s="62">
        <f ca="1">AVERAGE(OFFSET($CX$3,0,0,'Données projet'!$E$13+1,1))-AVERAGE(OFFSET($H$3,0,0,'Données projet'!$E$13+1,1))</f>
        <v>300.36889324671682</v>
      </c>
      <c r="CZ179" s="62">
        <f t="shared" si="150"/>
        <v>214.36051699039683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projet'!$B$9,Paramètres!$A$1:$I$89,3,0)*VLOOKUP('Données projet'!$B$9,Paramètres!$A$1:$I$89,5,0)</f>
        <v>-5.1875304052373401E-13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477.00263959594946</v>
      </c>
      <c r="T180" s="62">
        <f t="shared" si="142"/>
        <v>254.25036207346591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-6.2527760746888816E-13</v>
      </c>
      <c r="AJ180" s="14">
        <f>AI180*VLOOKUP('Données projet'!$B$10,Paramètres!$A$1:$I$89,3,0)*VLOOKUP('Données projet'!$B$10,Paramètres!$A$1:$I$89,5,0)</f>
        <v>-2.9262992029543964E-13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245.47494516762282</v>
      </c>
      <c r="AO180" s="62">
        <f t="shared" si="144"/>
        <v>145.54897745089966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-5.1159076974727213E-13</v>
      </c>
      <c r="BE180" s="14">
        <f>BD180*VLOOKUP('Données projet'!$B$11,Paramètres!$A$1:$I$89,3,0)*VLOOKUP('Données projet'!$B$11,Paramètres!$A$1:$I$89,5,0)</f>
        <v>-4.6288732846733184E-13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430.21146937947236</v>
      </c>
      <c r="BJ180" s="62">
        <f t="shared" si="146"/>
        <v>231.36959598460686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8.8675733422860506E-14</v>
      </c>
      <c r="CA180" s="14">
        <f t="shared" si="170"/>
        <v>1.3509285393066301E-12</v>
      </c>
      <c r="CB180" s="22">
        <f t="shared" si="171"/>
        <v>2.5073107750038623E-12</v>
      </c>
      <c r="CC180" s="62">
        <f t="shared" si="119"/>
        <v>293.33333333333582</v>
      </c>
      <c r="CD180" s="62">
        <f ca="1">AVERAGE(OFFSET($CC$3,0,0,'Données projet'!$E$12+1,1))-AVERAGE(OFFSET($H$3,0,0,'Données projet'!$E$12+1,1))</f>
        <v>299.07024205218266</v>
      </c>
      <c r="CE180" s="62">
        <f t="shared" si="148"/>
        <v>328.70296497136366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2.8421709430404007E-13</v>
      </c>
      <c r="CU180" s="18">
        <f>CT180*VLOOKUP('Données projet'!$B$13,Paramètres!$A$1:$I$89,3,0)*VLOOKUP('Données projet'!$B$13,Paramètres!$A$1:$I$89,5,0)</f>
        <v>2.7046098693972454E-13</v>
      </c>
      <c r="CV180" s="14">
        <f t="shared" si="173"/>
        <v>3.6187594451142911E-12</v>
      </c>
      <c r="CW180" s="22">
        <f t="shared" si="174"/>
        <v>6.7737255858274096E-12</v>
      </c>
      <c r="CX180" s="62">
        <f t="shared" si="122"/>
        <v>293.33333333334008</v>
      </c>
      <c r="CY180" s="62">
        <f ca="1">AVERAGE(OFFSET($CX$3,0,0,'Données projet'!$E$13+1,1))-AVERAGE(OFFSET($H$3,0,0,'Données projet'!$E$13+1,1))</f>
        <v>300.36889324671682</v>
      </c>
      <c r="CZ180" s="62">
        <f t="shared" si="150"/>
        <v>214.36051699039683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projet'!$B$9,Paramètres!$A$1:$I$89,3,0)*VLOOKUP('Données projet'!$B$9,Paramètres!$A$1:$I$89,5,0)</f>
        <v>-5.1875304052373401E-13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477.00263959594946</v>
      </c>
      <c r="T181" s="62">
        <f t="shared" si="142"/>
        <v>254.25036207346591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-6.2527760746888816E-13</v>
      </c>
      <c r="AJ181" s="14">
        <f>AI181*VLOOKUP('Données projet'!$B$10,Paramètres!$A$1:$I$89,3,0)*VLOOKUP('Données projet'!$B$10,Paramètres!$A$1:$I$89,5,0)</f>
        <v>-2.9262992029543964E-13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245.47494516762282</v>
      </c>
      <c r="AO181" s="62">
        <f t="shared" si="144"/>
        <v>145.54897745089966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-5.1159076974727213E-13</v>
      </c>
      <c r="BE181" s="14">
        <f>BD181*VLOOKUP('Données projet'!$B$11,Paramètres!$A$1:$I$89,3,0)*VLOOKUP('Données projet'!$B$11,Paramètres!$A$1:$I$89,5,0)</f>
        <v>-4.6288732846733184E-13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430.21146937947236</v>
      </c>
      <c r="BJ181" s="62">
        <f t="shared" si="146"/>
        <v>231.36959598460686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8.8675733422860506E-14</v>
      </c>
      <c r="CA181" s="14">
        <f t="shared" si="170"/>
        <v>1.3509285393066301E-12</v>
      </c>
      <c r="CB181" s="22">
        <f t="shared" si="171"/>
        <v>2.5073107750038623E-12</v>
      </c>
      <c r="CC181" s="62">
        <f t="shared" si="119"/>
        <v>293.33333333333582</v>
      </c>
      <c r="CD181" s="62">
        <f ca="1">AVERAGE(OFFSET($CC$3,0,0,'Données projet'!$E$12+1,1))-AVERAGE(OFFSET($H$3,0,0,'Données projet'!$E$12+1,1))</f>
        <v>299.07024205218266</v>
      </c>
      <c r="CE181" s="62">
        <f t="shared" si="148"/>
        <v>328.70296497136366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2.8421709430404007E-13</v>
      </c>
      <c r="CU181" s="18">
        <f>CT181*VLOOKUP('Données projet'!$B$13,Paramètres!$A$1:$I$89,3,0)*VLOOKUP('Données projet'!$B$13,Paramètres!$A$1:$I$89,5,0)</f>
        <v>2.7046098693972454E-13</v>
      </c>
      <c r="CV181" s="14">
        <f t="shared" si="173"/>
        <v>3.6187594451142911E-12</v>
      </c>
      <c r="CW181" s="22">
        <f t="shared" si="174"/>
        <v>6.7737255858274096E-12</v>
      </c>
      <c r="CX181" s="62">
        <f t="shared" si="122"/>
        <v>293.33333333334008</v>
      </c>
      <c r="CY181" s="62">
        <f ca="1">AVERAGE(OFFSET($CX$3,0,0,'Données projet'!$E$13+1,1))-AVERAGE(OFFSET($H$3,0,0,'Données projet'!$E$13+1,1))</f>
        <v>300.36889324671682</v>
      </c>
      <c r="CZ181" s="62">
        <f t="shared" si="150"/>
        <v>214.36051699039683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projet'!$B$9,Paramètres!$A$1:$I$89,3,0)*VLOOKUP('Données projet'!$B$9,Paramètres!$A$1:$I$89,5,0)</f>
        <v>-5.1875304052373401E-13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477.00263959594946</v>
      </c>
      <c r="T182" s="62">
        <f t="shared" si="142"/>
        <v>254.25036207346591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-6.2527760746888816E-13</v>
      </c>
      <c r="AJ182" s="14">
        <f>AI182*VLOOKUP('Données projet'!$B$10,Paramètres!$A$1:$I$89,3,0)*VLOOKUP('Données projet'!$B$10,Paramètres!$A$1:$I$89,5,0)</f>
        <v>-2.9262992029543964E-13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245.47494516762282</v>
      </c>
      <c r="AO182" s="62">
        <f t="shared" si="144"/>
        <v>145.54897745089966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-5.1159076974727213E-13</v>
      </c>
      <c r="BE182" s="14">
        <f>BD182*VLOOKUP('Données projet'!$B$11,Paramètres!$A$1:$I$89,3,0)*VLOOKUP('Données projet'!$B$11,Paramètres!$A$1:$I$89,5,0)</f>
        <v>-4.6288732846733184E-13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430.21146937947236</v>
      </c>
      <c r="BJ182" s="62">
        <f t="shared" si="146"/>
        <v>231.36959598460686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8.8675733422860506E-14</v>
      </c>
      <c r="CA182" s="14">
        <f t="shared" si="170"/>
        <v>1.3509285393066301E-12</v>
      </c>
      <c r="CB182" s="22">
        <f t="shared" si="171"/>
        <v>2.5073107750038623E-12</v>
      </c>
      <c r="CC182" s="62">
        <f t="shared" si="119"/>
        <v>293.33333333333582</v>
      </c>
      <c r="CD182" s="62">
        <f ca="1">AVERAGE(OFFSET($CC$3,0,0,'Données projet'!$E$12+1,1))-AVERAGE(OFFSET($H$3,0,0,'Données projet'!$E$12+1,1))</f>
        <v>299.07024205218266</v>
      </c>
      <c r="CE182" s="62">
        <f t="shared" si="148"/>
        <v>328.70296497136366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2.8421709430404007E-13</v>
      </c>
      <c r="CU182" s="18">
        <f>CT182*VLOOKUP('Données projet'!$B$13,Paramètres!$A$1:$I$89,3,0)*VLOOKUP('Données projet'!$B$13,Paramètres!$A$1:$I$89,5,0)</f>
        <v>2.7046098693972454E-13</v>
      </c>
      <c r="CV182" s="14">
        <f t="shared" si="173"/>
        <v>3.6187594451142911E-12</v>
      </c>
      <c r="CW182" s="22">
        <f t="shared" si="174"/>
        <v>6.7737255858274096E-12</v>
      </c>
      <c r="CX182" s="62">
        <f t="shared" si="122"/>
        <v>293.33333333334008</v>
      </c>
      <c r="CY182" s="62">
        <f ca="1">AVERAGE(OFFSET($CX$3,0,0,'Données projet'!$E$13+1,1))-AVERAGE(OFFSET($H$3,0,0,'Données projet'!$E$13+1,1))</f>
        <v>300.36889324671682</v>
      </c>
      <c r="CZ182" s="62">
        <f t="shared" si="150"/>
        <v>214.36051699039683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projet'!$B$9,Paramètres!$A$1:$I$89,3,0)*VLOOKUP('Données projet'!$B$9,Paramètres!$A$1:$I$89,5,0)</f>
        <v>-5.1875304052373401E-13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477.00263959594946</v>
      </c>
      <c r="T183" s="62">
        <f t="shared" si="142"/>
        <v>254.25036207346591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-6.2527760746888816E-13</v>
      </c>
      <c r="AJ183" s="14">
        <f>AI183*VLOOKUP('Données projet'!$B$10,Paramètres!$A$1:$I$89,3,0)*VLOOKUP('Données projet'!$B$10,Paramètres!$A$1:$I$89,5,0)</f>
        <v>-2.9262992029543964E-13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245.47494516762282</v>
      </c>
      <c r="AO183" s="62">
        <f t="shared" si="144"/>
        <v>145.54897745089966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-5.1159076974727213E-13</v>
      </c>
      <c r="BE183" s="14">
        <f>BD183*VLOOKUP('Données projet'!$B$11,Paramètres!$A$1:$I$89,3,0)*VLOOKUP('Données projet'!$B$11,Paramètres!$A$1:$I$89,5,0)</f>
        <v>-4.6288732846733184E-13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430.21146937947236</v>
      </c>
      <c r="BJ183" s="62">
        <f t="shared" si="146"/>
        <v>231.36959598460686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8.8675733422860506E-14</v>
      </c>
      <c r="CA183" s="14">
        <f t="shared" si="170"/>
        <v>1.3509285393066301E-12</v>
      </c>
      <c r="CB183" s="22">
        <f t="shared" si="171"/>
        <v>2.5073107750038623E-12</v>
      </c>
      <c r="CC183" s="62">
        <f t="shared" si="119"/>
        <v>293.33333333333582</v>
      </c>
      <c r="CD183" s="62">
        <f ca="1">AVERAGE(OFFSET($CC$3,0,0,'Données projet'!$E$12+1,1))-AVERAGE(OFFSET($H$3,0,0,'Données projet'!$E$12+1,1))</f>
        <v>299.07024205218266</v>
      </c>
      <c r="CE183" s="62">
        <f t="shared" si="148"/>
        <v>328.70296497136366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2.8421709430404007E-13</v>
      </c>
      <c r="CU183" s="18">
        <f>CT183*VLOOKUP('Données projet'!$B$13,Paramètres!$A$1:$I$89,3,0)*VLOOKUP('Données projet'!$B$13,Paramètres!$A$1:$I$89,5,0)</f>
        <v>2.7046098693972454E-13</v>
      </c>
      <c r="CV183" s="14">
        <f t="shared" si="173"/>
        <v>3.6187594451142911E-12</v>
      </c>
      <c r="CW183" s="22">
        <f t="shared" si="174"/>
        <v>6.7737255858274096E-12</v>
      </c>
      <c r="CX183" s="62">
        <f t="shared" si="122"/>
        <v>293.33333333334008</v>
      </c>
      <c r="CY183" s="62">
        <f ca="1">AVERAGE(OFFSET($CX$3,0,0,'Données projet'!$E$13+1,1))-AVERAGE(OFFSET($H$3,0,0,'Données projet'!$E$13+1,1))</f>
        <v>300.36889324671682</v>
      </c>
      <c r="CZ183" s="62">
        <f t="shared" si="150"/>
        <v>214.36051699039683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projet'!$B$9,Paramètres!$A$1:$I$89,3,0)*VLOOKUP('Données projet'!$B$9,Paramètres!$A$1:$I$89,5,0)</f>
        <v>-5.1875304052373401E-13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477.00263959594946</v>
      </c>
      <c r="T184" s="62">
        <f t="shared" si="142"/>
        <v>254.25036207346591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-6.2527760746888816E-13</v>
      </c>
      <c r="AJ184" s="14">
        <f>AI184*VLOOKUP('Données projet'!$B$10,Paramètres!$A$1:$I$89,3,0)*VLOOKUP('Données projet'!$B$10,Paramètres!$A$1:$I$89,5,0)</f>
        <v>-2.9262992029543964E-13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245.47494516762282</v>
      </c>
      <c r="AO184" s="62">
        <f t="shared" si="144"/>
        <v>145.54897745089966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-5.1159076974727213E-13</v>
      </c>
      <c r="BE184" s="14">
        <f>BD184*VLOOKUP('Données projet'!$B$11,Paramètres!$A$1:$I$89,3,0)*VLOOKUP('Données projet'!$B$11,Paramètres!$A$1:$I$89,5,0)</f>
        <v>-4.6288732846733184E-13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430.21146937947236</v>
      </c>
      <c r="BJ184" s="62">
        <f t="shared" si="146"/>
        <v>231.36959598460686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8.8675733422860506E-14</v>
      </c>
      <c r="CA184" s="14">
        <f t="shared" si="170"/>
        <v>1.3509285393066301E-12</v>
      </c>
      <c r="CB184" s="22">
        <f t="shared" si="171"/>
        <v>2.5073107750038623E-12</v>
      </c>
      <c r="CC184" s="62">
        <f t="shared" si="119"/>
        <v>293.33333333333582</v>
      </c>
      <c r="CD184" s="62">
        <f ca="1">AVERAGE(OFFSET($CC$3,0,0,'Données projet'!$E$12+1,1))-AVERAGE(OFFSET($H$3,0,0,'Données projet'!$E$12+1,1))</f>
        <v>299.07024205218266</v>
      </c>
      <c r="CE184" s="62">
        <f t="shared" si="148"/>
        <v>328.70296497136366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2.8421709430404007E-13</v>
      </c>
      <c r="CU184" s="18">
        <f>CT184*VLOOKUP('Données projet'!$B$13,Paramètres!$A$1:$I$89,3,0)*VLOOKUP('Données projet'!$B$13,Paramètres!$A$1:$I$89,5,0)</f>
        <v>2.7046098693972454E-13</v>
      </c>
      <c r="CV184" s="14">
        <f t="shared" si="173"/>
        <v>3.6187594451142911E-12</v>
      </c>
      <c r="CW184" s="22">
        <f t="shared" si="174"/>
        <v>6.7737255858274096E-12</v>
      </c>
      <c r="CX184" s="62">
        <f t="shared" si="122"/>
        <v>293.33333333334008</v>
      </c>
      <c r="CY184" s="62">
        <f ca="1">AVERAGE(OFFSET($CX$3,0,0,'Données projet'!$E$13+1,1))-AVERAGE(OFFSET($H$3,0,0,'Données projet'!$E$13+1,1))</f>
        <v>300.36889324671682</v>
      </c>
      <c r="CZ184" s="62">
        <f t="shared" si="150"/>
        <v>214.36051699039683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projet'!$B$9,Paramètres!$A$1:$I$89,3,0)*VLOOKUP('Données projet'!$B$9,Paramètres!$A$1:$I$89,5,0)</f>
        <v>-5.1875304052373401E-13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477.00263959594946</v>
      </c>
      <c r="T185" s="62">
        <f t="shared" si="142"/>
        <v>254.25036207346591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-6.2527760746888816E-13</v>
      </c>
      <c r="AJ185" s="14">
        <f>AI185*VLOOKUP('Données projet'!$B$10,Paramètres!$A$1:$I$89,3,0)*VLOOKUP('Données projet'!$B$10,Paramètres!$A$1:$I$89,5,0)</f>
        <v>-2.9262992029543964E-13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245.47494516762282</v>
      </c>
      <c r="AO185" s="62">
        <f t="shared" si="144"/>
        <v>145.54897745089966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-5.1159076974727213E-13</v>
      </c>
      <c r="BE185" s="14">
        <f>BD185*VLOOKUP('Données projet'!$B$11,Paramètres!$A$1:$I$89,3,0)*VLOOKUP('Données projet'!$B$11,Paramètres!$A$1:$I$89,5,0)</f>
        <v>-4.6288732846733184E-13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430.21146937947236</v>
      </c>
      <c r="BJ185" s="62">
        <f t="shared" si="146"/>
        <v>231.36959598460686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8.8675733422860506E-14</v>
      </c>
      <c r="CA185" s="14">
        <f t="shared" si="170"/>
        <v>1.3509285393066301E-12</v>
      </c>
      <c r="CB185" s="22">
        <f t="shared" si="171"/>
        <v>2.5073107750038623E-12</v>
      </c>
      <c r="CC185" s="62">
        <f t="shared" si="119"/>
        <v>293.33333333333582</v>
      </c>
      <c r="CD185" s="62">
        <f ca="1">AVERAGE(OFFSET($CC$3,0,0,'Données projet'!$E$12+1,1))-AVERAGE(OFFSET($H$3,0,0,'Données projet'!$E$12+1,1))</f>
        <v>299.07024205218266</v>
      </c>
      <c r="CE185" s="62">
        <f t="shared" si="148"/>
        <v>328.70296497136366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2.8421709430404007E-13</v>
      </c>
      <c r="CU185" s="18">
        <f>CT185*VLOOKUP('Données projet'!$B$13,Paramètres!$A$1:$I$89,3,0)*VLOOKUP('Données projet'!$B$13,Paramètres!$A$1:$I$89,5,0)</f>
        <v>2.7046098693972454E-13</v>
      </c>
      <c r="CV185" s="14">
        <f t="shared" si="173"/>
        <v>3.6187594451142911E-12</v>
      </c>
      <c r="CW185" s="22">
        <f t="shared" si="174"/>
        <v>6.7737255858274096E-12</v>
      </c>
      <c r="CX185" s="62">
        <f t="shared" si="122"/>
        <v>293.33333333334008</v>
      </c>
      <c r="CY185" s="62">
        <f ca="1">AVERAGE(OFFSET($CX$3,0,0,'Données projet'!$E$13+1,1))-AVERAGE(OFFSET($H$3,0,0,'Données projet'!$E$13+1,1))</f>
        <v>300.36889324671682</v>
      </c>
      <c r="CZ185" s="62">
        <f t="shared" si="150"/>
        <v>214.36051699039683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projet'!$B$9,Paramètres!$A$1:$I$89,3,0)*VLOOKUP('Données projet'!$B$9,Paramètres!$A$1:$I$89,5,0)</f>
        <v>-5.1875304052373401E-13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477.00263959594946</v>
      </c>
      <c r="T186" s="62">
        <f t="shared" si="142"/>
        <v>254.25036207346591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-6.2527760746888816E-13</v>
      </c>
      <c r="AJ186" s="14">
        <f>AI186*VLOOKUP('Données projet'!$B$10,Paramètres!$A$1:$I$89,3,0)*VLOOKUP('Données projet'!$B$10,Paramètres!$A$1:$I$89,5,0)</f>
        <v>-2.9262992029543964E-13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245.47494516762282</v>
      </c>
      <c r="AO186" s="62">
        <f t="shared" si="144"/>
        <v>145.54897745089966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-5.1159076974727213E-13</v>
      </c>
      <c r="BE186" s="14">
        <f>BD186*VLOOKUP('Données projet'!$B$11,Paramètres!$A$1:$I$89,3,0)*VLOOKUP('Données projet'!$B$11,Paramètres!$A$1:$I$89,5,0)</f>
        <v>-4.6288732846733184E-13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430.21146937947236</v>
      </c>
      <c r="BJ186" s="62">
        <f t="shared" si="146"/>
        <v>231.36959598460686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8.8675733422860506E-14</v>
      </c>
      <c r="CA186" s="14">
        <f t="shared" si="170"/>
        <v>1.3509285393066301E-12</v>
      </c>
      <c r="CB186" s="22">
        <f t="shared" si="171"/>
        <v>2.5073107750038623E-12</v>
      </c>
      <c r="CC186" s="62">
        <f t="shared" si="119"/>
        <v>293.33333333333582</v>
      </c>
      <c r="CD186" s="62">
        <f ca="1">AVERAGE(OFFSET($CC$3,0,0,'Données projet'!$E$12+1,1))-AVERAGE(OFFSET($H$3,0,0,'Données projet'!$E$12+1,1))</f>
        <v>299.07024205218266</v>
      </c>
      <c r="CE186" s="62">
        <f t="shared" si="148"/>
        <v>328.70296497136366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2.8421709430404007E-13</v>
      </c>
      <c r="CU186" s="18">
        <f>CT186*VLOOKUP('Données projet'!$B$13,Paramètres!$A$1:$I$89,3,0)*VLOOKUP('Données projet'!$B$13,Paramètres!$A$1:$I$89,5,0)</f>
        <v>2.7046098693972454E-13</v>
      </c>
      <c r="CV186" s="14">
        <f t="shared" si="173"/>
        <v>3.6187594451142911E-12</v>
      </c>
      <c r="CW186" s="22">
        <f t="shared" si="174"/>
        <v>6.7737255858274096E-12</v>
      </c>
      <c r="CX186" s="62">
        <f t="shared" si="122"/>
        <v>293.33333333334008</v>
      </c>
      <c r="CY186" s="62">
        <f ca="1">AVERAGE(OFFSET($CX$3,0,0,'Données projet'!$E$13+1,1))-AVERAGE(OFFSET($H$3,0,0,'Données projet'!$E$13+1,1))</f>
        <v>300.36889324671682</v>
      </c>
      <c r="CZ186" s="62">
        <f t="shared" si="150"/>
        <v>214.36051699039683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projet'!$B$9,Paramètres!$A$1:$I$89,3,0)*VLOOKUP('Données projet'!$B$9,Paramètres!$A$1:$I$89,5,0)</f>
        <v>-5.1875304052373401E-13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477.00263959594946</v>
      </c>
      <c r="T187" s="62">
        <f t="shared" si="142"/>
        <v>254.25036207346591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-6.2527760746888816E-13</v>
      </c>
      <c r="AJ187" s="14">
        <f>AI187*VLOOKUP('Données projet'!$B$10,Paramètres!$A$1:$I$89,3,0)*VLOOKUP('Données projet'!$B$10,Paramètres!$A$1:$I$89,5,0)</f>
        <v>-2.9262992029543964E-13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245.47494516762282</v>
      </c>
      <c r="AO187" s="62">
        <f t="shared" si="144"/>
        <v>145.54897745089966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-5.1159076974727213E-13</v>
      </c>
      <c r="BE187" s="14">
        <f>BD187*VLOOKUP('Données projet'!$B$11,Paramètres!$A$1:$I$89,3,0)*VLOOKUP('Données projet'!$B$11,Paramètres!$A$1:$I$89,5,0)</f>
        <v>-4.6288732846733184E-13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430.21146937947236</v>
      </c>
      <c r="BJ187" s="62">
        <f t="shared" si="146"/>
        <v>231.36959598460686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8.8675733422860506E-14</v>
      </c>
      <c r="CA187" s="14">
        <f t="shared" si="170"/>
        <v>1.3509285393066301E-12</v>
      </c>
      <c r="CB187" s="22">
        <f t="shared" si="171"/>
        <v>2.5073107750038623E-12</v>
      </c>
      <c r="CC187" s="62">
        <f t="shared" si="119"/>
        <v>293.33333333333582</v>
      </c>
      <c r="CD187" s="62">
        <f ca="1">AVERAGE(OFFSET($CC$3,0,0,'Données projet'!$E$12+1,1))-AVERAGE(OFFSET($H$3,0,0,'Données projet'!$E$12+1,1))</f>
        <v>299.07024205218266</v>
      </c>
      <c r="CE187" s="62">
        <f t="shared" si="148"/>
        <v>328.70296497136366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2.8421709430404007E-13</v>
      </c>
      <c r="CU187" s="18">
        <f>CT187*VLOOKUP('Données projet'!$B$13,Paramètres!$A$1:$I$89,3,0)*VLOOKUP('Données projet'!$B$13,Paramètres!$A$1:$I$89,5,0)</f>
        <v>2.7046098693972454E-13</v>
      </c>
      <c r="CV187" s="14">
        <f t="shared" si="173"/>
        <v>3.6187594451142911E-12</v>
      </c>
      <c r="CW187" s="22">
        <f t="shared" si="174"/>
        <v>6.7737255858274096E-12</v>
      </c>
      <c r="CX187" s="62">
        <f t="shared" si="122"/>
        <v>293.33333333334008</v>
      </c>
      <c r="CY187" s="62">
        <f ca="1">AVERAGE(OFFSET($CX$3,0,0,'Données projet'!$E$13+1,1))-AVERAGE(OFFSET($H$3,0,0,'Données projet'!$E$13+1,1))</f>
        <v>300.36889324671682</v>
      </c>
      <c r="CZ187" s="62">
        <f t="shared" si="150"/>
        <v>214.36051699039683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projet'!$B$9,Paramètres!$A$1:$I$89,3,0)*VLOOKUP('Données projet'!$B$9,Paramètres!$A$1:$I$89,5,0)</f>
        <v>-5.1875304052373401E-13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477.00263959594946</v>
      </c>
      <c r="T188" s="62">
        <f t="shared" si="142"/>
        <v>254.25036207346591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-6.2527760746888816E-13</v>
      </c>
      <c r="AJ188" s="14">
        <f>AI188*VLOOKUP('Données projet'!$B$10,Paramètres!$A$1:$I$89,3,0)*VLOOKUP('Données projet'!$B$10,Paramètres!$A$1:$I$89,5,0)</f>
        <v>-2.9262992029543964E-13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245.47494516762282</v>
      </c>
      <c r="AO188" s="62">
        <f t="shared" si="144"/>
        <v>145.54897745089966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-5.1159076974727213E-13</v>
      </c>
      <c r="BE188" s="14">
        <f>BD188*VLOOKUP('Données projet'!$B$11,Paramètres!$A$1:$I$89,3,0)*VLOOKUP('Données projet'!$B$11,Paramètres!$A$1:$I$89,5,0)</f>
        <v>-4.6288732846733184E-13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430.21146937947236</v>
      </c>
      <c r="BJ188" s="62">
        <f t="shared" si="146"/>
        <v>231.36959598460686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8.8675733422860506E-14</v>
      </c>
      <c r="CA188" s="14">
        <f t="shared" si="170"/>
        <v>1.3509285393066301E-12</v>
      </c>
      <c r="CB188" s="22">
        <f t="shared" si="171"/>
        <v>2.5073107750038623E-12</v>
      </c>
      <c r="CC188" s="62">
        <f t="shared" si="119"/>
        <v>293.33333333333582</v>
      </c>
      <c r="CD188" s="62">
        <f ca="1">AVERAGE(OFFSET($CC$3,0,0,'Données projet'!$E$12+1,1))-AVERAGE(OFFSET($H$3,0,0,'Données projet'!$E$12+1,1))</f>
        <v>299.07024205218266</v>
      </c>
      <c r="CE188" s="62">
        <f t="shared" si="148"/>
        <v>328.70296497136366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2.8421709430404007E-13</v>
      </c>
      <c r="CU188" s="18">
        <f>CT188*VLOOKUP('Données projet'!$B$13,Paramètres!$A$1:$I$89,3,0)*VLOOKUP('Données projet'!$B$13,Paramètres!$A$1:$I$89,5,0)</f>
        <v>2.7046098693972454E-13</v>
      </c>
      <c r="CV188" s="14">
        <f t="shared" si="173"/>
        <v>3.6187594451142911E-12</v>
      </c>
      <c r="CW188" s="22">
        <f t="shared" si="174"/>
        <v>6.7737255858274096E-12</v>
      </c>
      <c r="CX188" s="62">
        <f t="shared" si="122"/>
        <v>293.33333333334008</v>
      </c>
      <c r="CY188" s="62">
        <f ca="1">AVERAGE(OFFSET($CX$3,0,0,'Données projet'!$E$13+1,1))-AVERAGE(OFFSET($H$3,0,0,'Données projet'!$E$13+1,1))</f>
        <v>300.36889324671682</v>
      </c>
      <c r="CZ188" s="62">
        <f t="shared" si="150"/>
        <v>214.36051699039683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projet'!$B$9,Paramètres!$A$1:$I$89,3,0)*VLOOKUP('Données projet'!$B$9,Paramètres!$A$1:$I$89,5,0)</f>
        <v>-5.1875304052373401E-13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477.00263959594946</v>
      </c>
      <c r="T189" s="62">
        <f t="shared" si="142"/>
        <v>254.25036207346591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-6.2527760746888816E-13</v>
      </c>
      <c r="AJ189" s="14">
        <f>AI189*VLOOKUP('Données projet'!$B$10,Paramètres!$A$1:$I$89,3,0)*VLOOKUP('Données projet'!$B$10,Paramètres!$A$1:$I$89,5,0)</f>
        <v>-2.9262992029543964E-13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245.47494516762282</v>
      </c>
      <c r="AO189" s="62">
        <f t="shared" si="144"/>
        <v>145.54897745089966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-5.1159076974727213E-13</v>
      </c>
      <c r="BE189" s="14">
        <f>BD189*VLOOKUP('Données projet'!$B$11,Paramètres!$A$1:$I$89,3,0)*VLOOKUP('Données projet'!$B$11,Paramètres!$A$1:$I$89,5,0)</f>
        <v>-4.6288732846733184E-13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430.21146937947236</v>
      </c>
      <c r="BJ189" s="62">
        <f t="shared" si="146"/>
        <v>231.36959598460686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8.8675733422860506E-14</v>
      </c>
      <c r="CA189" s="14">
        <f t="shared" si="170"/>
        <v>1.3509285393066301E-12</v>
      </c>
      <c r="CB189" s="22">
        <f t="shared" si="171"/>
        <v>2.5073107750038623E-12</v>
      </c>
      <c r="CC189" s="62">
        <f t="shared" si="119"/>
        <v>293.33333333333582</v>
      </c>
      <c r="CD189" s="62">
        <f ca="1">AVERAGE(OFFSET($CC$3,0,0,'Données projet'!$E$12+1,1))-AVERAGE(OFFSET($H$3,0,0,'Données projet'!$E$12+1,1))</f>
        <v>299.07024205218266</v>
      </c>
      <c r="CE189" s="62">
        <f t="shared" si="148"/>
        <v>328.70296497136366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2.8421709430404007E-13</v>
      </c>
      <c r="CU189" s="18">
        <f>CT189*VLOOKUP('Données projet'!$B$13,Paramètres!$A$1:$I$89,3,0)*VLOOKUP('Données projet'!$B$13,Paramètres!$A$1:$I$89,5,0)</f>
        <v>2.7046098693972454E-13</v>
      </c>
      <c r="CV189" s="14">
        <f t="shared" si="173"/>
        <v>3.6187594451142911E-12</v>
      </c>
      <c r="CW189" s="22">
        <f t="shared" si="174"/>
        <v>6.7737255858274096E-12</v>
      </c>
      <c r="CX189" s="62">
        <f t="shared" si="122"/>
        <v>293.33333333334008</v>
      </c>
      <c r="CY189" s="62">
        <f ca="1">AVERAGE(OFFSET($CX$3,0,0,'Données projet'!$E$13+1,1))-AVERAGE(OFFSET($H$3,0,0,'Données projet'!$E$13+1,1))</f>
        <v>300.36889324671682</v>
      </c>
      <c r="CZ189" s="62">
        <f t="shared" si="150"/>
        <v>214.36051699039683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projet'!$B$9,Paramètres!$A$1:$I$89,3,0)*VLOOKUP('Données projet'!$B$9,Paramètres!$A$1:$I$89,5,0)</f>
        <v>-5.1875304052373401E-13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477.00263959594946</v>
      </c>
      <c r="T190" s="62">
        <f t="shared" si="142"/>
        <v>254.25036207346591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-6.2527760746888816E-13</v>
      </c>
      <c r="AJ190" s="14">
        <f>AI190*VLOOKUP('Données projet'!$B$10,Paramètres!$A$1:$I$89,3,0)*VLOOKUP('Données projet'!$B$10,Paramètres!$A$1:$I$89,5,0)</f>
        <v>-2.9262992029543964E-13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245.47494516762282</v>
      </c>
      <c r="AO190" s="62">
        <f t="shared" si="144"/>
        <v>145.54897745089966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-5.1159076974727213E-13</v>
      </c>
      <c r="BE190" s="14">
        <f>BD190*VLOOKUP('Données projet'!$B$11,Paramètres!$A$1:$I$89,3,0)*VLOOKUP('Données projet'!$B$11,Paramètres!$A$1:$I$89,5,0)</f>
        <v>-4.6288732846733184E-13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430.21146937947236</v>
      </c>
      <c r="BJ190" s="62">
        <f t="shared" si="146"/>
        <v>231.36959598460686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8.8675733422860506E-14</v>
      </c>
      <c r="CA190" s="14">
        <f t="shared" si="170"/>
        <v>1.3509285393066301E-12</v>
      </c>
      <c r="CB190" s="22">
        <f t="shared" si="171"/>
        <v>2.5073107750038623E-12</v>
      </c>
      <c r="CC190" s="62">
        <f t="shared" si="119"/>
        <v>293.33333333333582</v>
      </c>
      <c r="CD190" s="62">
        <f ca="1">AVERAGE(OFFSET($CC$3,0,0,'Données projet'!$E$12+1,1))-AVERAGE(OFFSET($H$3,0,0,'Données projet'!$E$12+1,1))</f>
        <v>299.07024205218266</v>
      </c>
      <c r="CE190" s="62">
        <f t="shared" si="148"/>
        <v>328.70296497136366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2.8421709430404007E-13</v>
      </c>
      <c r="CU190" s="18">
        <f>CT190*VLOOKUP('Données projet'!$B$13,Paramètres!$A$1:$I$89,3,0)*VLOOKUP('Données projet'!$B$13,Paramètres!$A$1:$I$89,5,0)</f>
        <v>2.7046098693972454E-13</v>
      </c>
      <c r="CV190" s="14">
        <f t="shared" si="173"/>
        <v>3.6187594451142911E-12</v>
      </c>
      <c r="CW190" s="22">
        <f t="shared" si="174"/>
        <v>6.7737255858274096E-12</v>
      </c>
      <c r="CX190" s="62">
        <f t="shared" si="122"/>
        <v>293.33333333334008</v>
      </c>
      <c r="CY190" s="62">
        <f ca="1">AVERAGE(OFFSET($CX$3,0,0,'Données projet'!$E$13+1,1))-AVERAGE(OFFSET($H$3,0,0,'Données projet'!$E$13+1,1))</f>
        <v>300.36889324671682</v>
      </c>
      <c r="CZ190" s="62">
        <f t="shared" si="150"/>
        <v>214.36051699039683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projet'!$B$9,Paramètres!$A$1:$I$89,3,0)*VLOOKUP('Données projet'!$B$9,Paramètres!$A$1:$I$89,5,0)</f>
        <v>-5.1875304052373401E-13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477.00263959594946</v>
      </c>
      <c r="T191" s="62">
        <f t="shared" si="142"/>
        <v>254.25036207346591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-6.2527760746888816E-13</v>
      </c>
      <c r="AJ191" s="14">
        <f>AI191*VLOOKUP('Données projet'!$B$10,Paramètres!$A$1:$I$89,3,0)*VLOOKUP('Données projet'!$B$10,Paramètres!$A$1:$I$89,5,0)</f>
        <v>-2.9262992029543964E-13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245.47494516762282</v>
      </c>
      <c r="AO191" s="62">
        <f t="shared" si="144"/>
        <v>145.54897745089966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-5.1159076974727213E-13</v>
      </c>
      <c r="BE191" s="14">
        <f>BD191*VLOOKUP('Données projet'!$B$11,Paramètres!$A$1:$I$89,3,0)*VLOOKUP('Données projet'!$B$11,Paramètres!$A$1:$I$89,5,0)</f>
        <v>-4.6288732846733184E-13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430.21146937947236</v>
      </c>
      <c r="BJ191" s="62">
        <f t="shared" si="146"/>
        <v>231.36959598460686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8.8675733422860506E-14</v>
      </c>
      <c r="CA191" s="14">
        <f t="shared" si="170"/>
        <v>1.3509285393066301E-12</v>
      </c>
      <c r="CB191" s="22">
        <f t="shared" si="171"/>
        <v>2.5073107750038623E-12</v>
      </c>
      <c r="CC191" s="62">
        <f t="shared" si="119"/>
        <v>293.33333333333582</v>
      </c>
      <c r="CD191" s="62">
        <f ca="1">AVERAGE(OFFSET($CC$3,0,0,'Données projet'!$E$12+1,1))-AVERAGE(OFFSET($H$3,0,0,'Données projet'!$E$12+1,1))</f>
        <v>299.07024205218266</v>
      </c>
      <c r="CE191" s="62">
        <f t="shared" si="148"/>
        <v>328.70296497136366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2.8421709430404007E-13</v>
      </c>
      <c r="CU191" s="18">
        <f>CT191*VLOOKUP('Données projet'!$B$13,Paramètres!$A$1:$I$89,3,0)*VLOOKUP('Données projet'!$B$13,Paramètres!$A$1:$I$89,5,0)</f>
        <v>2.7046098693972454E-13</v>
      </c>
      <c r="CV191" s="14">
        <f t="shared" si="173"/>
        <v>3.6187594451142911E-12</v>
      </c>
      <c r="CW191" s="22">
        <f t="shared" si="174"/>
        <v>6.7737255858274096E-12</v>
      </c>
      <c r="CX191" s="62">
        <f t="shared" si="122"/>
        <v>293.33333333334008</v>
      </c>
      <c r="CY191" s="62">
        <f ca="1">AVERAGE(OFFSET($CX$3,0,0,'Données projet'!$E$13+1,1))-AVERAGE(OFFSET($H$3,0,0,'Données projet'!$E$13+1,1))</f>
        <v>300.36889324671682</v>
      </c>
      <c r="CZ191" s="62">
        <f t="shared" si="150"/>
        <v>214.36051699039683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projet'!$B$9,Paramètres!$A$1:$I$89,3,0)*VLOOKUP('Données projet'!$B$9,Paramètres!$A$1:$I$89,5,0)</f>
        <v>-5.1875304052373401E-13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477.00263959594946</v>
      </c>
      <c r="T192" s="62">
        <f t="shared" si="142"/>
        <v>254.25036207346591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-6.2527760746888816E-13</v>
      </c>
      <c r="AJ192" s="14">
        <f>AI192*VLOOKUP('Données projet'!$B$10,Paramètres!$A$1:$I$89,3,0)*VLOOKUP('Données projet'!$B$10,Paramètres!$A$1:$I$89,5,0)</f>
        <v>-2.9262992029543964E-13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245.47494516762282</v>
      </c>
      <c r="AO192" s="62">
        <f t="shared" si="144"/>
        <v>145.54897745089966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-5.1159076974727213E-13</v>
      </c>
      <c r="BE192" s="14">
        <f>BD192*VLOOKUP('Données projet'!$B$11,Paramètres!$A$1:$I$89,3,0)*VLOOKUP('Données projet'!$B$11,Paramètres!$A$1:$I$89,5,0)</f>
        <v>-4.6288732846733184E-13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430.21146937947236</v>
      </c>
      <c r="BJ192" s="62">
        <f t="shared" si="146"/>
        <v>231.36959598460686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8.8675733422860506E-14</v>
      </c>
      <c r="CA192" s="14">
        <f t="shared" si="170"/>
        <v>1.3509285393066301E-12</v>
      </c>
      <c r="CB192" s="22">
        <f t="shared" si="171"/>
        <v>2.5073107750038623E-12</v>
      </c>
      <c r="CC192" s="62">
        <f t="shared" si="119"/>
        <v>293.33333333333582</v>
      </c>
      <c r="CD192" s="62">
        <f ca="1">AVERAGE(OFFSET($CC$3,0,0,'Données projet'!$E$12+1,1))-AVERAGE(OFFSET($H$3,0,0,'Données projet'!$E$12+1,1))</f>
        <v>299.07024205218266</v>
      </c>
      <c r="CE192" s="62">
        <f t="shared" si="148"/>
        <v>328.70296497136366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2.8421709430404007E-13</v>
      </c>
      <c r="CU192" s="18">
        <f>CT192*VLOOKUP('Données projet'!$B$13,Paramètres!$A$1:$I$89,3,0)*VLOOKUP('Données projet'!$B$13,Paramètres!$A$1:$I$89,5,0)</f>
        <v>2.7046098693972454E-13</v>
      </c>
      <c r="CV192" s="14">
        <f t="shared" si="173"/>
        <v>3.6187594451142911E-12</v>
      </c>
      <c r="CW192" s="22">
        <f t="shared" si="174"/>
        <v>6.7737255858274096E-12</v>
      </c>
      <c r="CX192" s="62">
        <f t="shared" si="122"/>
        <v>293.33333333334008</v>
      </c>
      <c r="CY192" s="62">
        <f ca="1">AVERAGE(OFFSET($CX$3,0,0,'Données projet'!$E$13+1,1))-AVERAGE(OFFSET($H$3,0,0,'Données projet'!$E$13+1,1))</f>
        <v>300.36889324671682</v>
      </c>
      <c r="CZ192" s="62">
        <f t="shared" si="150"/>
        <v>214.36051699039683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projet'!$B$9,Paramètres!$A$1:$I$89,3,0)*VLOOKUP('Données projet'!$B$9,Paramètres!$A$1:$I$89,5,0)</f>
        <v>-5.1875304052373401E-13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477.00263959594946</v>
      </c>
      <c r="T193" s="62">
        <f t="shared" si="142"/>
        <v>254.25036207346591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-6.2527760746888816E-13</v>
      </c>
      <c r="AJ193" s="14">
        <f>AI193*VLOOKUP('Données projet'!$B$10,Paramètres!$A$1:$I$89,3,0)*VLOOKUP('Données projet'!$B$10,Paramètres!$A$1:$I$89,5,0)</f>
        <v>-2.9262992029543964E-13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245.47494516762282</v>
      </c>
      <c r="AO193" s="62">
        <f t="shared" si="144"/>
        <v>145.54897745089966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-5.1159076974727213E-13</v>
      </c>
      <c r="BE193" s="14">
        <f>BD193*VLOOKUP('Données projet'!$B$11,Paramètres!$A$1:$I$89,3,0)*VLOOKUP('Données projet'!$B$11,Paramètres!$A$1:$I$89,5,0)</f>
        <v>-4.6288732846733184E-13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430.21146937947236</v>
      </c>
      <c r="BJ193" s="62">
        <f t="shared" si="146"/>
        <v>231.36959598460686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8.8675733422860506E-14</v>
      </c>
      <c r="CA193" s="14">
        <f t="shared" si="170"/>
        <v>1.3509285393066301E-12</v>
      </c>
      <c r="CB193" s="22">
        <f t="shared" si="171"/>
        <v>2.5073107750038623E-12</v>
      </c>
      <c r="CC193" s="62">
        <f t="shared" si="119"/>
        <v>293.33333333333582</v>
      </c>
      <c r="CD193" s="62">
        <f ca="1">AVERAGE(OFFSET($CC$3,0,0,'Données projet'!$E$12+1,1))-AVERAGE(OFFSET($H$3,0,0,'Données projet'!$E$12+1,1))</f>
        <v>299.07024205218266</v>
      </c>
      <c r="CE193" s="62">
        <f t="shared" si="148"/>
        <v>328.70296497136366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2.8421709430404007E-13</v>
      </c>
      <c r="CU193" s="18">
        <f>CT193*VLOOKUP('Données projet'!$B$13,Paramètres!$A$1:$I$89,3,0)*VLOOKUP('Données projet'!$B$13,Paramètres!$A$1:$I$89,5,0)</f>
        <v>2.7046098693972454E-13</v>
      </c>
      <c r="CV193" s="14">
        <f t="shared" si="173"/>
        <v>3.6187594451142911E-12</v>
      </c>
      <c r="CW193" s="22">
        <f t="shared" si="174"/>
        <v>6.7737255858274096E-12</v>
      </c>
      <c r="CX193" s="62">
        <f t="shared" si="122"/>
        <v>293.33333333334008</v>
      </c>
      <c r="CY193" s="62">
        <f ca="1">AVERAGE(OFFSET($CX$3,0,0,'Données projet'!$E$13+1,1))-AVERAGE(OFFSET($H$3,0,0,'Données projet'!$E$13+1,1))</f>
        <v>300.36889324671682</v>
      </c>
      <c r="CZ193" s="62">
        <f t="shared" si="150"/>
        <v>214.36051699039683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projet'!$B$9,Paramètres!$A$1:$I$89,3,0)*VLOOKUP('Données projet'!$B$9,Paramètres!$A$1:$I$89,5,0)</f>
        <v>-5.1875304052373401E-13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477.00263959594946</v>
      </c>
      <c r="T194" s="62">
        <f t="shared" si="142"/>
        <v>254.25036207346591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-6.2527760746888816E-13</v>
      </c>
      <c r="AJ194" s="14">
        <f>AI194*VLOOKUP('Données projet'!$B$10,Paramètres!$A$1:$I$89,3,0)*VLOOKUP('Données projet'!$B$10,Paramètres!$A$1:$I$89,5,0)</f>
        <v>-2.9262992029543964E-13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245.47494516762282</v>
      </c>
      <c r="AO194" s="62">
        <f t="shared" si="144"/>
        <v>145.54897745089966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-5.1159076974727213E-13</v>
      </c>
      <c r="BE194" s="14">
        <f>BD194*VLOOKUP('Données projet'!$B$11,Paramètres!$A$1:$I$89,3,0)*VLOOKUP('Données projet'!$B$11,Paramètres!$A$1:$I$89,5,0)</f>
        <v>-4.6288732846733184E-13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430.21146937947236</v>
      </c>
      <c r="BJ194" s="62">
        <f t="shared" si="146"/>
        <v>231.36959598460686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8.8675733422860506E-14</v>
      </c>
      <c r="CA194" s="14">
        <f t="shared" si="170"/>
        <v>1.3509285393066301E-12</v>
      </c>
      <c r="CB194" s="22">
        <f t="shared" si="171"/>
        <v>2.5073107750038623E-12</v>
      </c>
      <c r="CC194" s="62">
        <f t="shared" si="119"/>
        <v>293.33333333333582</v>
      </c>
      <c r="CD194" s="62">
        <f ca="1">AVERAGE(OFFSET($CC$3,0,0,'Données projet'!$E$12+1,1))-AVERAGE(OFFSET($H$3,0,0,'Données projet'!$E$12+1,1))</f>
        <v>299.07024205218266</v>
      </c>
      <c r="CE194" s="62">
        <f t="shared" si="148"/>
        <v>328.70296497136366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2.8421709430404007E-13</v>
      </c>
      <c r="CU194" s="18">
        <f>CT194*VLOOKUP('Données projet'!$B$13,Paramètres!$A$1:$I$89,3,0)*VLOOKUP('Données projet'!$B$13,Paramètres!$A$1:$I$89,5,0)</f>
        <v>2.7046098693972454E-13</v>
      </c>
      <c r="CV194" s="14">
        <f t="shared" si="173"/>
        <v>3.6187594451142911E-12</v>
      </c>
      <c r="CW194" s="22">
        <f t="shared" si="174"/>
        <v>6.7737255858274096E-12</v>
      </c>
      <c r="CX194" s="62">
        <f t="shared" si="122"/>
        <v>293.33333333334008</v>
      </c>
      <c r="CY194" s="62">
        <f ca="1">AVERAGE(OFFSET($CX$3,0,0,'Données projet'!$E$13+1,1))-AVERAGE(OFFSET($H$3,0,0,'Données projet'!$E$13+1,1))</f>
        <v>300.36889324671682</v>
      </c>
      <c r="CZ194" s="62">
        <f t="shared" si="150"/>
        <v>214.36051699039683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projet'!$B$9,Paramètres!$A$1:$I$89,3,0)*VLOOKUP('Données projet'!$B$9,Paramètres!$A$1:$I$89,5,0)</f>
        <v>-5.1875304052373401E-13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477.00263959594946</v>
      </c>
      <c r="T195" s="62">
        <f t="shared" si="142"/>
        <v>254.25036207346591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-6.2527760746888816E-13</v>
      </c>
      <c r="AJ195" s="14">
        <f>AI195*VLOOKUP('Données projet'!$B$10,Paramètres!$A$1:$I$89,3,0)*VLOOKUP('Données projet'!$B$10,Paramètres!$A$1:$I$89,5,0)</f>
        <v>-2.9262992029543964E-13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245.47494516762282</v>
      </c>
      <c r="AO195" s="62">
        <f t="shared" si="144"/>
        <v>145.54897745089966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-5.1159076974727213E-13</v>
      </c>
      <c r="BE195" s="14">
        <f>BD195*VLOOKUP('Données projet'!$B$11,Paramètres!$A$1:$I$89,3,0)*VLOOKUP('Données projet'!$B$11,Paramètres!$A$1:$I$89,5,0)</f>
        <v>-4.6288732846733184E-13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430.21146937947236</v>
      </c>
      <c r="BJ195" s="62">
        <f t="shared" si="146"/>
        <v>231.36959598460686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8.8675733422860506E-14</v>
      </c>
      <c r="CA195" s="14">
        <f t="shared" si="170"/>
        <v>1.3509285393066301E-12</v>
      </c>
      <c r="CB195" s="22">
        <f t="shared" si="171"/>
        <v>2.5073107750038623E-12</v>
      </c>
      <c r="CC195" s="62">
        <f t="shared" si="119"/>
        <v>293.33333333333582</v>
      </c>
      <c r="CD195" s="62">
        <f ca="1">AVERAGE(OFFSET($CC$3,0,0,'Données projet'!$E$12+1,1))-AVERAGE(OFFSET($H$3,0,0,'Données projet'!$E$12+1,1))</f>
        <v>299.07024205218266</v>
      </c>
      <c r="CE195" s="62">
        <f t="shared" si="148"/>
        <v>328.70296497136366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2.8421709430404007E-13</v>
      </c>
      <c r="CU195" s="18">
        <f>CT195*VLOOKUP('Données projet'!$B$13,Paramètres!$A$1:$I$89,3,0)*VLOOKUP('Données projet'!$B$13,Paramètres!$A$1:$I$89,5,0)</f>
        <v>2.7046098693972454E-13</v>
      </c>
      <c r="CV195" s="14">
        <f t="shared" si="173"/>
        <v>3.6187594451142911E-12</v>
      </c>
      <c r="CW195" s="22">
        <f t="shared" si="174"/>
        <v>6.7737255858274096E-12</v>
      </c>
      <c r="CX195" s="62">
        <f t="shared" si="122"/>
        <v>293.33333333334008</v>
      </c>
      <c r="CY195" s="62">
        <f ca="1">AVERAGE(OFFSET($CX$3,0,0,'Données projet'!$E$13+1,1))-AVERAGE(OFFSET($H$3,0,0,'Données projet'!$E$13+1,1))</f>
        <v>300.36889324671682</v>
      </c>
      <c r="CZ195" s="62">
        <f t="shared" si="150"/>
        <v>214.36051699039683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projet'!$B$9,Paramètres!$A$1:$I$89,3,0)*VLOOKUP('Données projet'!$B$9,Paramètres!$A$1:$I$89,5,0)</f>
        <v>-5.1875304052373401E-13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477.00263959594946</v>
      </c>
      <c r="T196" s="62">
        <f t="shared" si="142"/>
        <v>254.25036207346591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-6.2527760746888816E-13</v>
      </c>
      <c r="AJ196" s="14">
        <f>AI196*VLOOKUP('Données projet'!$B$10,Paramètres!$A$1:$I$89,3,0)*VLOOKUP('Données projet'!$B$10,Paramètres!$A$1:$I$89,5,0)</f>
        <v>-2.9262992029543964E-13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245.47494516762282</v>
      </c>
      <c r="AO196" s="62">
        <f t="shared" si="144"/>
        <v>145.54897745089966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-5.1159076974727213E-13</v>
      </c>
      <c r="BE196" s="14">
        <f>BD196*VLOOKUP('Données projet'!$B$11,Paramètres!$A$1:$I$89,3,0)*VLOOKUP('Données projet'!$B$11,Paramètres!$A$1:$I$89,5,0)</f>
        <v>-4.6288732846733184E-13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430.21146937947236</v>
      </c>
      <c r="BJ196" s="62">
        <f t="shared" si="146"/>
        <v>231.36959598460686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8.8675733422860506E-14</v>
      </c>
      <c r="CA196" s="14">
        <f t="shared" si="170"/>
        <v>1.3509285393066301E-12</v>
      </c>
      <c r="CB196" s="22">
        <f t="shared" si="171"/>
        <v>2.5073107750038623E-12</v>
      </c>
      <c r="CC196" s="62">
        <f t="shared" ref="CC196:CC203" si="195">CB196+(BT196+BU196)*44/12</f>
        <v>293.33333333333582</v>
      </c>
      <c r="CD196" s="62">
        <f ca="1">AVERAGE(OFFSET($CC$3,0,0,'Données projet'!$E$12+1,1))-AVERAGE(OFFSET($H$3,0,0,'Données projet'!$E$12+1,1))</f>
        <v>299.07024205218266</v>
      </c>
      <c r="CE196" s="62">
        <f t="shared" si="148"/>
        <v>328.70296497136366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2.8421709430404007E-13</v>
      </c>
      <c r="CU196" s="18">
        <f>CT196*VLOOKUP('Données projet'!$B$13,Paramètres!$A$1:$I$89,3,0)*VLOOKUP('Données projet'!$B$13,Paramètres!$A$1:$I$89,5,0)</f>
        <v>2.7046098693972454E-13</v>
      </c>
      <c r="CV196" s="14">
        <f t="shared" si="173"/>
        <v>3.6187594451142911E-12</v>
      </c>
      <c r="CW196" s="22">
        <f t="shared" si="174"/>
        <v>6.7737255858274096E-12</v>
      </c>
      <c r="CX196" s="62">
        <f t="shared" ref="CX196:CX203" si="196">CW196+(CO196+CP196)*44/12</f>
        <v>293.33333333334008</v>
      </c>
      <c r="CY196" s="62">
        <f ca="1">AVERAGE(OFFSET($CX$3,0,0,'Données projet'!$E$13+1,1))-AVERAGE(OFFSET($H$3,0,0,'Données projet'!$E$13+1,1))</f>
        <v>300.36889324671682</v>
      </c>
      <c r="CZ196" s="62">
        <f t="shared" si="150"/>
        <v>214.36051699039683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projet'!$B$9,Paramètres!$A$1:$I$89,3,0)*VLOOKUP('Données projet'!$B$9,Paramètres!$A$1:$I$89,5,0)</f>
        <v>-5.1875304052373401E-13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477.00263959594946</v>
      </c>
      <c r="T197" s="62">
        <f t="shared" ref="T197:T203" si="204">$T$3</f>
        <v>254.25036207346591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-6.2527760746888816E-13</v>
      </c>
      <c r="AJ197" s="14">
        <f>AI197*VLOOKUP('Données projet'!$B$10,Paramètres!$A$1:$I$89,3,0)*VLOOKUP('Données projet'!$B$10,Paramètres!$A$1:$I$89,5,0)</f>
        <v>-2.9262992029543964E-13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245.47494516762282</v>
      </c>
      <c r="AO197" s="62">
        <f t="shared" ref="AO197:AO203" si="205">$AO$3</f>
        <v>145.54897745089966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-5.1159076974727213E-13</v>
      </c>
      <c r="BE197" s="14">
        <f>BD197*VLOOKUP('Données projet'!$B$11,Paramètres!$A$1:$I$89,3,0)*VLOOKUP('Données projet'!$B$11,Paramètres!$A$1:$I$89,5,0)</f>
        <v>-4.6288732846733184E-13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430.21146937947236</v>
      </c>
      <c r="BJ197" s="62">
        <f t="shared" ref="BJ197:BJ203" si="206">$BJ$3</f>
        <v>231.36959598460686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8.8675733422860506E-14</v>
      </c>
      <c r="CA197" s="14">
        <f t="shared" si="170"/>
        <v>1.3509285393066301E-12</v>
      </c>
      <c r="CB197" s="22">
        <f t="shared" si="171"/>
        <v>2.5073107750038623E-12</v>
      </c>
      <c r="CC197" s="62">
        <f t="shared" si="195"/>
        <v>293.33333333333582</v>
      </c>
      <c r="CD197" s="62">
        <f ca="1">AVERAGE(OFFSET($CC$3,0,0,'Données projet'!$E$12+1,1))-AVERAGE(OFFSET($H$3,0,0,'Données projet'!$E$12+1,1))</f>
        <v>299.07024205218266</v>
      </c>
      <c r="CE197" s="62">
        <f t="shared" ref="CE197:CE203" si="207">$CE$3</f>
        <v>328.70296497136366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2.8421709430404007E-13</v>
      </c>
      <c r="CU197" s="18">
        <f>CT197*VLOOKUP('Données projet'!$B$13,Paramètres!$A$1:$I$89,3,0)*VLOOKUP('Données projet'!$B$13,Paramètres!$A$1:$I$89,5,0)</f>
        <v>2.7046098693972454E-13</v>
      </c>
      <c r="CV197" s="14">
        <f t="shared" si="173"/>
        <v>3.6187594451142911E-12</v>
      </c>
      <c r="CW197" s="22">
        <f t="shared" si="174"/>
        <v>6.7737255858274096E-12</v>
      </c>
      <c r="CX197" s="62">
        <f t="shared" si="196"/>
        <v>293.33333333334008</v>
      </c>
      <c r="CY197" s="62">
        <f ca="1">AVERAGE(OFFSET($CX$3,0,0,'Données projet'!$E$13+1,1))-AVERAGE(OFFSET($H$3,0,0,'Données projet'!$E$13+1,1))</f>
        <v>300.36889324671682</v>
      </c>
      <c r="CZ197" s="62">
        <f t="shared" ref="CZ197:CZ203" si="208">$CZ$3</f>
        <v>214.36051699039683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projet'!$B$9,Paramètres!$A$1:$I$89,3,0)*VLOOKUP('Données projet'!$B$9,Paramètres!$A$1:$I$89,5,0)</f>
        <v>-5.1875304052373401E-13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477.00263959594946</v>
      </c>
      <c r="T198" s="62">
        <f t="shared" si="204"/>
        <v>254.25036207346591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-6.2527760746888816E-13</v>
      </c>
      <c r="AJ198" s="14">
        <f>AI198*VLOOKUP('Données projet'!$B$10,Paramètres!$A$1:$I$89,3,0)*VLOOKUP('Données projet'!$B$10,Paramètres!$A$1:$I$89,5,0)</f>
        <v>-2.9262992029543964E-13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245.47494516762282</v>
      </c>
      <c r="AO198" s="62">
        <f t="shared" si="205"/>
        <v>145.54897745089966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-5.1159076974727213E-13</v>
      </c>
      <c r="BE198" s="14">
        <f>BD198*VLOOKUP('Données projet'!$B$11,Paramètres!$A$1:$I$89,3,0)*VLOOKUP('Données projet'!$B$11,Paramètres!$A$1:$I$89,5,0)</f>
        <v>-4.6288732846733184E-13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430.21146937947236</v>
      </c>
      <c r="BJ198" s="62">
        <f t="shared" si="206"/>
        <v>231.36959598460686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8.8675733422860506E-14</v>
      </c>
      <c r="CA198" s="14">
        <f t="shared" si="170"/>
        <v>1.3509285393066301E-12</v>
      </c>
      <c r="CB198" s="22">
        <f t="shared" si="171"/>
        <v>2.5073107750038623E-12</v>
      </c>
      <c r="CC198" s="62">
        <f t="shared" si="195"/>
        <v>293.33333333333582</v>
      </c>
      <c r="CD198" s="62">
        <f ca="1">AVERAGE(OFFSET($CC$3,0,0,'Données projet'!$E$12+1,1))-AVERAGE(OFFSET($H$3,0,0,'Données projet'!$E$12+1,1))</f>
        <v>299.07024205218266</v>
      </c>
      <c r="CE198" s="62">
        <f t="shared" si="207"/>
        <v>328.70296497136366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2.8421709430404007E-13</v>
      </c>
      <c r="CU198" s="18">
        <f>CT198*VLOOKUP('Données projet'!$B$13,Paramètres!$A$1:$I$89,3,0)*VLOOKUP('Données projet'!$B$13,Paramètres!$A$1:$I$89,5,0)</f>
        <v>2.7046098693972454E-13</v>
      </c>
      <c r="CV198" s="14">
        <f t="shared" si="173"/>
        <v>3.6187594451142911E-12</v>
      </c>
      <c r="CW198" s="22">
        <f t="shared" si="174"/>
        <v>6.7737255858274096E-12</v>
      </c>
      <c r="CX198" s="62">
        <f t="shared" si="196"/>
        <v>293.33333333334008</v>
      </c>
      <c r="CY198" s="62">
        <f ca="1">AVERAGE(OFFSET($CX$3,0,0,'Données projet'!$E$13+1,1))-AVERAGE(OFFSET($H$3,0,0,'Données projet'!$E$13+1,1))</f>
        <v>300.36889324671682</v>
      </c>
      <c r="CZ198" s="62">
        <f t="shared" si="208"/>
        <v>214.36051699039683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projet'!$B$9,Paramètres!$A$1:$I$89,3,0)*VLOOKUP('Données projet'!$B$9,Paramètres!$A$1:$I$89,5,0)</f>
        <v>-5.1875304052373401E-13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477.00263959594946</v>
      </c>
      <c r="T199" s="62">
        <f t="shared" si="204"/>
        <v>254.25036207346591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-6.2527760746888816E-13</v>
      </c>
      <c r="AJ199" s="14">
        <f>AI199*VLOOKUP('Données projet'!$B$10,Paramètres!$A$1:$I$89,3,0)*VLOOKUP('Données projet'!$B$10,Paramètres!$A$1:$I$89,5,0)</f>
        <v>-2.9262992029543964E-13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245.47494516762282</v>
      </c>
      <c r="AO199" s="62">
        <f t="shared" si="205"/>
        <v>145.54897745089966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-5.1159076974727213E-13</v>
      </c>
      <c r="BE199" s="14">
        <f>BD199*VLOOKUP('Données projet'!$B$11,Paramètres!$A$1:$I$89,3,0)*VLOOKUP('Données projet'!$B$11,Paramètres!$A$1:$I$89,5,0)</f>
        <v>-4.6288732846733184E-13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430.21146937947236</v>
      </c>
      <c r="BJ199" s="62">
        <f t="shared" si="206"/>
        <v>231.36959598460686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8.8675733422860506E-14</v>
      </c>
      <c r="CA199" s="14">
        <f t="shared" si="170"/>
        <v>1.3509285393066301E-12</v>
      </c>
      <c r="CB199" s="22">
        <f t="shared" si="171"/>
        <v>2.5073107750038623E-12</v>
      </c>
      <c r="CC199" s="62">
        <f t="shared" si="195"/>
        <v>293.33333333333582</v>
      </c>
      <c r="CD199" s="62">
        <f ca="1">AVERAGE(OFFSET($CC$3,0,0,'Données projet'!$E$12+1,1))-AVERAGE(OFFSET($H$3,0,0,'Données projet'!$E$12+1,1))</f>
        <v>299.07024205218266</v>
      </c>
      <c r="CE199" s="62">
        <f t="shared" si="207"/>
        <v>328.70296497136366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2.8421709430404007E-13</v>
      </c>
      <c r="CU199" s="18">
        <f>CT199*VLOOKUP('Données projet'!$B$13,Paramètres!$A$1:$I$89,3,0)*VLOOKUP('Données projet'!$B$13,Paramètres!$A$1:$I$89,5,0)</f>
        <v>2.7046098693972454E-13</v>
      </c>
      <c r="CV199" s="14">
        <f t="shared" si="173"/>
        <v>3.6187594451142911E-12</v>
      </c>
      <c r="CW199" s="22">
        <f t="shared" si="174"/>
        <v>6.7737255858274096E-12</v>
      </c>
      <c r="CX199" s="62">
        <f t="shared" si="196"/>
        <v>293.33333333334008</v>
      </c>
      <c r="CY199" s="62">
        <f ca="1">AVERAGE(OFFSET($CX$3,0,0,'Données projet'!$E$13+1,1))-AVERAGE(OFFSET($H$3,0,0,'Données projet'!$E$13+1,1))</f>
        <v>300.36889324671682</v>
      </c>
      <c r="CZ199" s="62">
        <f t="shared" si="208"/>
        <v>214.36051699039683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projet'!$B$9,Paramètres!$A$1:$I$89,3,0)*VLOOKUP('Données projet'!$B$9,Paramètres!$A$1:$I$89,5,0)</f>
        <v>-5.1875304052373401E-13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477.00263959594946</v>
      </c>
      <c r="T200" s="62">
        <f t="shared" si="204"/>
        <v>254.25036207346591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-6.2527760746888816E-13</v>
      </c>
      <c r="AJ200" s="14">
        <f>AI200*VLOOKUP('Données projet'!$B$10,Paramètres!$A$1:$I$89,3,0)*VLOOKUP('Données projet'!$B$10,Paramètres!$A$1:$I$89,5,0)</f>
        <v>-2.9262992029543964E-13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245.47494516762282</v>
      </c>
      <c r="AO200" s="62">
        <f t="shared" si="205"/>
        <v>145.54897745089966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-5.1159076974727213E-13</v>
      </c>
      <c r="BE200" s="14">
        <f>BD200*VLOOKUP('Données projet'!$B$11,Paramètres!$A$1:$I$89,3,0)*VLOOKUP('Données projet'!$B$11,Paramètres!$A$1:$I$89,5,0)</f>
        <v>-4.6288732846733184E-13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430.21146937947236</v>
      </c>
      <c r="BJ200" s="62">
        <f t="shared" si="206"/>
        <v>231.36959598460686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8.8675733422860506E-14</v>
      </c>
      <c r="CA200" s="14">
        <f t="shared" si="170"/>
        <v>1.3509285393066301E-12</v>
      </c>
      <c r="CB200" s="22">
        <f t="shared" si="171"/>
        <v>2.5073107750038623E-12</v>
      </c>
      <c r="CC200" s="62">
        <f t="shared" si="195"/>
        <v>293.33333333333582</v>
      </c>
      <c r="CD200" s="62">
        <f ca="1">AVERAGE(OFFSET($CC$3,0,0,'Données projet'!$E$12+1,1))-AVERAGE(OFFSET($H$3,0,0,'Données projet'!$E$12+1,1))</f>
        <v>299.07024205218266</v>
      </c>
      <c r="CE200" s="62">
        <f t="shared" si="207"/>
        <v>328.70296497136366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2.8421709430404007E-13</v>
      </c>
      <c r="CU200" s="18">
        <f>CT200*VLOOKUP('Données projet'!$B$13,Paramètres!$A$1:$I$89,3,0)*VLOOKUP('Données projet'!$B$13,Paramètres!$A$1:$I$89,5,0)</f>
        <v>2.7046098693972454E-13</v>
      </c>
      <c r="CV200" s="14">
        <f t="shared" si="173"/>
        <v>3.6187594451142911E-12</v>
      </c>
      <c r="CW200" s="22">
        <f t="shared" si="174"/>
        <v>6.7737255858274096E-12</v>
      </c>
      <c r="CX200" s="62">
        <f t="shared" si="196"/>
        <v>293.33333333334008</v>
      </c>
      <c r="CY200" s="62">
        <f ca="1">AVERAGE(OFFSET($CX$3,0,0,'Données projet'!$E$13+1,1))-AVERAGE(OFFSET($H$3,0,0,'Données projet'!$E$13+1,1))</f>
        <v>300.36889324671682</v>
      </c>
      <c r="CZ200" s="62">
        <f t="shared" si="208"/>
        <v>214.36051699039683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projet'!$B$9,Paramètres!$A$1:$I$89,3,0)*VLOOKUP('Données projet'!$B$9,Paramètres!$A$1:$I$89,5,0)</f>
        <v>-5.1875304052373401E-13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477.00263959594946</v>
      </c>
      <c r="T201" s="62">
        <f t="shared" si="204"/>
        <v>254.25036207346591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-6.2527760746888816E-13</v>
      </c>
      <c r="AJ201" s="14">
        <f>AI201*VLOOKUP('Données projet'!$B$10,Paramètres!$A$1:$I$89,3,0)*VLOOKUP('Données projet'!$B$10,Paramètres!$A$1:$I$89,5,0)</f>
        <v>-2.9262992029543964E-13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245.47494516762282</v>
      </c>
      <c r="AO201" s="62">
        <f t="shared" si="205"/>
        <v>145.54897745089966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-5.1159076974727213E-13</v>
      </c>
      <c r="BE201" s="14">
        <f>BD201*VLOOKUP('Données projet'!$B$11,Paramètres!$A$1:$I$89,3,0)*VLOOKUP('Données projet'!$B$11,Paramètres!$A$1:$I$89,5,0)</f>
        <v>-4.6288732846733184E-13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430.21146937947236</v>
      </c>
      <c r="BJ201" s="62">
        <f t="shared" si="206"/>
        <v>231.36959598460686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8.8675733422860506E-14</v>
      </c>
      <c r="CA201" s="14">
        <f t="shared" si="170"/>
        <v>1.3509285393066301E-12</v>
      </c>
      <c r="CB201" s="22">
        <f t="shared" si="171"/>
        <v>2.5073107750038623E-12</v>
      </c>
      <c r="CC201" s="62">
        <f t="shared" si="195"/>
        <v>293.33333333333582</v>
      </c>
      <c r="CD201" s="62">
        <f ca="1">AVERAGE(OFFSET($CC$3,0,0,'Données projet'!$E$12+1,1))-AVERAGE(OFFSET($H$3,0,0,'Données projet'!$E$12+1,1))</f>
        <v>299.07024205218266</v>
      </c>
      <c r="CE201" s="62">
        <f t="shared" si="207"/>
        <v>328.70296497136366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2.8421709430404007E-13</v>
      </c>
      <c r="CU201" s="18">
        <f>CT201*VLOOKUP('Données projet'!$B$13,Paramètres!$A$1:$I$89,3,0)*VLOOKUP('Données projet'!$B$13,Paramètres!$A$1:$I$89,5,0)</f>
        <v>2.7046098693972454E-13</v>
      </c>
      <c r="CV201" s="14">
        <f t="shared" si="173"/>
        <v>3.6187594451142911E-12</v>
      </c>
      <c r="CW201" s="22">
        <f t="shared" si="174"/>
        <v>6.7737255858274096E-12</v>
      </c>
      <c r="CX201" s="62">
        <f t="shared" si="196"/>
        <v>293.33333333334008</v>
      </c>
      <c r="CY201" s="62">
        <f ca="1">AVERAGE(OFFSET($CX$3,0,0,'Données projet'!$E$13+1,1))-AVERAGE(OFFSET($H$3,0,0,'Données projet'!$E$13+1,1))</f>
        <v>300.36889324671682</v>
      </c>
      <c r="CZ201" s="62">
        <f t="shared" si="208"/>
        <v>214.36051699039683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projet'!$B$9,Paramètres!$A$1:$I$89,3,0)*VLOOKUP('Données projet'!$B$9,Paramètres!$A$1:$I$89,5,0)</f>
        <v>-5.1875304052373401E-13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477.00263959594946</v>
      </c>
      <c r="T202" s="62">
        <f t="shared" si="204"/>
        <v>254.25036207346591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-6.2527760746888816E-13</v>
      </c>
      <c r="AJ202" s="14">
        <f>AI202*VLOOKUP('Données projet'!$B$10,Paramètres!$A$1:$I$89,3,0)*VLOOKUP('Données projet'!$B$10,Paramètres!$A$1:$I$89,5,0)</f>
        <v>-2.9262992029543964E-13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245.47494516762282</v>
      </c>
      <c r="AO202" s="62">
        <f t="shared" si="205"/>
        <v>145.54897745089966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-5.1159076974727213E-13</v>
      </c>
      <c r="BE202" s="14">
        <f>BD202*VLOOKUP('Données projet'!$B$11,Paramètres!$A$1:$I$89,3,0)*VLOOKUP('Données projet'!$B$11,Paramètres!$A$1:$I$89,5,0)</f>
        <v>-4.6288732846733184E-13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430.21146937947236</v>
      </c>
      <c r="BJ202" s="62">
        <f t="shared" si="206"/>
        <v>231.36959598460686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8.8675733422860506E-14</v>
      </c>
      <c r="CA202" s="14">
        <f t="shared" si="170"/>
        <v>1.3509285393066301E-12</v>
      </c>
      <c r="CB202" s="22">
        <f t="shared" si="171"/>
        <v>2.5073107750038623E-12</v>
      </c>
      <c r="CC202" s="62">
        <f t="shared" si="195"/>
        <v>293.33333333333582</v>
      </c>
      <c r="CD202" s="62">
        <f ca="1">AVERAGE(OFFSET($CC$3,0,0,'Données projet'!$E$12+1,1))-AVERAGE(OFFSET($H$3,0,0,'Données projet'!$E$12+1,1))</f>
        <v>299.07024205218266</v>
      </c>
      <c r="CE202" s="62">
        <f t="shared" si="207"/>
        <v>328.70296497136366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2.8421709430404007E-13</v>
      </c>
      <c r="CU202" s="18">
        <f>CT202*VLOOKUP('Données projet'!$B$13,Paramètres!$A$1:$I$89,3,0)*VLOOKUP('Données projet'!$B$13,Paramètres!$A$1:$I$89,5,0)</f>
        <v>2.7046098693972454E-13</v>
      </c>
      <c r="CV202" s="14">
        <f t="shared" si="173"/>
        <v>3.6187594451142911E-12</v>
      </c>
      <c r="CW202" s="22">
        <f t="shared" si="174"/>
        <v>6.7737255858274096E-12</v>
      </c>
      <c r="CX202" s="62">
        <f t="shared" si="196"/>
        <v>293.33333333334008</v>
      </c>
      <c r="CY202" s="62">
        <f ca="1">AVERAGE(OFFSET($CX$3,0,0,'Données projet'!$E$13+1,1))-AVERAGE(OFFSET($H$3,0,0,'Données projet'!$E$13+1,1))</f>
        <v>300.36889324671682</v>
      </c>
      <c r="CZ202" s="62">
        <f t="shared" si="208"/>
        <v>214.36051699039683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projet'!$B$9,Paramètres!$A$1:$I$89,3,0)*VLOOKUP('Données projet'!$B$9,Paramètres!$A$1:$I$89,5,0)</f>
        <v>-5.1875304052373401E-13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477.00263959594946</v>
      </c>
      <c r="T203" s="62">
        <f t="shared" si="204"/>
        <v>254.25036207346591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-6.2527760746888816E-13</v>
      </c>
      <c r="AJ203" s="14">
        <f>AI203*VLOOKUP('Données projet'!$B$10,Paramètres!$A$1:$I$89,3,0)*VLOOKUP('Données projet'!$B$10,Paramètres!$A$1:$I$89,5,0)</f>
        <v>-2.9262992029543964E-13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245.47494516762282</v>
      </c>
      <c r="AO203" s="62">
        <f t="shared" si="205"/>
        <v>145.54897745089966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-5.1159076974727213E-13</v>
      </c>
      <c r="BE203" s="14">
        <f>BD203*VLOOKUP('Données projet'!$B$11,Paramètres!$A$1:$I$89,3,0)*VLOOKUP('Données projet'!$B$11,Paramètres!$A$1:$I$89,5,0)</f>
        <v>-4.6288732846733184E-13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430.21146937947236</v>
      </c>
      <c r="BJ203" s="62">
        <f t="shared" si="206"/>
        <v>231.36959598460686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8.8675733422860506E-14</v>
      </c>
      <c r="CA203" s="14">
        <f t="shared" si="170"/>
        <v>1.3509285393066301E-12</v>
      </c>
      <c r="CB203" s="22">
        <f t="shared" si="171"/>
        <v>2.5073107750038623E-12</v>
      </c>
      <c r="CC203" s="62">
        <f t="shared" si="195"/>
        <v>293.33333333333582</v>
      </c>
      <c r="CD203" s="62">
        <f ca="1">AVERAGE(OFFSET($CC$3,0,0,'Données projet'!$E$12+1,1))-AVERAGE(OFFSET($H$3,0,0,'Données projet'!$E$12+1,1))</f>
        <v>299.07024205218266</v>
      </c>
      <c r="CE203" s="62">
        <f t="shared" si="207"/>
        <v>328.70296497136366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2.8421709430404007E-13</v>
      </c>
      <c r="CU203" s="18">
        <f>CT203*VLOOKUP('Données projet'!$B$13,Paramètres!$A$1:$I$89,3,0)*VLOOKUP('Données projet'!$B$13,Paramètres!$A$1:$I$89,5,0)</f>
        <v>2.7046098693972454E-13</v>
      </c>
      <c r="CV203" s="14">
        <f t="shared" si="173"/>
        <v>3.6187594451142911E-12</v>
      </c>
      <c r="CW203" s="22">
        <f t="shared" si="174"/>
        <v>6.7737255858274096E-12</v>
      </c>
      <c r="CX203" s="62">
        <f t="shared" si="196"/>
        <v>293.33333333334008</v>
      </c>
      <c r="CY203" s="62">
        <f ca="1">AVERAGE(OFFSET($CX$3,0,0,'Données projet'!$E$13+1,1))-AVERAGE(OFFSET($H$3,0,0,'Données projet'!$E$13+1,1))</f>
        <v>300.36889324671682</v>
      </c>
      <c r="CZ203" s="62">
        <f t="shared" si="208"/>
        <v>214.36051699039683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1.1671681906248585</v>
      </c>
      <c r="BA205" s="88">
        <f>EXP(LN('Données projet'!B88)/'Données projet'!A88)</f>
        <v>1.2054868146447177</v>
      </c>
      <c r="BV205" s="88">
        <f>EXP(LN('Données projet'!B114)/'Données projet'!A114)</f>
        <v>1.2788040393997409</v>
      </c>
      <c r="CQ205" s="88">
        <f>EXP(LN('Données projet'!B140)/'Données projet'!A140)</f>
        <v>1.2304469565436837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M7" sqref="M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pubescent</v>
      </c>
      <c r="B6" s="155">
        <f>'Données projet'!D9</f>
        <v>2.7702</v>
      </c>
      <c r="C6" s="156">
        <f ca="1">IF(OR('Données projet'!B9="",'Données projet'!C9="",'Données projet'!C9=0%),0,Calculateur!S3)</f>
        <v>477.00263959594946</v>
      </c>
      <c r="D6" s="156">
        <f>IF(OR('Données projet'!B9="",'Données projet'!C9="",'Données projet'!C9=0%),0,Calculateur!T3)</f>
        <v>254.25036207346591</v>
      </c>
      <c r="E6" s="156">
        <f ca="1">MIN(C6,D6)</f>
        <v>254.25036207346591</v>
      </c>
      <c r="F6" s="156">
        <f ca="1">E6*B6</f>
        <v>704.32435301591522</v>
      </c>
      <c r="G6" s="156">
        <f ca="1">F6*(100%-'Données projet'!$C$24)*(100%-'Données projet'!$C$25)*(100%-'Données projet'!$C$26)*(100%-'Données projet'!$C$27)</f>
        <v>602.19732182860753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5.5404</v>
      </c>
      <c r="K6" s="160">
        <f>J6*(100%-'Données projet'!$C$24)*(100%-'Données projet'!$C$25)*(100%-'Données projet'!$C$26)*(100%-'Données projet'!$C$27)</f>
        <v>4.7370419999999998</v>
      </c>
      <c r="L6" s="161">
        <f ca="1">G6+I6+K6</f>
        <v>606.9343638286075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1.6038000000000001</v>
      </c>
      <c r="C7" s="156">
        <f ca="1">IF(OR('Données projet'!B10="",'Données projet'!C10="",'Données projet'!C10=0%),0,Calculateur!AN3)</f>
        <v>245.47494516762282</v>
      </c>
      <c r="D7" s="156">
        <f>IF(OR('Données projet'!B10="",'Données projet'!C10="",'Données projet'!C10=0%),0,Calculateur!AO3)</f>
        <v>145.54897745089966</v>
      </c>
      <c r="E7" s="156">
        <f t="shared" ref="E7:E15" ca="1" si="0">MIN(C7,D7)</f>
        <v>145.54897745089966</v>
      </c>
      <c r="F7" s="156">
        <f t="shared" ref="F7:F15" ca="1" si="1">E7*B7</f>
        <v>233.43145003575287</v>
      </c>
      <c r="G7" s="156">
        <f ca="1">F7*(100%-'Données projet'!$C$24)*(100%-'Données projet'!$C$25)*(100%-'Données projet'!$C$26)*(100%-'Données projet'!$C$27)</f>
        <v>199.58388978056871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199.58388978056871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0.29160000000000003</v>
      </c>
      <c r="C8" s="156">
        <f ca="1">IF(OR('Données projet'!B11="",'Données projet'!C11="",'Données projet'!C11=0%),0,Calculateur!BI3)</f>
        <v>430.21146937947236</v>
      </c>
      <c r="D8" s="156">
        <f>IF(OR('Données projet'!B11="",'Données projet'!C11="",'Données projet'!C11=0%),0,Calculateur!BJ3)</f>
        <v>231.36959598460686</v>
      </c>
      <c r="E8" s="156">
        <f t="shared" ca="1" si="0"/>
        <v>231.36959598460686</v>
      </c>
      <c r="F8" s="156">
        <f t="shared" ca="1" si="1"/>
        <v>67.467374189111368</v>
      </c>
      <c r="G8" s="156">
        <f ca="1">F8*(100%-'Données projet'!$C$24)*(100%-'Données projet'!$C$25)*(100%-'Données projet'!$C$26)*(100%-'Données projet'!$C$27)</f>
        <v>57.684604931690217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0.58320000000000005</v>
      </c>
      <c r="K8" s="160">
        <f>J8*(100%-'Données projet'!$C$24)*(100%-'Données projet'!$C$25)*(100%-'Données projet'!$C$26)*(100%-'Données projet'!$C$27)</f>
        <v>0.49863599999999997</v>
      </c>
      <c r="L8" s="161">
        <f t="shared" ca="1" si="2"/>
        <v>58.183240931690214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Merisier</v>
      </c>
      <c r="B9" s="163">
        <f>'Données projet'!D12</f>
        <v>9.7200000000000009E-2</v>
      </c>
      <c r="C9" s="156">
        <f ca="1">IF(OR('Données projet'!B12="",'Données projet'!C12="",'Données projet'!C12=0%),0,Calculateur!CD3)</f>
        <v>299.07024205218266</v>
      </c>
      <c r="D9" s="156">
        <f>IF(OR('Données projet'!B12="",'Données projet'!C12="",'Données projet'!C12=0%),0,Calculateur!CE3)</f>
        <v>328.70296497136366</v>
      </c>
      <c r="E9" s="156">
        <f t="shared" ca="1" si="0"/>
        <v>299.07024205218266</v>
      </c>
      <c r="F9" s="156">
        <f t="shared" ca="1" si="1"/>
        <v>29.069627527472157</v>
      </c>
      <c r="G9" s="156">
        <f ca="1">F9*(100%-'Données projet'!$C$24)*(100%-'Données projet'!$C$25)*(100%-'Données projet'!$C$26)*(100%-'Données projet'!$C$27)</f>
        <v>24.854531535988695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0.68040000000000012</v>
      </c>
      <c r="K9" s="160">
        <f>J9*(100%-'Données projet'!$C$24)*(100%-'Données projet'!$C$25)*(100%-'Données projet'!$C$26)*(100%-'Données projet'!$C$27)</f>
        <v>0.58174200000000009</v>
      </c>
      <c r="L9" s="161">
        <f t="shared" ca="1" si="2"/>
        <v>25.436273535988693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Charme</v>
      </c>
      <c r="B10" s="163">
        <f>'Données projet'!D13</f>
        <v>9.7200000000000009E-2</v>
      </c>
      <c r="C10" s="156">
        <f ca="1">IF(OR('Données projet'!B13="",'Données projet'!C13="",'Données projet'!C13=0%),0,Calculateur!CY3)</f>
        <v>300.36889324671682</v>
      </c>
      <c r="D10" s="156">
        <f>IF(OR('Données projet'!B13="",'Données projet'!C13="",'Données projet'!C13=0%),0,Calculateur!CZ3)</f>
        <v>214.36051699039683</v>
      </c>
      <c r="E10" s="156">
        <f t="shared" ca="1" si="0"/>
        <v>214.36051699039683</v>
      </c>
      <c r="F10" s="156">
        <f t="shared" ca="1" si="1"/>
        <v>20.835842251466573</v>
      </c>
      <c r="G10" s="156">
        <f ca="1">F10*(100%-'Données projet'!$C$24)*(100%-'Données projet'!$C$25)*(100%-'Données projet'!$C$26)*(100%-'Données projet'!$C$27)</f>
        <v>17.814645125003921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0.70096153846153852</v>
      </c>
      <c r="K10" s="160">
        <f>J10*(100%-'Données projet'!$C$24)*(100%-'Données projet'!$C$25)*(100%-'Données projet'!$C$26)*(100%-'Données projet'!$C$27)</f>
        <v>0.59932211538461544</v>
      </c>
      <c r="L10" s="161">
        <f t="shared" ca="1" si="2"/>
        <v>18.413967240388537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1055.1286470197183</v>
      </c>
      <c r="G16" s="175">
        <f t="shared" ca="1" si="3"/>
        <v>902.13499320185906</v>
      </c>
      <c r="H16" s="176">
        <f t="shared" si="3"/>
        <v>0</v>
      </c>
      <c r="I16" s="176">
        <f t="shared" si="3"/>
        <v>0</v>
      </c>
      <c r="J16" s="177">
        <f t="shared" si="3"/>
        <v>7.5049615384615391</v>
      </c>
      <c r="K16" s="177">
        <f t="shared" si="3"/>
        <v>6.4167421153846158</v>
      </c>
      <c r="L16" s="178">
        <f t="shared" ca="1" si="3"/>
        <v>908.55173531724358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Merisier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Charme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5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517.41224304937123</v>
      </c>
      <c r="U10" s="190">
        <f>'Données projet'!D9</f>
        <v>2.7702</v>
      </c>
      <c r="V10" s="189">
        <f>U10*T10</f>
        <v>1433.3353956953681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994.57405350445879</v>
      </c>
      <c r="U11" s="190">
        <f>'Données projet'!D10</f>
        <v>1.6038000000000001</v>
      </c>
      <c r="V11" s="189">
        <f t="shared" ref="V11" si="0">U11*T11</f>
        <v>1595.0978670104512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517.41224304937123</v>
      </c>
      <c r="U12" s="190">
        <f>'Données projet'!D11</f>
        <v>0.29160000000000003</v>
      </c>
      <c r="V12" s="189">
        <f t="shared" ref="V12:V19" si="1">U12*T12</f>
        <v>150.87741007319667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Merisier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2043.6211104524129</v>
      </c>
      <c r="U13" s="190">
        <f>'Données projet'!D12</f>
        <v>9.7200000000000009E-2</v>
      </c>
      <c r="V13" s="189">
        <f t="shared" si="1"/>
        <v>198.63997193597456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Charme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361.26523438127424</v>
      </c>
      <c r="U14" s="190">
        <f>'Données projet'!D13</f>
        <v>9.7200000000000009E-2</v>
      </c>
      <c r="V14" s="189">
        <f t="shared" si="1"/>
        <v>35.114980781859856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8000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-35466.934374503151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8</v>
      </c>
      <c r="C24" s="206">
        <v>10</v>
      </c>
      <c r="D24" s="194">
        <f t="shared" ref="D24:D42" si="2">B24*C24</f>
        <v>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6460.749933206569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60</v>
      </c>
      <c r="Q25" s="265"/>
      <c r="R25" s="25"/>
      <c r="S25" s="198" t="s">
        <v>266</v>
      </c>
      <c r="T25" s="336">
        <f ca="1">T23-T24</f>
        <v>-41927.684307709722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42</v>
      </c>
      <c r="C26" s="206">
        <v>10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42</v>
      </c>
      <c r="C28" s="206">
        <v>10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42</v>
      </c>
      <c r="C30" s="206">
        <v>15</v>
      </c>
      <c r="D30" s="194">
        <f t="shared" si="2"/>
        <v>630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1329.3724142400347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42</v>
      </c>
      <c r="C32" s="206">
        <v>20</v>
      </c>
      <c r="D32" s="194">
        <f t="shared" si="2"/>
        <v>840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60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42</v>
      </c>
      <c r="C34" s="206">
        <v>30</v>
      </c>
      <c r="D34" s="194">
        <f t="shared" si="2"/>
        <v>1260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57.416267942583737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42</v>
      </c>
      <c r="C35" s="206">
        <v>40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54.943797074242816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95</v>
      </c>
      <c r="B36" s="193">
        <f>'Données projet'!D49</f>
        <v>42</v>
      </c>
      <c r="C36" s="206">
        <v>50</v>
      </c>
      <c r="D36" s="194">
        <f t="shared" si="2"/>
        <v>2100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52.577796243294557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105</v>
      </c>
      <c r="B37" s="193">
        <f>'Données projet'!D50</f>
        <v>41</v>
      </c>
      <c r="C37" s="206">
        <v>60</v>
      </c>
      <c r="D37" s="194">
        <f t="shared" si="2"/>
        <v>2460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50.313680615592894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115</v>
      </c>
      <c r="B38" s="193">
        <f>'Données projet'!D51</f>
        <v>37</v>
      </c>
      <c r="C38" s="206">
        <v>70</v>
      </c>
      <c r="D38" s="194">
        <f t="shared" si="2"/>
        <v>2590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48.147062790041048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125</v>
      </c>
      <c r="B39" s="193">
        <f>'Données projet'!D52</f>
        <v>33</v>
      </c>
      <c r="C39" s="206">
        <v>80</v>
      </c>
      <c r="D39" s="194">
        <f t="shared" si="2"/>
        <v>2640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46.073744296690009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135</v>
      </c>
      <c r="B40" s="193">
        <f>'Données projet'!D53</f>
        <v>29</v>
      </c>
      <c r="C40" s="206">
        <v>90</v>
      </c>
      <c r="D40" s="194">
        <f t="shared" si="2"/>
        <v>2610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44.089707460947373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145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42.191107618131468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306</v>
      </c>
      <c r="C42" s="206">
        <v>150</v>
      </c>
      <c r="D42" s="194">
        <f t="shared" si="2"/>
        <v>45900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40.374265663283708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38.635660921802597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36.971924327083826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35.379831891946253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33.85629846119258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32.398371733198651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31.003226538946077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29.668159367412525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28.390583126710549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27.168022130823498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25.998107302223445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24.878571581075072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30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23.807245532129254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35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22.78205314079355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21.801007790233061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45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20.862208411706284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51</v>
      </c>
      <c r="B58" s="193">
        <f>'Données projet'!D66</f>
        <v>100.30769230769231</v>
      </c>
      <c r="C58" s="204">
        <v>20</v>
      </c>
      <c r="D58" s="191">
        <f t="shared" si="4"/>
        <v>2006.1538461538462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19.96383580067587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57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19.104149091555865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63</v>
      </c>
      <c r="B60" s="193">
        <f>'Données projet'!D68</f>
        <v>108.08461538461538</v>
      </c>
      <c r="C60" s="204">
        <v>30</v>
      </c>
      <c r="D60" s="191">
        <f t="shared" si="4"/>
        <v>3242.5384615384614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18.281482384263985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69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17.494241516042095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75</v>
      </c>
      <c r="B62" s="193">
        <f>'Données projet'!D70</f>
        <v>85.361538461538458</v>
      </c>
      <c r="C62" s="204">
        <v>40</v>
      </c>
      <c r="D62" s="191">
        <f t="shared" si="4"/>
        <v>3414.4615384615381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16.740900972289083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81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16.020000930420181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87</v>
      </c>
      <c r="B64" s="193">
        <f>'Données projet'!D72</f>
        <v>82.938461538461524</v>
      </c>
      <c r="C64" s="204">
        <v>50</v>
      </c>
      <c r="D64" s="191">
        <f t="shared" si="4"/>
        <v>4146.9230769230762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15.330144431024094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93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14.669994670836461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99</v>
      </c>
      <c r="B66" s="193">
        <f>'Données projet'!D74</f>
        <v>198.32307692307691</v>
      </c>
      <c r="C66" s="204">
        <v>60</v>
      </c>
      <c r="D66" s="191">
        <f t="shared" si="4"/>
        <v>11899.384615384615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14.038272412283696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104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13.433753504577702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109</v>
      </c>
      <c r="B68" s="193">
        <f>'Données projet'!D76</f>
        <v>256.09230769230771</v>
      </c>
      <c r="C68" s="204">
        <v>100</v>
      </c>
      <c r="D68" s="191">
        <f t="shared" si="4"/>
        <v>25609.230769230773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12.855266511557609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12.301690441681925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11.771952575772177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11.265026388298736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10.779929558180608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10.315722065244604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9.8715043686551258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9.4464156637848102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9.0396322141481438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8.650365755165689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8.2778619666657303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7.9213990111633805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7.5802861350845738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7.253862330224476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6.9414950528463883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6.642578997939129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6.3565349262575399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6.0828085418732449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8</v>
      </c>
      <c r="C86" s="206">
        <v>10</v>
      </c>
      <c r="D86" s="191">
        <f t="shared" ref="D86:D104" si="6">B86*C86</f>
        <v>80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5.8208694180605214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0</v>
      </c>
      <c r="C87" s="206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5.5702099694359077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42</v>
      </c>
      <c r="C88" s="206">
        <v>10</v>
      </c>
      <c r="D88" s="191">
        <f t="shared" si="6"/>
        <v>420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5.3303444683597192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0</v>
      </c>
      <c r="C89" s="206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5.1008081036935131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42</v>
      </c>
      <c r="C90" s="206">
        <v>10</v>
      </c>
      <c r="D90" s="191">
        <f t="shared" si="6"/>
        <v>420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4.8811560800894869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0</v>
      </c>
      <c r="C91" s="206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4.670962756066495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42</v>
      </c>
      <c r="C92" s="206">
        <v>15</v>
      </c>
      <c r="D92" s="191">
        <f t="shared" si="6"/>
        <v>630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4.4698208192023881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0</v>
      </c>
      <c r="C93" s="206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4.2773404968443911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42</v>
      </c>
      <c r="C94" s="206">
        <v>20</v>
      </c>
      <c r="D94" s="191">
        <f t="shared" si="6"/>
        <v>840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4.093148800808029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0</v>
      </c>
      <c r="C95" s="206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3.9168888046009864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42</v>
      </c>
      <c r="C96" s="206">
        <v>30</v>
      </c>
      <c r="D96" s="191">
        <f t="shared" si="6"/>
        <v>1260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3.7482189517712783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42</v>
      </c>
      <c r="C97" s="206">
        <v>40</v>
      </c>
      <c r="D97" s="191">
        <f t="shared" si="6"/>
        <v>1680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3.5868123940395029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95</v>
      </c>
      <c r="B98" s="193">
        <f>'Données projet'!D101</f>
        <v>42</v>
      </c>
      <c r="C98" s="206">
        <v>50</v>
      </c>
      <c r="D98" s="191">
        <f t="shared" si="6"/>
        <v>2100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3.4323563579325382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105</v>
      </c>
      <c r="B99" s="193">
        <f>'Données projet'!D102</f>
        <v>41</v>
      </c>
      <c r="C99" s="206">
        <v>60</v>
      </c>
      <c r="D99" s="191">
        <f t="shared" si="6"/>
        <v>2460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3.2845515386914252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115</v>
      </c>
      <c r="B100" s="193">
        <f>'Données projet'!D103</f>
        <v>37</v>
      </c>
      <c r="C100" s="206">
        <v>70</v>
      </c>
      <c r="D100" s="191">
        <f t="shared" si="6"/>
        <v>2590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3.1431115202788757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125</v>
      </c>
      <c r="B101" s="193">
        <f>'Données projet'!D104</f>
        <v>33</v>
      </c>
      <c r="C101" s="206">
        <v>80</v>
      </c>
      <c r="D101" s="191">
        <f t="shared" si="6"/>
        <v>2640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3.0077622203625607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135</v>
      </c>
      <c r="B102" s="193">
        <f>'Données projet'!D105</f>
        <v>29</v>
      </c>
      <c r="C102" s="206">
        <v>90</v>
      </c>
      <c r="D102" s="191">
        <f t="shared" si="6"/>
        <v>2610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2.8782413591986229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145</v>
      </c>
      <c r="B103" s="193">
        <f>'Données projet'!D106</f>
        <v>0</v>
      </c>
      <c r="C103" s="206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150</v>
      </c>
      <c r="B104" s="193">
        <f>'Données projet'!D107</f>
        <v>306</v>
      </c>
      <c r="C104" s="206">
        <v>150</v>
      </c>
      <c r="D104" s="191">
        <f t="shared" si="6"/>
        <v>45900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Merisier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28</v>
      </c>
      <c r="C117" s="204">
        <v>10</v>
      </c>
      <c r="D117" s="191">
        <f t="shared" ref="D117:D135" si="8">B117*C117</f>
        <v>280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31</v>
      </c>
      <c r="B119" s="193">
        <f>'Données projet'!D117</f>
        <v>63</v>
      </c>
      <c r="C119" s="204">
        <v>10</v>
      </c>
      <c r="D119" s="191">
        <f t="shared" si="8"/>
        <v>630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37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44</v>
      </c>
      <c r="B121" s="193">
        <f>'Données projet'!D119</f>
        <v>79</v>
      </c>
      <c r="C121" s="204">
        <v>20</v>
      </c>
      <c r="D121" s="191">
        <f t="shared" si="8"/>
        <v>1580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52</v>
      </c>
      <c r="B122" s="193">
        <f>'Données projet'!D120</f>
        <v>48</v>
      </c>
      <c r="C122" s="204">
        <v>30</v>
      </c>
      <c r="D122" s="191">
        <f t="shared" si="8"/>
        <v>1440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47</v>
      </c>
      <c r="C123" s="204">
        <v>40</v>
      </c>
      <c r="D123" s="191">
        <f t="shared" si="8"/>
        <v>1880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69</v>
      </c>
      <c r="B124" s="193">
        <f>'Données projet'!D122</f>
        <v>328</v>
      </c>
      <c r="C124" s="204">
        <v>80</v>
      </c>
      <c r="D124" s="191">
        <f t="shared" si="8"/>
        <v>26240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Charme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10.897435897435898</v>
      </c>
      <c r="C148" s="204">
        <v>10</v>
      </c>
      <c r="D148" s="194">
        <f t="shared" ref="D148:D166" si="10">B148*C148</f>
        <v>108.97435897435898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17.948717948717949</v>
      </c>
      <c r="C150" s="204">
        <v>10</v>
      </c>
      <c r="D150" s="194">
        <f t="shared" si="10"/>
        <v>179.4871794871795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0</v>
      </c>
      <c r="C151" s="204">
        <v>15</v>
      </c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21.153846153846153</v>
      </c>
      <c r="C152" s="204">
        <v>20</v>
      </c>
      <c r="D152" s="194">
        <f t="shared" si="10"/>
        <v>423.07692307692309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0</v>
      </c>
      <c r="C153" s="204">
        <v>25</v>
      </c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23.076923076923077</v>
      </c>
      <c r="C154" s="204">
        <v>30</v>
      </c>
      <c r="D154" s="194">
        <f t="shared" si="10"/>
        <v>692.30769230769226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0</v>
      </c>
      <c r="C155" s="204">
        <v>35</v>
      </c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23.076923076923077</v>
      </c>
      <c r="C156" s="204">
        <v>40</v>
      </c>
      <c r="D156" s="194">
        <f t="shared" si="10"/>
        <v>923.07692307692309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0</v>
      </c>
      <c r="C157" s="204">
        <v>45</v>
      </c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7">
        <f>'Données projet'!D151</f>
        <v>23.076923076923077</v>
      </c>
      <c r="C158" s="204">
        <v>50</v>
      </c>
      <c r="D158" s="194">
        <f t="shared" si="10"/>
        <v>1153.8461538461538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7">
        <f>'Données projet'!D152</f>
        <v>0</v>
      </c>
      <c r="C159" s="204">
        <v>60</v>
      </c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7">
        <f>'Données projet'!D153</f>
        <v>21.794871794871796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85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90</v>
      </c>
      <c r="B162" s="187">
        <f>'Données projet'!D155</f>
        <v>21.153846153846153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95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100</v>
      </c>
      <c r="B164" s="187">
        <f>'Données projet'!D157</f>
        <v>19.871794871794872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7">
        <f>'Données projet'!D158</f>
        <v>19.23076923076923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7">
        <f>'Données projet'!D159</f>
        <v>217.94871794871793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2023-08-08T12:51:56Z</dcterms:modified>
</cp:coreProperties>
</file>