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5 - STOCKEURS/02-FORET-VERGERS/2-NOTIFIE/197-B-CAPPELAERE-NOR(14)-BUTTELETTE-StPierreEnAuge/"/>
    </mc:Choice>
  </mc:AlternateContent>
  <xr:revisionPtr revIDLastSave="0" documentId="13_ncr:1_{68B4AEE9-5DD6-B84F-9B3A-87185EFD32F9}" xr6:coauthVersionLast="47" xr6:coauthVersionMax="47" xr10:uidLastSave="{00000000-0000-0000-0000-000000000000}"/>
  <bookViews>
    <workbookView xWindow="0" yWindow="760" windowWidth="30240" windowHeight="18880" tabRatio="86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0" i="6" l="1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16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54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23" i="6"/>
  <c r="I20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78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47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85" i="6"/>
  <c r="C191" i="6" l="1"/>
  <c r="C192" i="6"/>
  <c r="C193" i="6"/>
  <c r="C194" i="6"/>
  <c r="C195" i="6"/>
  <c r="C196" i="6"/>
  <c r="C197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160" i="6"/>
  <c r="C161" i="6"/>
  <c r="C162" i="6"/>
  <c r="C163" i="6"/>
  <c r="C164" i="6"/>
  <c r="C165" i="6"/>
  <c r="C166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BR4" i="2"/>
  <c r="BQ4" i="2"/>
  <c r="EC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EC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EA7" i="2"/>
  <c r="HI7" i="2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A10" i="2"/>
  <c r="HG10" i="2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C14" i="2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EV18" i="2"/>
  <c r="HG18" i="2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EV20" i="2"/>
  <c r="FS20" i="2"/>
  <c r="EC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V21" i="2"/>
  <c r="EW21" i="2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W22" i="2"/>
  <c r="EA22" i="2"/>
  <c r="HG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H24" i="2"/>
  <c r="HG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EA33" i="2"/>
  <c r="EB33" i="2"/>
  <c r="EV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EB35" i="2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EW38" i="2"/>
  <c r="HG38" i="2"/>
  <c r="FS38" i="2"/>
  <c r="HH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HG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HG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HI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HH57" i="2"/>
  <c r="HI57" i="2"/>
  <c r="EB57" i="2"/>
  <c r="EV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HH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EV60" i="2"/>
  <c r="HI60" i="2"/>
  <c r="HG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A61" i="2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HI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I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H71" i="2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HG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W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EW78" i="2"/>
  <c r="HI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G85" i="2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EX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X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A107" i="2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HG110" i="2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EC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HI113" i="2"/>
  <c r="EC113" i="2"/>
  <c r="EX113" i="2"/>
  <c r="EW113" i="2"/>
  <c r="HG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HH118" i="2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H120" i="2"/>
  <c r="FR120" i="2"/>
  <c r="FQ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FR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FS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EX130" i="2"/>
  <c r="EB130" i="2"/>
  <c r="HH130" i="2"/>
  <c r="HI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I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C138" i="2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EA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EX140" i="2"/>
  <c r="FS140" i="2"/>
  <c r="FR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H144" i="2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EA146" i="2"/>
  <c r="HI146" i="2"/>
  <c r="HG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V150" i="2"/>
  <c r="FS150" i="2"/>
  <c r="HI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G154" i="2" l="1"/>
  <c r="AB154" i="2"/>
  <c r="EB154" i="2"/>
  <c r="HH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HG155" i="2" l="1"/>
  <c r="EX155" i="2"/>
  <c r="EY154" i="2"/>
  <c r="DI154" i="2"/>
  <c r="ED154" i="2"/>
  <c r="AC154" i="2"/>
  <c r="EA155" i="2"/>
  <c r="EW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HI156" i="2" l="1"/>
  <c r="EY155" i="2"/>
  <c r="ED155" i="2"/>
  <c r="DH156" i="2"/>
  <c r="AB156" i="2"/>
  <c r="HG156" i="2"/>
  <c r="EX156" i="2"/>
  <c r="HH156" i="2"/>
  <c r="E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A157" i="2"/>
  <c r="EB157" i="2"/>
  <c r="EX157" i="2"/>
  <c r="EC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EV158" i="2"/>
  <c r="EW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HI159" i="2"/>
  <c r="EC159" i="2"/>
  <c r="EA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I160" i="2" l="1"/>
  <c r="HH160" i="2"/>
  <c r="ED159" i="2"/>
  <c r="HG160" i="2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G161" i="2" l="1"/>
  <c r="EB161" i="2"/>
  <c r="EX161" i="2"/>
  <c r="EA161" i="2"/>
  <c r="AB161" i="2"/>
  <c r="HH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G162" i="2" l="1"/>
  <c r="HH162" i="2"/>
  <c r="ED161" i="2"/>
  <c r="EB162" i="2"/>
  <c r="DI161" i="2"/>
  <c r="EY161" i="2"/>
  <c r="EC162" i="2"/>
  <c r="EW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H163" i="2" l="1"/>
  <c r="HG163" i="2"/>
  <c r="EY162" i="2"/>
  <c r="HI163" i="2"/>
  <c r="EB163" i="2"/>
  <c r="EV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HG164" i="2" l="1"/>
  <c r="FS164" i="2"/>
  <c r="EV164" i="2"/>
  <c r="EY163" i="2"/>
  <c r="DI163" i="2"/>
  <c r="EA164" i="2"/>
  <c r="ED163" i="2"/>
  <c r="DH164" i="2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X165" i="2"/>
  <c r="EA165" i="2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EC166" i="2"/>
  <c r="ED165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X167" i="2"/>
  <c r="DG167" i="2"/>
  <c r="EA167" i="2"/>
  <c r="EB167" i="2"/>
  <c r="FR167" i="2"/>
  <c r="EC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EB168" i="2"/>
  <c r="DG168" i="2"/>
  <c r="DI167" i="2"/>
  <c r="EV168" i="2"/>
  <c r="EC168" i="2"/>
  <c r="EW168" i="2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B169" i="2"/>
  <c r="EX169" i="2"/>
  <c r="EA169" i="2"/>
  <c r="HH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HI172" i="2"/>
  <c r="EY171" i="2"/>
  <c r="EB172" i="2"/>
  <c r="EA172" i="2"/>
  <c r="ED171" i="2"/>
  <c r="EW172" i="2"/>
  <c r="HG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EC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FS175" i="2" l="1"/>
  <c r="ED174" i="2"/>
  <c r="EB175" i="2"/>
  <c r="EW175" i="2"/>
  <c r="HI175" i="2"/>
  <c r="E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Y175" i="2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EW177" i="2"/>
  <c r="HH177" i="2"/>
  <c r="EC177" i="2"/>
  <c r="FQ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G178" i="2" l="1"/>
  <c r="HH178" i="2"/>
  <c r="EA178" i="2"/>
  <c r="ED177" i="2"/>
  <c r="EB178" i="2"/>
  <c r="FQ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H179" i="2" l="1"/>
  <c r="EV179" i="2"/>
  <c r="HG179" i="2"/>
  <c r="EA179" i="2"/>
  <c r="ED178" i="2"/>
  <c r="DF179" i="2"/>
  <c r="EB179" i="2"/>
  <c r="FS179" i="2"/>
  <c r="EX179" i="2"/>
  <c r="AW179" i="2"/>
  <c r="EC179" i="2"/>
  <c r="FQ179" i="2"/>
  <c r="EW179" i="2"/>
  <c r="EY179" i="2" s="1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X180" i="2" l="1"/>
  <c r="HG180" i="2"/>
  <c r="ED179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ED180" i="2"/>
  <c r="HG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DG182" i="2"/>
  <c r="FS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Y182" i="2"/>
  <c r="ED182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HH185" i="2"/>
  <c r="ED184" i="2"/>
  <c r="EA185" i="2"/>
  <c r="HG185" i="2"/>
  <c r="EB185" i="2"/>
  <c r="EW185" i="2"/>
  <c r="EV185" i="2"/>
  <c r="HI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EB186" i="2"/>
  <c r="EA186" i="2"/>
  <c r="EW186" i="2"/>
  <c r="HH186" i="2"/>
  <c r="HG186" i="2"/>
  <c r="ED185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H187" i="2" l="1"/>
  <c r="EB187" i="2"/>
  <c r="EY186" i="2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AA189" i="2"/>
  <c r="HH189" i="2"/>
  <c r="EB189" i="2"/>
  <c r="EV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V190" i="2" l="1"/>
  <c r="ED189" i="2"/>
  <c r="EY189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EW191" i="2"/>
  <c r="ED190" i="2"/>
  <c r="HI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EW192" i="2"/>
  <c r="HG192" i="2"/>
  <c r="EC192" i="2"/>
  <c r="EB192" i="2"/>
  <c r="EA192" i="2"/>
  <c r="AW192" i="2"/>
  <c r="EX192" i="2"/>
  <c r="EY192" i="2" s="1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FQ193" i="2" l="1"/>
  <c r="HI193" i="2"/>
  <c r="ED192" i="2"/>
  <c r="EX193" i="2"/>
  <c r="DI192" i="2"/>
  <c r="EB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FQ194" i="2" l="1"/>
  <c r="EB194" i="2"/>
  <c r="ED193" i="2"/>
  <c r="EA194" i="2"/>
  <c r="CN193" i="2"/>
  <c r="HG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G195" i="2" l="1"/>
  <c r="EB195" i="2"/>
  <c r="ED194" i="2"/>
  <c r="EY194" i="2"/>
  <c r="EA195" i="2"/>
  <c r="DH195" i="2"/>
  <c r="AA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EW196" i="2"/>
  <c r="EY195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Y196" i="2" l="1"/>
  <c r="EC197" i="2"/>
  <c r="EW197" i="2"/>
  <c r="EA197" i="2"/>
  <c r="AA197" i="2"/>
  <c r="HH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EA199" i="2"/>
  <c r="EB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FS201" i="2" l="1"/>
  <c r="ED200" i="2"/>
  <c r="EB201" i="2"/>
  <c r="DI200" i="2"/>
  <c r="HG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W202" i="2" l="1"/>
  <c r="EY201" i="2"/>
  <c r="ED201" i="2"/>
  <c r="HI202" i="2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58" i="2" a="1"/>
  <c r="BC58" i="2" s="1"/>
  <c r="BC68" i="2" a="1"/>
  <c r="BC68" i="2" s="1"/>
  <c r="BC126" i="2" a="1"/>
  <c r="BC126" i="2" s="1"/>
  <c r="BC114" i="2" a="1"/>
  <c r="BC114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52" i="2" a="1"/>
  <c r="CS52" i="2" s="1"/>
  <c r="CS116" i="2" a="1"/>
  <c r="CS116" i="2" s="1"/>
  <c r="EI195" i="2" a="1"/>
  <c r="EI195" i="2" s="1"/>
  <c r="CS137" i="2" a="1"/>
  <c r="CS137" i="2" s="1"/>
  <c r="AH151" i="2" a="1"/>
  <c r="AH151" i="2" s="1"/>
  <c r="CS77" i="2" a="1"/>
  <c r="CS77" i="2" s="1"/>
  <c r="AH166" i="2" a="1"/>
  <c r="AH166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164" i="2" a="1"/>
  <c r="BC164" i="2" s="1"/>
  <c r="BC32" i="2" a="1"/>
  <c r="BC32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CS56" i="2" a="1"/>
  <c r="CS56" i="2" s="1"/>
  <c r="CS114" i="2" a="1"/>
  <c r="CS114" i="2" s="1"/>
  <c r="DN49" i="2" a="1"/>
  <c r="DN49" i="2" s="1"/>
  <c r="DN16" i="2" a="1"/>
  <c r="DN16" i="2" s="1"/>
  <c r="DN70" i="2" a="1"/>
  <c r="DN70" i="2" s="1"/>
  <c r="DN65" i="2" a="1"/>
  <c r="DN65" i="2" s="1"/>
  <c r="DN6" i="2" a="1"/>
  <c r="DN6" i="2" s="1"/>
  <c r="DO6" i="2" s="1"/>
  <c r="DN46" i="2" a="1"/>
  <c r="DN46" i="2" s="1"/>
  <c r="CS24" i="2" a="1"/>
  <c r="CS24" i="2" s="1"/>
  <c r="CS134" i="2" a="1"/>
  <c r="CS134" i="2" s="1"/>
  <c r="CS72" i="2" a="1"/>
  <c r="CS72" i="2" s="1"/>
  <c r="BX107" i="2" a="1"/>
  <c r="BX107" i="2" s="1"/>
  <c r="FD82" i="2" a="1"/>
  <c r="FD82" i="2" s="1"/>
  <c r="HJ202" i="2"/>
  <c r="EY202" i="2"/>
  <c r="AX200" i="2"/>
  <c r="BC31" i="2" l="1" a="1"/>
  <c r="BC31" i="2" s="1"/>
  <c r="BC192" i="2" a="1"/>
  <c r="BC192" i="2" s="1"/>
  <c r="BC181" i="2" a="1"/>
  <c r="BC181" i="2" s="1"/>
  <c r="BC82" i="2" a="1"/>
  <c r="BC82" i="2" s="1"/>
  <c r="BC34" i="2" a="1"/>
  <c r="BC34" i="2" s="1"/>
  <c r="BC84" i="2" a="1"/>
  <c r="BC84" i="2" s="1"/>
  <c r="BC55" i="2" a="1"/>
  <c r="BC55" i="2" s="1"/>
  <c r="BC65" i="2" a="1"/>
  <c r="BC65" i="2" s="1"/>
  <c r="BC47" i="2" a="1"/>
  <c r="BC47" i="2" s="1"/>
  <c r="BP203" i="2"/>
  <c r="DN132" i="2" a="1"/>
  <c r="DN132" i="2" s="1"/>
  <c r="DN176" i="2" a="1"/>
  <c r="DN176" i="2" s="1"/>
  <c r="DN31" i="2" a="1"/>
  <c r="DN31" i="2" s="1"/>
  <c r="DN164" i="2" a="1"/>
  <c r="DN164" i="2" s="1"/>
  <c r="DN80" i="2" a="1"/>
  <c r="DN80" i="2" s="1"/>
  <c r="DN187" i="2" a="1"/>
  <c r="DN187" i="2" s="1"/>
  <c r="DN45" i="2" a="1"/>
  <c r="DN45" i="2" s="1"/>
  <c r="DN30" i="2" a="1"/>
  <c r="DN30" i="2" s="1"/>
  <c r="DN133" i="2" a="1"/>
  <c r="DN133" i="2" s="1"/>
  <c r="DN167" i="2" a="1"/>
  <c r="DN167" i="2" s="1"/>
  <c r="DN135" i="2" a="1"/>
  <c r="DN135" i="2" s="1"/>
  <c r="DN177" i="2" a="1"/>
  <c r="DN177" i="2" s="1"/>
  <c r="DN115" i="2" a="1"/>
  <c r="DN115" i="2" s="1"/>
  <c r="DN29" i="2" a="1"/>
  <c r="DN29" i="2" s="1"/>
  <c r="DN190" i="2" a="1"/>
  <c r="DN190" i="2" s="1"/>
  <c r="DN55" i="2" a="1"/>
  <c r="DN55" i="2" s="1"/>
  <c r="DN162" i="2" a="1"/>
  <c r="DN162" i="2" s="1"/>
  <c r="DN38" i="2" a="1"/>
  <c r="DN38" i="2" s="1"/>
  <c r="DN41" i="2" a="1"/>
  <c r="DN41" i="2" s="1"/>
  <c r="CS66" i="2" a="1"/>
  <c r="CS66" i="2" s="1"/>
  <c r="CS129" i="2" a="1"/>
  <c r="CS129" i="2" s="1"/>
  <c r="DN103" i="2" a="1"/>
  <c r="DN103" i="2" s="1"/>
  <c r="DN86" i="2" a="1"/>
  <c r="DN86" i="2" s="1"/>
  <c r="DN152" i="2" a="1"/>
  <c r="DN152" i="2" s="1"/>
  <c r="DN155" i="2" a="1"/>
  <c r="DN155" i="2" s="1"/>
  <c r="HH203" i="2"/>
  <c r="DN123" i="2" a="1"/>
  <c r="DN123" i="2" s="1"/>
  <c r="DN153" i="2" a="1"/>
  <c r="DN153" i="2" s="1"/>
  <c r="DN43" i="2" a="1"/>
  <c r="DN43" i="2" s="1"/>
  <c r="AH199" i="2" a="1"/>
  <c r="AH199" i="2" s="1"/>
  <c r="DN170" i="2" a="1"/>
  <c r="DN170" i="2" s="1"/>
  <c r="DN186" i="2" a="1"/>
  <c r="DN186" i="2" s="1"/>
  <c r="DN56" i="2" a="1"/>
  <c r="DN56" i="2" s="1"/>
  <c r="DN129" i="2" a="1"/>
  <c r="DN129" i="2" s="1"/>
  <c r="DN137" i="2" a="1"/>
  <c r="DN137" i="2" s="1"/>
  <c r="AH19" i="2" a="1"/>
  <c r="AH19" i="2" s="1"/>
  <c r="DN150" i="2" a="1"/>
  <c r="DN150" i="2" s="1"/>
  <c r="DN50" i="2" a="1"/>
  <c r="DN50" i="2" s="1"/>
  <c r="AH90" i="2" a="1"/>
  <c r="AH90" i="2" s="1"/>
  <c r="DN192" i="2" a="1"/>
  <c r="DN192" i="2" s="1"/>
  <c r="DN113" i="2" a="1"/>
  <c r="DN113" i="2" s="1"/>
  <c r="DN66" i="2" a="1"/>
  <c r="DN66" i="2" s="1"/>
  <c r="DN25" i="2" a="1"/>
  <c r="DN25" i="2" s="1"/>
  <c r="DN124" i="2" a="1"/>
  <c r="DN124" i="2" s="1"/>
  <c r="DN110" i="2" a="1"/>
  <c r="DN110" i="2" s="1"/>
  <c r="DN114" i="2" a="1"/>
  <c r="DN114" i="2" s="1"/>
  <c r="DN188" i="2" a="1"/>
  <c r="DN188" i="2" s="1"/>
  <c r="DN184" i="2" a="1"/>
  <c r="DN184" i="2" s="1"/>
  <c r="AH92" i="2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CN203" i="2"/>
  <c r="DI203" i="2"/>
  <c r="ED203" i="2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<sst xmlns="http://schemas.openxmlformats.org/spreadsheetml/2006/main" count="1176" uniqueCount="324">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</sst>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161.75563241829539</c:v>
                </c:pt>
                <c:pt idx="22">
                  <c:v>175.89351283227515</c:v>
                </c:pt>
                <c:pt idx="23">
                  <c:v>190.00471981377623</c:v>
                </c:pt>
                <c:pt idx="24">
                  <c:v>204.09151430529414</c:v>
                </c:pt>
                <c:pt idx="25">
                  <c:v>218.15581931274576</c:v>
                </c:pt>
                <c:pt idx="26">
                  <c:v>236.09675414607662</c:v>
                </c:pt>
                <c:pt idx="27">
                  <c:v>254.00660330882422</c:v>
                </c:pt>
                <c:pt idx="28">
                  <c:v>271.88786690161197</c:v>
                </c:pt>
                <c:pt idx="29">
                  <c:v>289.74268920589344</c:v>
                </c:pt>
                <c:pt idx="30">
                  <c:v>307.57292859760338</c:v>
                </c:pt>
                <c:pt idx="31">
                  <c:v>208.0004464477073</c:v>
                </c:pt>
                <c:pt idx="32">
                  <c:v>229.08024217931526</c:v>
                </c:pt>
                <c:pt idx="33">
                  <c:v>250.11566977871595</c:v>
                </c:pt>
                <c:pt idx="34">
                  <c:v>271.11098488765992</c:v>
                </c:pt>
                <c:pt idx="35">
                  <c:v>292.06972985560316</c:v>
                </c:pt>
                <c:pt idx="36">
                  <c:v>259.45164815796988</c:v>
                </c:pt>
                <c:pt idx="37">
                  <c:v>281.20660167429202</c:v>
                </c:pt>
                <c:pt idx="38">
                  <c:v>302.92383728372158</c:v>
                </c:pt>
                <c:pt idx="39">
                  <c:v>324.60643807826494</c:v>
                </c:pt>
                <c:pt idx="40">
                  <c:v>346.25704166537025</c:v>
                </c:pt>
                <c:pt idx="41">
                  <c:v>314.15647495690467</c:v>
                </c:pt>
                <c:pt idx="42">
                  <c:v>336.20880231759611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402.18336673633206</c:v>
                </c:pt>
                <c:pt idx="46">
                  <c:v>369.42119511414558</c:v>
                </c:pt>
                <c:pt idx="47">
                  <c:v>390.62711987431993</c:v>
                </c:pt>
                <c:pt idx="48">
                  <c:v>411.80807637868747</c:v>
                </c:pt>
                <c:pt idx="49">
                  <c:v>432.96552861089231</c:v>
                </c:pt>
                <c:pt idx="50">
                  <c:v>454.10078588624373</c:v>
                </c:pt>
                <c:pt idx="51">
                  <c:v>419.8890759024078</c:v>
                </c:pt>
                <c:pt idx="52">
                  <c:v>439.50055712660463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462.5489419632766</c:v>
                </c:pt>
                <c:pt idx="57">
                  <c:v>480.58633375842027</c:v>
                </c:pt>
                <c:pt idx="58">
                  <c:v>498.60934258764996</c:v>
                </c:pt>
                <c:pt idx="59">
                  <c:v>516.61856122298445</c:v>
                </c:pt>
                <c:pt idx="60">
                  <c:v>534.61453776319524</c:v>
                </c:pt>
                <c:pt idx="61">
                  <c:v>497.84269099902525</c:v>
                </c:pt>
                <c:pt idx="62">
                  <c:v>514.70332559574479</c:v>
                </c:pt>
                <c:pt idx="63">
                  <c:v>531.55230561741553</c:v>
                </c:pt>
                <c:pt idx="64">
                  <c:v>548.39005229891859</c:v>
                </c:pt>
                <c:pt idx="65">
                  <c:v>565.21695891368074</c:v>
                </c:pt>
                <c:pt idx="66">
                  <c:v>527.34112969241005</c:v>
                </c:pt>
                <c:pt idx="67">
                  <c:v>543.03378149300647</c:v>
                </c:pt>
                <c:pt idx="68">
                  <c:v>558.71691511038478</c:v>
                </c:pt>
                <c:pt idx="69">
                  <c:v>574.39083521123325</c:v>
                </c:pt>
                <c:pt idx="70">
                  <c:v>590.05582848802044</c:v>
                </c:pt>
                <c:pt idx="71">
                  <c:v>551.06777546888088</c:v>
                </c:pt>
                <c:pt idx="72">
                  <c:v>565.59926555628579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609.14778887966042</c:v>
                </c:pt>
                <c:pt idx="76">
                  <c:v>569.42203544921153</c:v>
                </c:pt>
                <c:pt idx="77">
                  <c:v>583.17959594683191</c:v>
                </c:pt>
                <c:pt idx="78">
                  <c:v>596.93039273337797</c:v>
                </c:pt>
                <c:pt idx="79">
                  <c:v>610.67460350167141</c:v>
                </c:pt>
                <c:pt idx="80">
                  <c:v>624.41239729750214</c:v>
                </c:pt>
                <c:pt idx="81">
                  <c:v>583.94370486394712</c:v>
                </c:pt>
                <c:pt idx="82">
                  <c:v>596.93039273337797</c:v>
                </c:pt>
                <c:pt idx="83">
                  <c:v>609.91120610652638</c:v>
                </c:pt>
                <c:pt idx="84">
                  <c:v>622.88628757946469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606.85741792448346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643.4823213641663</c:v>
                </c:pt>
                <c:pt idx="91">
                  <c:v>601.8943306586167</c:v>
                </c:pt>
                <c:pt idx="92">
                  <c:v>613.72799533010152</c:v>
                </c:pt>
                <c:pt idx="93">
                  <c:v>625.55692889431907</c:v>
                </c:pt>
                <c:pt idx="94">
                  <c:v>637.38123339273818</c:v>
                </c:pt>
                <c:pt idx="95">
                  <c:v>649.20100677344146</c:v>
                </c:pt>
                <c:pt idx="96">
                  <c:v>606.47567200029607</c:v>
                </c:pt>
                <c:pt idx="97">
                  <c:v>617.16268463508504</c:v>
                </c:pt>
                <c:pt idx="98">
                  <c:v>627.84586213083401</c:v>
                </c:pt>
                <c:pt idx="99">
                  <c:v>638.52527892770956</c:v>
                </c:pt>
                <c:pt idx="100">
                  <c:v>649.20100677344169</c:v>
                </c:pt>
                <c:pt idx="101">
                  <c:v>607.62089481714168</c:v>
                </c:pt>
                <c:pt idx="102">
                  <c:v>617.5442922766041</c:v>
                </c:pt>
                <c:pt idx="103">
                  <c:v>627.46438526884401</c:v>
                </c:pt>
                <c:pt idx="104">
                  <c:v>637.3812333927383</c:v>
                </c:pt>
                <c:pt idx="105">
                  <c:v>647.29489424172459</c:v>
                </c:pt>
                <c:pt idx="106">
                  <c:v>657.20542350161361</c:v>
                </c:pt>
                <c:pt idx="107">
                  <c:v>667.11287504220047</c:v>
                </c:pt>
                <c:pt idx="108">
                  <c:v>677.01730100315024</c:v>
                </c:pt>
                <c:pt idx="109">
                  <c:v>686.91875187459857</c:v>
                </c:pt>
                <c:pt idx="110">
                  <c:v>696.81727657286831</c:v>
                </c:pt>
                <c:pt idx="111">
                  <c:v>608.76607282046416</c:v>
                </c:pt>
                <c:pt idx="112">
                  <c:v>617.92589503011754</c:v>
                </c:pt>
                <c:pt idx="113">
                  <c:v>627.08290360699937</c:v>
                </c:pt>
                <c:pt idx="114">
                  <c:v>636.237145425721</c:v>
                </c:pt>
                <c:pt idx="115">
                  <c:v>645.38866590218868</c:v>
                </c:pt>
                <c:pt idx="116">
                  <c:v>607.62089481714156</c:v>
                </c:pt>
                <c:pt idx="117">
                  <c:v>615.63620511985016</c:v>
                </c:pt>
                <c:pt idx="118">
                  <c:v>623.64935210528438</c:v>
                </c:pt>
                <c:pt idx="119">
                  <c:v>631.66036748923909</c:v>
                </c:pt>
                <c:pt idx="120">
                  <c:v>639.6692821174388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2.594132930874625</c:v>
                </c:pt>
                <c:pt idx="2">
                  <c:v>3.0655593018918794</c:v>
                </c:pt>
                <c:pt idx="3">
                  <c:v>3.6229726275127558</c:v>
                </c:pt>
                <c:pt idx="4">
                  <c:v>4.2821110789162296</c:v>
                </c:pt>
                <c:pt idx="5">
                  <c:v>5.061602713236562</c:v>
                </c:pt>
                <c:pt idx="6">
                  <c:v>5.9834977185614555</c:v>
                </c:pt>
                <c:pt idx="7">
                  <c:v>7.073898957347752</c:v>
                </c:pt>
                <c:pt idx="8">
                  <c:v>8.3637090088965884</c:v>
                </c:pt>
                <c:pt idx="9">
                  <c:v>9.8895152893480418</c:v>
                </c:pt>
                <c:pt idx="10">
                  <c:v>11.694638833681379</c:v>
                </c:pt>
                <c:pt idx="11">
                  <c:v>13.830377075498925</c:v>
                </c:pt>
                <c:pt idx="12">
                  <c:v>16.357476595837191</c:v>
                </c:pt>
                <c:pt idx="13">
                  <c:v>19.347878496730672</c:v>
                </c:pt>
                <c:pt idx="14">
                  <c:v>22.886786984377736</c:v>
                </c:pt>
                <c:pt idx="15">
                  <c:v>27.075121152693075</c:v>
                </c:pt>
                <c:pt idx="16">
                  <c:v>32.032421116321139</c:v>
                </c:pt>
                <c:pt idx="17">
                  <c:v>37.90029287987057</c:v>
                </c:pt>
                <c:pt idx="18">
                  <c:v>44.846492035377821</c:v>
                </c:pt>
                <c:pt idx="19">
                  <c:v>53.069765013562751</c:v>
                </c:pt>
                <c:pt idx="20">
                  <c:v>62.805588723200408</c:v>
                </c:pt>
                <c:pt idx="21">
                  <c:v>79.544350412184983</c:v>
                </c:pt>
                <c:pt idx="22">
                  <c:v>96.193406428466844</c:v>
                </c:pt>
                <c:pt idx="23">
                  <c:v>112.77054987950528</c:v>
                </c:pt>
                <c:pt idx="24">
                  <c:v>129.28787235572034</c:v>
                </c:pt>
                <c:pt idx="25">
                  <c:v>145.75410668135339</c:v>
                </c:pt>
                <c:pt idx="26">
                  <c:v>150.23693675874819</c:v>
                </c:pt>
                <c:pt idx="27">
                  <c:v>167.76494354361137</c:v>
                </c:pt>
                <c:pt idx="28">
                  <c:v>185.24975095506522</c:v>
                </c:pt>
                <c:pt idx="29">
                  <c:v>202.69601208813614</c:v>
                </c:pt>
                <c:pt idx="30">
                  <c:v>220.10751245497332</c:v>
                </c:pt>
                <c:pt idx="31">
                  <c:v>187.10749574697891</c:v>
                </c:pt>
                <c:pt idx="32">
                  <c:v>206.03271564587536</c:v>
                </c:pt>
                <c:pt idx="33">
                  <c:v>224.91775571009896</c:v>
                </c:pt>
                <c:pt idx="34">
                  <c:v>243.76646443655662</c:v>
                </c:pt>
                <c:pt idx="35">
                  <c:v>262.58204610854824</c:v>
                </c:pt>
                <c:pt idx="36">
                  <c:v>230.09538291979393</c:v>
                </c:pt>
                <c:pt idx="37">
                  <c:v>249.3037681780522</c:v>
                </c:pt>
                <c:pt idx="38">
                  <c:v>268.47858881189217</c:v>
                </c:pt>
                <c:pt idx="39">
                  <c:v>287.62257877818189</c:v>
                </c:pt>
                <c:pt idx="40">
                  <c:v>306.73807829258823</c:v>
                </c:pt>
                <c:pt idx="41">
                  <c:v>275.47695163372049</c:v>
                </c:pt>
                <c:pt idx="42">
                  <c:v>295.71325882522711</c:v>
                </c:pt>
                <c:pt idx="43">
                  <c:v>315.9186873454837</c:v>
                </c:pt>
                <c:pt idx="44">
                  <c:v>336.09548909483647</c:v>
                </c:pt>
                <c:pt idx="45">
                  <c:v>356.24562356348298</c:v>
                </c:pt>
                <c:pt idx="46">
                  <c:v>325.0933857428227</c:v>
                </c:pt>
                <c:pt idx="47">
                  <c:v>345.25783856692902</c:v>
                </c:pt>
                <c:pt idx="48">
                  <c:v>365.39643285792204</c:v>
                </c:pt>
                <c:pt idx="49">
                  <c:v>385.51079352962591</c:v>
                </c:pt>
                <c:pt idx="50">
                  <c:v>405.60236216041108</c:v>
                </c:pt>
                <c:pt idx="51">
                  <c:v>374.54223769767958</c:v>
                </c:pt>
                <c:pt idx="52">
                  <c:v>394.64606952207765</c:v>
                </c:pt>
                <c:pt idx="53">
                  <c:v>414.7277120155033</c:v>
                </c:pt>
                <c:pt idx="54">
                  <c:v>434.78839012126599</c:v>
                </c:pt>
                <c:pt idx="55">
                  <c:v>454.82920658695599</c:v>
                </c:pt>
                <c:pt idx="56">
                  <c:v>423.48397302905897</c:v>
                </c:pt>
                <c:pt idx="57">
                  <c:v>443.17145181723475</c:v>
                </c:pt>
                <c:pt idx="58">
                  <c:v>462.8401985900677</c:v>
                </c:pt>
                <c:pt idx="59">
                  <c:v>482.49112087009513</c:v>
                </c:pt>
                <c:pt idx="60">
                  <c:v>502.1250462743144</c:v>
                </c:pt>
                <c:pt idx="61">
                  <c:v>470.12035055146049</c:v>
                </c:pt>
                <c:pt idx="62">
                  <c:v>489.03761244496349</c:v>
                </c:pt>
                <c:pt idx="63">
                  <c:v>507.93935454019061</c:v>
                </c:pt>
                <c:pt idx="64">
                  <c:v>526.82623526820396</c:v>
                </c:pt>
                <c:pt idx="65">
                  <c:v>545.69886203239594</c:v>
                </c:pt>
                <c:pt idx="66">
                  <c:v>513.02571977154435</c:v>
                </c:pt>
                <c:pt idx="67">
                  <c:v>531.18270081556818</c:v>
                </c:pt>
                <c:pt idx="68">
                  <c:v>549.32662698500246</c:v>
                </c:pt>
                <c:pt idx="69">
                  <c:v>567.45798988344666</c:v>
                </c:pt>
                <c:pt idx="70">
                  <c:v>585.57724715974553</c:v>
                </c:pt>
                <c:pt idx="71">
                  <c:v>551.86576328556498</c:v>
                </c:pt>
                <c:pt idx="72">
                  <c:v>568.90797010861979</c:v>
                </c:pt>
                <c:pt idx="73">
                  <c:v>585.93951180923568</c:v>
                </c:pt>
                <c:pt idx="74">
                  <c:v>602.96074183921121</c:v>
                </c:pt>
                <c:pt idx="75">
                  <c:v>619.97199208161771</c:v>
                </c:pt>
                <c:pt idx="76">
                  <c:v>585.21497783974257</c:v>
                </c:pt>
                <c:pt idx="77">
                  <c:v>601.15045270282633</c:v>
                </c:pt>
                <c:pt idx="78">
                  <c:v>617.07715121692206</c:v>
                </c:pt>
                <c:pt idx="79">
                  <c:v>632.99533165913169</c:v>
                </c:pt>
                <c:pt idx="80">
                  <c:v>648.90523826610968</c:v>
                </c:pt>
                <c:pt idx="81">
                  <c:v>613.4582040265019</c:v>
                </c:pt>
                <c:pt idx="82">
                  <c:v>628.65484029812262</c:v>
                </c:pt>
                <c:pt idx="83">
                  <c:v>643.84387841344744</c:v>
                </c:pt>
                <c:pt idx="84">
                  <c:v>659.02552275988899</c:v>
                </c:pt>
                <c:pt idx="85">
                  <c:v>674.19996754655335</c:v>
                </c:pt>
                <c:pt idx="86">
                  <c:v>639.50491644472538</c:v>
                </c:pt>
                <c:pt idx="87">
                  <c:v>653.60434327896314</c:v>
                </c:pt>
                <c:pt idx="88">
                  <c:v>667.69750358645092</c:v>
                </c:pt>
                <c:pt idx="89">
                  <c:v>681.78454819307149</c:v>
                </c:pt>
                <c:pt idx="90">
                  <c:v>695.86562118765903</c:v>
                </c:pt>
                <c:pt idx="91">
                  <c:v>662.63913175881328</c:v>
                </c:pt>
                <c:pt idx="92">
                  <c:v>676.36716853994983</c:v>
                </c:pt>
                <c:pt idx="93">
                  <c:v>690.0894841619787</c:v>
                </c:pt>
                <c:pt idx="94">
                  <c:v>703.80620835021955</c:v>
                </c:pt>
                <c:pt idx="95">
                  <c:v>717.51746536438895</c:v>
                </c:pt>
                <c:pt idx="96">
                  <c:v>685.39564340837808</c:v>
                </c:pt>
                <c:pt idx="97">
                  <c:v>698.39237185117838</c:v>
                </c:pt>
                <c:pt idx="98">
                  <c:v>711.38415005145782</c:v>
                </c:pt>
                <c:pt idx="99">
                  <c:v>724.37108110022928</c:v>
                </c:pt>
                <c:pt idx="100">
                  <c:v>737.35326409283982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82.508596377636763</c:v>
                </c:pt>
                <c:pt idx="17">
                  <c:v>99.006604254682017</c:v>
                </c:pt>
                <c:pt idx="18">
                  <c:v>115.43621516079588</c:v>
                </c:pt>
                <c:pt idx="19">
                  <c:v>131.8085611384661</c:v>
                </c:pt>
                <c:pt idx="20">
                  <c:v>148.13176890752257</c:v>
                </c:pt>
                <c:pt idx="21">
                  <c:v>123.62898327972762</c:v>
                </c:pt>
                <c:pt idx="22">
                  <c:v>141.67594470663133</c:v>
                </c:pt>
                <c:pt idx="23">
                  <c:v>159.66774547880371</c:v>
                </c:pt>
                <c:pt idx="24">
                  <c:v>177.61148225294485</c:v>
                </c:pt>
                <c:pt idx="25">
                  <c:v>195.51269709583855</c:v>
                </c:pt>
                <c:pt idx="26">
                  <c:v>155.20281619374211</c:v>
                </c:pt>
                <c:pt idx="27">
                  <c:v>177.49876659824869</c:v>
                </c:pt>
                <c:pt idx="28">
                  <c:v>199.72898565713353</c:v>
                </c:pt>
                <c:pt idx="29">
                  <c:v>221.90182191224517</c:v>
                </c:pt>
                <c:pt idx="30">
                  <c:v>244.02381613322609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263.58734797276003</c:v>
                </c:pt>
                <c:pt idx="35">
                  <c:v>282.83933776674911</c:v>
                </c:pt>
                <c:pt idx="36">
                  <c:v>302.06197856553007</c:v>
                </c:pt>
                <c:pt idx="37">
                  <c:v>321.25740024962437</c:v>
                </c:pt>
                <c:pt idx="38">
                  <c:v>279.73236813579501</c:v>
                </c:pt>
                <c:pt idx="39">
                  <c:v>298.36290228402567</c:v>
                </c:pt>
                <c:pt idx="40">
                  <c:v>316.96751977104657</c:v>
                </c:pt>
                <c:pt idx="41">
                  <c:v>335.5479553564636</c:v>
                </c:pt>
                <c:pt idx="42">
                  <c:v>354.10573601815037</c:v>
                </c:pt>
                <c:pt idx="43">
                  <c:v>372.64221565134466</c:v>
                </c:pt>
                <c:pt idx="44">
                  <c:v>391.15860250001066</c:v>
                </c:pt>
                <c:pt idx="45">
                  <c:v>336.88699770814992</c:v>
                </c:pt>
                <c:pt idx="46">
                  <c:v>354.16518115704025</c:v>
                </c:pt>
                <c:pt idx="47">
                  <c:v>371.42490308727588</c:v>
                </c:pt>
                <c:pt idx="48">
                  <c:v>388.66714186934951</c:v>
                </c:pt>
                <c:pt idx="49">
                  <c:v>405.8927820061424</c:v>
                </c:pt>
                <c:pt idx="50">
                  <c:v>423.10262682279273</c:v>
                </c:pt>
                <c:pt idx="51">
                  <c:v>440.29740898417253</c:v>
                </c:pt>
                <c:pt idx="52">
                  <c:v>457.47779928386586</c:v>
                </c:pt>
                <c:pt idx="53">
                  <c:v>422.48085083201863</c:v>
                </c:pt>
                <c:pt idx="54">
                  <c:v>433.87697992455782</c:v>
                </c:pt>
                <c:pt idx="55">
                  <c:v>445.2666835839064</c:v>
                </c:pt>
                <c:pt idx="56">
                  <c:v>456.65014935173809</c:v>
                </c:pt>
                <c:pt idx="57">
                  <c:v>468.02755465609886</c:v>
                </c:pt>
                <c:pt idx="58">
                  <c:v>479.39906759463224</c:v>
                </c:pt>
                <c:pt idx="59">
                  <c:v>490.76484763962009</c:v>
                </c:pt>
                <c:pt idx="60">
                  <c:v>502.125046274314</c:v>
                </c:pt>
                <c:pt idx="61">
                  <c:v>437.27384609850282</c:v>
                </c:pt>
                <c:pt idx="62">
                  <c:v>450.19337467777677</c:v>
                </c:pt>
                <c:pt idx="63">
                  <c:v>463.10497394809039</c:v>
                </c:pt>
                <c:pt idx="64">
                  <c:v>476.00889611215479</c:v>
                </c:pt>
                <c:pt idx="65">
                  <c:v>488.90537858519792</c:v>
                </c:pt>
                <c:pt idx="66">
                  <c:v>501.79464523740444</c:v>
                </c:pt>
                <c:pt idx="67">
                  <c:v>514.67690750207646</c:v>
                </c:pt>
                <c:pt idx="68">
                  <c:v>527.55236536708901</c:v>
                </c:pt>
                <c:pt idx="69">
                  <c:v>540.42120826454379</c:v>
                </c:pt>
                <c:pt idx="70">
                  <c:v>553.28361587129041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2.574052909151487</c:v>
                </c:pt>
                <c:pt idx="2">
                  <c:v>3.2461281653882743</c:v>
                </c:pt>
                <c:pt idx="3">
                  <c:v>4.0943661844375043</c:v>
                </c:pt>
                <c:pt idx="4">
                  <c:v>5.1651119528221656</c:v>
                </c:pt>
                <c:pt idx="5">
                  <c:v>6.5169446661128978</c:v>
                </c:pt>
                <c:pt idx="6">
                  <c:v>8.2239175681987557</c:v>
                </c:pt>
                <c:pt idx="7">
                  <c:v>10.379658260168837</c:v>
                </c:pt>
                <c:pt idx="8">
                  <c:v>13.102558620551131</c:v>
                </c:pt>
                <c:pt idx="9">
                  <c:v>16.542344646784436</c:v>
                </c:pt>
                <c:pt idx="10">
                  <c:v>20.888394060285197</c:v>
                </c:pt>
                <c:pt idx="11">
                  <c:v>26.380267800949554</c:v>
                </c:pt>
                <c:pt idx="12">
                  <c:v>33.321046136009507</c:v>
                </c:pt>
                <c:pt idx="13">
                  <c:v>42.094218082254564</c:v>
                </c:pt>
                <c:pt idx="14">
                  <c:v>53.185073146122171</c:v>
                </c:pt>
                <c:pt idx="15">
                  <c:v>67.207798386934755</c:v>
                </c:pt>
                <c:pt idx="16">
                  <c:v>61.195253174133917</c:v>
                </c:pt>
                <c:pt idx="17">
                  <c:v>81.654071629220851</c:v>
                </c:pt>
                <c:pt idx="18">
                  <c:v>101.98231585945268</c:v>
                </c:pt>
                <c:pt idx="19">
                  <c:v>122.20987672882796</c:v>
                </c:pt>
                <c:pt idx="20">
                  <c:v>142.35583160682572</c:v>
                </c:pt>
                <c:pt idx="21">
                  <c:v>115.59337364680668</c:v>
                </c:pt>
                <c:pt idx="22">
                  <c:v>137.4997067322079</c:v>
                </c:pt>
                <c:pt idx="23">
                  <c:v>159.32196170762117</c:v>
                </c:pt>
                <c:pt idx="24">
                  <c:v>181.07329523604912</c:v>
                </c:pt>
                <c:pt idx="25">
                  <c:v>202.76343275622807</c:v>
                </c:pt>
                <c:pt idx="26">
                  <c:v>174.86524839501377</c:v>
                </c:pt>
                <c:pt idx="27">
                  <c:v>195.19554735609913</c:v>
                </c:pt>
                <c:pt idx="28">
                  <c:v>215.47663414709197</c:v>
                </c:pt>
                <c:pt idx="29">
                  <c:v>235.71379290964839</c:v>
                </c:pt>
                <c:pt idx="30">
                  <c:v>255.91132536435109</c:v>
                </c:pt>
                <c:pt idx="31">
                  <c:v>226.45787789505599</c:v>
                </c:pt>
                <c:pt idx="32">
                  <c:v>244.96141929271744</c:v>
                </c:pt>
                <c:pt idx="33">
                  <c:v>263.43320731240294</c:v>
                </c:pt>
                <c:pt idx="34">
                  <c:v>281.875781441058</c:v>
                </c:pt>
                <c:pt idx="35">
                  <c:v>300.2913216340458</c:v>
                </c:pt>
                <c:pt idx="36">
                  <c:v>268.90061493982017</c:v>
                </c:pt>
                <c:pt idx="37">
                  <c:v>285.288046348151</c:v>
                </c:pt>
                <c:pt idx="38">
                  <c:v>301.65441391376049</c:v>
                </c:pt>
                <c:pt idx="39">
                  <c:v>318.00102122537902</c:v>
                </c:pt>
                <c:pt idx="40">
                  <c:v>334.32902690172892</c:v>
                </c:pt>
                <c:pt idx="41">
                  <c:v>300.63210759978875</c:v>
                </c:pt>
                <c:pt idx="42">
                  <c:v>314.59704855401981</c:v>
                </c:pt>
                <c:pt idx="43">
                  <c:v>328.54825156463437</c:v>
                </c:pt>
                <c:pt idx="44">
                  <c:v>342.48638220302013</c:v>
                </c:pt>
                <c:pt idx="45">
                  <c:v>356.4120474383385</c:v>
                </c:pt>
                <c:pt idx="46">
                  <c:v>331.26889354954557</c:v>
                </c:pt>
                <c:pt idx="47">
                  <c:v>343.50574897575689</c:v>
                </c:pt>
                <c:pt idx="48">
                  <c:v>355.73302732578964</c:v>
                </c:pt>
                <c:pt idx="49">
                  <c:v>367.95110424042508</c:v>
                </c:pt>
                <c:pt idx="50">
                  <c:v>380.160328372322</c:v>
                </c:pt>
                <c:pt idx="51">
                  <c:v>361.5037994693871</c:v>
                </c:pt>
                <c:pt idx="52">
                  <c:v>371.68262431492622</c:v>
                </c:pt>
                <c:pt idx="53">
                  <c:v>381.85537235272426</c:v>
                </c:pt>
                <c:pt idx="54">
                  <c:v>392.02222835802286</c:v>
                </c:pt>
                <c:pt idx="55">
                  <c:v>402.18336673633195</c:v>
                </c:pt>
                <c:pt idx="56">
                  <c:v>388.97277965128006</c:v>
                </c:pt>
                <c:pt idx="57">
                  <c:v>397.78089798901971</c:v>
                </c:pt>
                <c:pt idx="58">
                  <c:v>406.58479291095313</c:v>
                </c:pt>
                <c:pt idx="59">
                  <c:v>415.384568809923</c:v>
                </c:pt>
                <c:pt idx="60">
                  <c:v>424.18032529272591</c:v>
                </c:pt>
                <c:pt idx="61">
                  <c:v>411.32363915605634</c:v>
                </c:pt>
                <c:pt idx="62">
                  <c:v>418.76802245127936</c:v>
                </c:pt>
                <c:pt idx="63">
                  <c:v>426.20955457884071</c:v>
                </c:pt>
                <c:pt idx="64">
                  <c:v>433.64829237194994</c:v>
                </c:pt>
                <c:pt idx="65">
                  <c:v>441.08429055375751</c:v>
                </c:pt>
                <c:pt idx="66">
                  <c:v>428.91487052918592</c:v>
                </c:pt>
                <c:pt idx="67">
                  <c:v>435.33853059869892</c:v>
                </c:pt>
                <c:pt idx="68">
                  <c:v>441.76015637738465</c:v>
                </c:pt>
                <c:pt idx="69">
                  <c:v>448.17978162908167</c:v>
                </c:pt>
                <c:pt idx="70">
                  <c:v>454.59743907080406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2.0061599143563931</c:v>
                </c:pt>
                <c:pt idx="2">
                  <c:v>2.8330232135356752</c:v>
                </c:pt>
                <c:pt idx="3">
                  <c:v>4.0021844522112344</c:v>
                </c:pt>
                <c:pt idx="4">
                  <c:v>5.6559280163582706</c:v>
                </c:pt>
                <c:pt idx="5">
                  <c:v>7.9959082187527839</c:v>
                </c:pt>
                <c:pt idx="6">
                  <c:v>11.308009420147043</c:v>
                </c:pt>
                <c:pt idx="7">
                  <c:v>15.997649473797606</c:v>
                </c:pt>
                <c:pt idx="8">
                  <c:v>22.6399264346115</c:v>
                </c:pt>
                <c:pt idx="9">
                  <c:v>32.050867160956948</c:v>
                </c:pt>
                <c:pt idx="10">
                  <c:v>45.388682172129364</c:v>
                </c:pt>
                <c:pt idx="11">
                  <c:v>60.514695528795386</c:v>
                </c:pt>
                <c:pt idx="12">
                  <c:v>75.541596157280864</c:v>
                </c:pt>
                <c:pt idx="13">
                  <c:v>90.492041210372676</c:v>
                </c:pt>
                <c:pt idx="14">
                  <c:v>105.38050081480264</c:v>
                </c:pt>
                <c:pt idx="15">
                  <c:v>120.21699124835231</c:v>
                </c:pt>
                <c:pt idx="16">
                  <c:v>92.416369816730835</c:v>
                </c:pt>
                <c:pt idx="17">
                  <c:v>111.36874928702889</c:v>
                </c:pt>
                <c:pt idx="18">
                  <c:v>130.24178504064366</c:v>
                </c:pt>
                <c:pt idx="19">
                  <c:v>149.0486227432686</c:v>
                </c:pt>
                <c:pt idx="20">
                  <c:v>167.79880331835713</c:v>
                </c:pt>
                <c:pt idx="21">
                  <c:v>137.86711899238378</c:v>
                </c:pt>
                <c:pt idx="22">
                  <c:v>157.83692263801237</c:v>
                </c:pt>
                <c:pt idx="23">
                  <c:v>177.74673882318052</c:v>
                </c:pt>
                <c:pt idx="24">
                  <c:v>197.60423730399955</c:v>
                </c:pt>
                <c:pt idx="25">
                  <c:v>217.41541708927392</c:v>
                </c:pt>
                <c:pt idx="26">
                  <c:v>186.73598138519102</c:v>
                </c:pt>
                <c:pt idx="27">
                  <c:v>205.62833372118314</c:v>
                </c:pt>
                <c:pt idx="28">
                  <c:v>224.48055915021382</c:v>
                </c:pt>
                <c:pt idx="29">
                  <c:v>243.29650191025416</c:v>
                </c:pt>
                <c:pt idx="30">
                  <c:v>262.07936261335271</c:v>
                </c:pt>
                <c:pt idx="31">
                  <c:v>229.65841439261337</c:v>
                </c:pt>
                <c:pt idx="32">
                  <c:v>246.5858084671363</c:v>
                </c:pt>
                <c:pt idx="33">
                  <c:v>263.48682168593842</c:v>
                </c:pt>
                <c:pt idx="34">
                  <c:v>280.36338431358689</c:v>
                </c:pt>
                <c:pt idx="35">
                  <c:v>297.21717518827558</c:v>
                </c:pt>
                <c:pt idx="36">
                  <c:v>263.48682168593848</c:v>
                </c:pt>
                <c:pt idx="37">
                  <c:v>278.95789553357918</c:v>
                </c:pt>
                <c:pt idx="38">
                  <c:v>294.40972662740677</c:v>
                </c:pt>
                <c:pt idx="39">
                  <c:v>309.84346710446169</c:v>
                </c:pt>
                <c:pt idx="40">
                  <c:v>325.26014493454323</c:v>
                </c:pt>
                <c:pt idx="41">
                  <c:v>294.64370341336456</c:v>
                </c:pt>
                <c:pt idx="42">
                  <c:v>308.44111949657554</c:v>
                </c:pt>
                <c:pt idx="43">
                  <c:v>322.22483077597991</c:v>
                </c:pt>
                <c:pt idx="44">
                  <c:v>335.99550614056949</c:v>
                </c:pt>
                <c:pt idx="45">
                  <c:v>349.75375516637615</c:v>
                </c:pt>
                <c:pt idx="46">
                  <c:v>323.15884066155769</c:v>
                </c:pt>
                <c:pt idx="47">
                  <c:v>336.22879868133322</c:v>
                </c:pt>
                <c:pt idx="48">
                  <c:v>349.28757120195638</c:v>
                </c:pt>
                <c:pt idx="49">
                  <c:v>362.33563538750872</c:v>
                </c:pt>
                <c:pt idx="50">
                  <c:v>375.37343122590363</c:v>
                </c:pt>
                <c:pt idx="51">
                  <c:v>9.8459716521636505E-13</c:v>
                </c:pt>
                <c:pt idx="52">
                  <c:v>9.8459716521636505E-13</c:v>
                </c:pt>
                <c:pt idx="53">
                  <c:v>9.8459716521636505E-13</c:v>
                </c:pt>
                <c:pt idx="54">
                  <c:v>9.8459716521636505E-13</c:v>
                </c:pt>
                <c:pt idx="55">
                  <c:v>9.8459716521636505E-13</c:v>
                </c:pt>
                <c:pt idx="56">
                  <c:v>9.8459716521636505E-13</c:v>
                </c:pt>
                <c:pt idx="57">
                  <c:v>9.8459716521636505E-13</c:v>
                </c:pt>
                <c:pt idx="58">
                  <c:v>9.8459716521636505E-13</c:v>
                </c:pt>
                <c:pt idx="59">
                  <c:v>9.8459716521636505E-13</c:v>
                </c:pt>
                <c:pt idx="60">
                  <c:v>9.8459716521636505E-13</c:v>
                </c:pt>
                <c:pt idx="61">
                  <c:v>9.8459716521636505E-13</c:v>
                </c:pt>
                <c:pt idx="62">
                  <c:v>9.8459716521636505E-13</c:v>
                </c:pt>
                <c:pt idx="63">
                  <c:v>9.8459716521636505E-13</c:v>
                </c:pt>
                <c:pt idx="64">
                  <c:v>9.8459716521636505E-13</c:v>
                </c:pt>
                <c:pt idx="65">
                  <c:v>9.8459716521636505E-13</c:v>
                </c:pt>
                <c:pt idx="66">
                  <c:v>9.8459716521636505E-13</c:v>
                </c:pt>
                <c:pt idx="67">
                  <c:v>9.8459716521636505E-13</c:v>
                </c:pt>
                <c:pt idx="68">
                  <c:v>9.8459716521636505E-13</c:v>
                </c:pt>
                <c:pt idx="69">
                  <c:v>9.8459716521636505E-13</c:v>
                </c:pt>
                <c:pt idx="70">
                  <c:v>9.8459716521636505E-13</c:v>
                </c:pt>
                <c:pt idx="71">
                  <c:v>9.8459716521636505E-13</c:v>
                </c:pt>
                <c:pt idx="72">
                  <c:v>9.8459716521636505E-13</c:v>
                </c:pt>
                <c:pt idx="73">
                  <c:v>9.8459716521636505E-13</c:v>
                </c:pt>
                <c:pt idx="74">
                  <c:v>9.8459716521636505E-13</c:v>
                </c:pt>
                <c:pt idx="75">
                  <c:v>9.8459716521636505E-13</c:v>
                </c:pt>
                <c:pt idx="76">
                  <c:v>9.8459716521636505E-13</c:v>
                </c:pt>
                <c:pt idx="77">
                  <c:v>9.8459716521636505E-13</c:v>
                </c:pt>
                <c:pt idx="78">
                  <c:v>9.8459716521636505E-13</c:v>
                </c:pt>
                <c:pt idx="79">
                  <c:v>9.8459716521636505E-13</c:v>
                </c:pt>
                <c:pt idx="80">
                  <c:v>9.8459716521636505E-13</c:v>
                </c:pt>
                <c:pt idx="81">
                  <c:v>9.8459716521636505E-13</c:v>
                </c:pt>
                <c:pt idx="82">
                  <c:v>9.8459716521636505E-13</c:v>
                </c:pt>
                <c:pt idx="83">
                  <c:v>9.8459716521636505E-13</c:v>
                </c:pt>
                <c:pt idx="84">
                  <c:v>9.8459716521636505E-13</c:v>
                </c:pt>
                <c:pt idx="85">
                  <c:v>9.8459716521636505E-13</c:v>
                </c:pt>
                <c:pt idx="86">
                  <c:v>9.8459716521636505E-13</c:v>
                </c:pt>
                <c:pt idx="87">
                  <c:v>9.8459716521636505E-13</c:v>
                </c:pt>
                <c:pt idx="88">
                  <c:v>9.8459716521636505E-13</c:v>
                </c:pt>
                <c:pt idx="89">
                  <c:v>9.8459716521636505E-13</c:v>
                </c:pt>
                <c:pt idx="90">
                  <c:v>9.8459716521636505E-13</c:v>
                </c:pt>
                <c:pt idx="91">
                  <c:v>9.8459716521636505E-13</c:v>
                </c:pt>
                <c:pt idx="92">
                  <c:v>9.8459716521636505E-13</c:v>
                </c:pt>
                <c:pt idx="93">
                  <c:v>9.8459716521636505E-13</c:v>
                </c:pt>
                <c:pt idx="94">
                  <c:v>9.8459716521636505E-13</c:v>
                </c:pt>
                <c:pt idx="95">
                  <c:v>9.8459716521636505E-13</c:v>
                </c:pt>
                <c:pt idx="96">
                  <c:v>9.8459716521636505E-13</c:v>
                </c:pt>
                <c:pt idx="97">
                  <c:v>9.8459716521636505E-13</c:v>
                </c:pt>
                <c:pt idx="98">
                  <c:v>9.8459716521636505E-13</c:v>
                </c:pt>
                <c:pt idx="99">
                  <c:v>9.8459716521636505E-13</c:v>
                </c:pt>
                <c:pt idx="100">
                  <c:v>9.8459716521636505E-13</c:v>
                </c:pt>
                <c:pt idx="101">
                  <c:v>9.8459716521636505E-13</c:v>
                </c:pt>
                <c:pt idx="102">
                  <c:v>9.8459716521636505E-13</c:v>
                </c:pt>
                <c:pt idx="103">
                  <c:v>9.8459716521636505E-13</c:v>
                </c:pt>
                <c:pt idx="104">
                  <c:v>9.8459716521636505E-13</c:v>
                </c:pt>
                <c:pt idx="105">
                  <c:v>9.8459716521636505E-13</c:v>
                </c:pt>
                <c:pt idx="106">
                  <c:v>9.8459716521636505E-13</c:v>
                </c:pt>
                <c:pt idx="107">
                  <c:v>9.8459716521636505E-13</c:v>
                </c:pt>
                <c:pt idx="108">
                  <c:v>9.8459716521636505E-13</c:v>
                </c:pt>
                <c:pt idx="109">
                  <c:v>9.8459716521636505E-13</c:v>
                </c:pt>
                <c:pt idx="110">
                  <c:v>9.8459716521636505E-13</c:v>
                </c:pt>
                <c:pt idx="111">
                  <c:v>9.8459716521636505E-13</c:v>
                </c:pt>
                <c:pt idx="112">
                  <c:v>9.8459716521636505E-13</c:v>
                </c:pt>
                <c:pt idx="113">
                  <c:v>9.8459716521636505E-13</c:v>
                </c:pt>
                <c:pt idx="114">
                  <c:v>9.8459716521636505E-13</c:v>
                </c:pt>
                <c:pt idx="115">
                  <c:v>9.8459716521636505E-13</c:v>
                </c:pt>
                <c:pt idx="116">
                  <c:v>9.8459716521636505E-13</c:v>
                </c:pt>
                <c:pt idx="117">
                  <c:v>9.8459716521636505E-13</c:v>
                </c:pt>
                <c:pt idx="118">
                  <c:v>9.8459716521636505E-13</c:v>
                </c:pt>
                <c:pt idx="119">
                  <c:v>9.8459716521636505E-13</c:v>
                </c:pt>
                <c:pt idx="120">
                  <c:v>9.8459716521636505E-13</c:v>
                </c:pt>
                <c:pt idx="121">
                  <c:v>9.8459716521636505E-13</c:v>
                </c:pt>
                <c:pt idx="122">
                  <c:v>9.8459716521636505E-13</c:v>
                </c:pt>
                <c:pt idx="123">
                  <c:v>9.8459716521636505E-13</c:v>
                </c:pt>
                <c:pt idx="124">
                  <c:v>9.8459716521636505E-13</c:v>
                </c:pt>
                <c:pt idx="125">
                  <c:v>9.8459716521636505E-13</c:v>
                </c:pt>
                <c:pt idx="126">
                  <c:v>9.8459716521636505E-13</c:v>
                </c:pt>
                <c:pt idx="127">
                  <c:v>9.8459716521636505E-13</c:v>
                </c:pt>
                <c:pt idx="128">
                  <c:v>9.8459716521636505E-13</c:v>
                </c:pt>
                <c:pt idx="129">
                  <c:v>9.8459716521636505E-13</c:v>
                </c:pt>
                <c:pt idx="130">
                  <c:v>9.8459716521636505E-13</c:v>
                </c:pt>
                <c:pt idx="131">
                  <c:v>9.8459716521636505E-13</c:v>
                </c:pt>
                <c:pt idx="132">
                  <c:v>9.8459716521636505E-13</c:v>
                </c:pt>
                <c:pt idx="133">
                  <c:v>9.8459716521636505E-13</c:v>
                </c:pt>
                <c:pt idx="134">
                  <c:v>9.8459716521636505E-13</c:v>
                </c:pt>
                <c:pt idx="135">
                  <c:v>9.8459716521636505E-13</c:v>
                </c:pt>
                <c:pt idx="136">
                  <c:v>9.8459716521636505E-13</c:v>
                </c:pt>
                <c:pt idx="137">
                  <c:v>9.8459716521636505E-13</c:v>
                </c:pt>
                <c:pt idx="138">
                  <c:v>9.8459716521636505E-13</c:v>
                </c:pt>
                <c:pt idx="139">
                  <c:v>9.8459716521636505E-13</c:v>
                </c:pt>
                <c:pt idx="140">
                  <c:v>9.8459716521636505E-13</c:v>
                </c:pt>
                <c:pt idx="141">
                  <c:v>9.8459716521636505E-13</c:v>
                </c:pt>
                <c:pt idx="142">
                  <c:v>9.8459716521636505E-13</c:v>
                </c:pt>
                <c:pt idx="143">
                  <c:v>9.8459716521636505E-13</c:v>
                </c:pt>
                <c:pt idx="144">
                  <c:v>9.8459716521636505E-13</c:v>
                </c:pt>
                <c:pt idx="145">
                  <c:v>9.8459716521636505E-13</c:v>
                </c:pt>
                <c:pt idx="146">
                  <c:v>9.8459716521636505E-13</c:v>
                </c:pt>
                <c:pt idx="147">
                  <c:v>9.8459716521636505E-13</c:v>
                </c:pt>
                <c:pt idx="148">
                  <c:v>9.8459716521636505E-13</c:v>
                </c:pt>
                <c:pt idx="149">
                  <c:v>9.8459716521636505E-13</c:v>
                </c:pt>
                <c:pt idx="150">
                  <c:v>9.8459716521636505E-13</c:v>
                </c:pt>
                <c:pt idx="151">
                  <c:v>9.8459716521636505E-13</c:v>
                </c:pt>
                <c:pt idx="152">
                  <c:v>9.8459716521636505E-13</c:v>
                </c:pt>
                <c:pt idx="153">
                  <c:v>9.8459716521636505E-13</c:v>
                </c:pt>
                <c:pt idx="154">
                  <c:v>9.8459716521636505E-13</c:v>
                </c:pt>
                <c:pt idx="155">
                  <c:v>9.8459716521636505E-13</c:v>
                </c:pt>
                <c:pt idx="156">
                  <c:v>9.8459716521636505E-13</c:v>
                </c:pt>
                <c:pt idx="157">
                  <c:v>9.8459716521636505E-13</c:v>
                </c:pt>
                <c:pt idx="158">
                  <c:v>9.8459716521636505E-13</c:v>
                </c:pt>
                <c:pt idx="159">
                  <c:v>9.8459716521636505E-13</c:v>
                </c:pt>
                <c:pt idx="160">
                  <c:v>9.8459716521636505E-13</c:v>
                </c:pt>
                <c:pt idx="161">
                  <c:v>9.8459716521636505E-13</c:v>
                </c:pt>
                <c:pt idx="162">
                  <c:v>9.8459716521636505E-13</c:v>
                </c:pt>
                <c:pt idx="163">
                  <c:v>9.8459716521636505E-13</c:v>
                </c:pt>
                <c:pt idx="164">
                  <c:v>9.8459716521636505E-13</c:v>
                </c:pt>
                <c:pt idx="165">
                  <c:v>9.8459716521636505E-13</c:v>
                </c:pt>
                <c:pt idx="166">
                  <c:v>9.8459716521636505E-13</c:v>
                </c:pt>
                <c:pt idx="167">
                  <c:v>9.8459716521636505E-13</c:v>
                </c:pt>
                <c:pt idx="168">
                  <c:v>9.8459716521636505E-13</c:v>
                </c:pt>
                <c:pt idx="169">
                  <c:v>9.8459716521636505E-13</c:v>
                </c:pt>
                <c:pt idx="170">
                  <c:v>9.8459716521636505E-13</c:v>
                </c:pt>
                <c:pt idx="171">
                  <c:v>9.8459716521636505E-13</c:v>
                </c:pt>
                <c:pt idx="172">
                  <c:v>9.8459716521636505E-13</c:v>
                </c:pt>
                <c:pt idx="173">
                  <c:v>9.8459716521636505E-13</c:v>
                </c:pt>
                <c:pt idx="174">
                  <c:v>9.8459716521636505E-13</c:v>
                </c:pt>
                <c:pt idx="175">
                  <c:v>9.8459716521636505E-13</c:v>
                </c:pt>
                <c:pt idx="176">
                  <c:v>9.8459716521636505E-13</c:v>
                </c:pt>
                <c:pt idx="177">
                  <c:v>9.8459716521636505E-13</c:v>
                </c:pt>
                <c:pt idx="178">
                  <c:v>9.8459716521636505E-13</c:v>
                </c:pt>
                <c:pt idx="179">
                  <c:v>9.8459716521636505E-13</c:v>
                </c:pt>
                <c:pt idx="180">
                  <c:v>9.8459716521636505E-13</c:v>
                </c:pt>
                <c:pt idx="181">
                  <c:v>9.8459716521636505E-13</c:v>
                </c:pt>
                <c:pt idx="182">
                  <c:v>9.8459716521636505E-13</c:v>
                </c:pt>
                <c:pt idx="183">
                  <c:v>9.8459716521636505E-13</c:v>
                </c:pt>
                <c:pt idx="184">
                  <c:v>9.8459716521636505E-13</c:v>
                </c:pt>
                <c:pt idx="185">
                  <c:v>9.8459716521636505E-13</c:v>
                </c:pt>
                <c:pt idx="186">
                  <c:v>9.8459716521636505E-13</c:v>
                </c:pt>
                <c:pt idx="187">
                  <c:v>9.8459716521636505E-13</c:v>
                </c:pt>
                <c:pt idx="188">
                  <c:v>9.8459716521636505E-13</c:v>
                </c:pt>
                <c:pt idx="189">
                  <c:v>9.8459716521636505E-13</c:v>
                </c:pt>
                <c:pt idx="190">
                  <c:v>9.8459716521636505E-13</c:v>
                </c:pt>
                <c:pt idx="191">
                  <c:v>9.8459716521636505E-13</c:v>
                </c:pt>
                <c:pt idx="192">
                  <c:v>9.8459716521636505E-13</c:v>
                </c:pt>
                <c:pt idx="193">
                  <c:v>9.8459716521636505E-13</c:v>
                </c:pt>
                <c:pt idx="194">
                  <c:v>9.8459716521636505E-13</c:v>
                </c:pt>
                <c:pt idx="195">
                  <c:v>9.8459716521636505E-13</c:v>
                </c:pt>
                <c:pt idx="196">
                  <c:v>9.8459716521636505E-13</c:v>
                </c:pt>
                <c:pt idx="197">
                  <c:v>9.8459716521636505E-13</c:v>
                </c:pt>
                <c:pt idx="198">
                  <c:v>9.8459716521636505E-13</c:v>
                </c:pt>
                <c:pt idx="199">
                  <c:v>9.8459716521636505E-13</c:v>
                </c:pt>
                <c:pt idx="200">
                  <c:v>9.8459716521636505E-13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1.9897619947882648</c:v>
                </c:pt>
                <c:pt idx="2">
                  <c:v>2.552996102096587</c:v>
                </c:pt>
                <c:pt idx="3">
                  <c:v>3.2763048074509658</c:v>
                </c:pt>
                <c:pt idx="4">
                  <c:v>4.2053545364457383</c:v>
                </c:pt>
                <c:pt idx="5">
                  <c:v>5.3988855456307512</c:v>
                </c:pt>
                <c:pt idx="6">
                  <c:v>6.9324670734462677</c:v>
                </c:pt>
                <c:pt idx="7">
                  <c:v>8.9033343180521864</c:v>
                </c:pt>
                <c:pt idx="8">
                  <c:v>11.436619765722265</c:v>
                </c:pt>
                <c:pt idx="9">
                  <c:v>14.693381903188557</c:v>
                </c:pt>
                <c:pt idx="10">
                  <c:v>18.880951128950827</c:v>
                </c:pt>
                <c:pt idx="11">
                  <c:v>24.266263373552302</c:v>
                </c:pt>
                <c:pt idx="12">
                  <c:v>31.193046415276033</c:v>
                </c:pt>
                <c:pt idx="13">
                  <c:v>40.10397488031095</c:v>
                </c:pt>
                <c:pt idx="14">
                  <c:v>51.569233906282783</c:v>
                </c:pt>
                <c:pt idx="15">
                  <c:v>66.323349688114789</c:v>
                </c:pt>
                <c:pt idx="16">
                  <c:v>92.52086174225677</c:v>
                </c:pt>
                <c:pt idx="17">
                  <c:v>118.53116912117031</c:v>
                </c:pt>
                <c:pt idx="18">
                  <c:v>144.4015398483165</c:v>
                </c:pt>
                <c:pt idx="19">
                  <c:v>170.16069105127073</c:v>
                </c:pt>
                <c:pt idx="20">
                  <c:v>135.53069857495038</c:v>
                </c:pt>
                <c:pt idx="21">
                  <c:v>161.15012092979916</c:v>
                </c:pt>
                <c:pt idx="22">
                  <c:v>186.67293481199212</c:v>
                </c:pt>
                <c:pt idx="23">
                  <c:v>212.11422506599504</c:v>
                </c:pt>
                <c:pt idx="24">
                  <c:v>237.48514992227561</c:v>
                </c:pt>
                <c:pt idx="25">
                  <c:v>206.35939041736609</c:v>
                </c:pt>
                <c:pt idx="26">
                  <c:v>233.2697466941612</c:v>
                </c:pt>
                <c:pt idx="27">
                  <c:v>260.10919155228936</c:v>
                </c:pt>
                <c:pt idx="28">
                  <c:v>286.8860689751682</c:v>
                </c:pt>
                <c:pt idx="29">
                  <c:v>313.60703674466691</c:v>
                </c:pt>
                <c:pt idx="30">
                  <c:v>340.27752501668795</c:v>
                </c:pt>
                <c:pt idx="31">
                  <c:v>278.36609264736131</c:v>
                </c:pt>
                <c:pt idx="32">
                  <c:v>302.23179355590872</c:v>
                </c:pt>
                <c:pt idx="33">
                  <c:v>329.55032341167646</c:v>
                </c:pt>
                <c:pt idx="34">
                  <c:v>356.81889117361993</c:v>
                </c:pt>
                <c:pt idx="35">
                  <c:v>384.04184826296768</c:v>
                </c:pt>
                <c:pt idx="36">
                  <c:v>411.22287909086322</c:v>
                </c:pt>
                <c:pt idx="37">
                  <c:v>438.36514154393308</c:v>
                </c:pt>
                <c:pt idx="38">
                  <c:v>394.20159315580548</c:v>
                </c:pt>
                <c:pt idx="39">
                  <c:v>419.98968010727327</c:v>
                </c:pt>
                <c:pt idx="40">
                  <c:v>445.74367122576996</c:v>
                </c:pt>
                <c:pt idx="41">
                  <c:v>471.46581141120981</c:v>
                </c:pt>
                <c:pt idx="42">
                  <c:v>497.59132076910754</c:v>
                </c:pt>
                <c:pt idx="43">
                  <c:v>523.68779015923326</c:v>
                </c:pt>
                <c:pt idx="44">
                  <c:v>549.75686849194506</c:v>
                </c:pt>
                <c:pt idx="45">
                  <c:v>575.80003571503119</c:v>
                </c:pt>
                <c:pt idx="46">
                  <c:v>601.81862713859357</c:v>
                </c:pt>
                <c:pt idx="47">
                  <c:v>506.5400029007132</c:v>
                </c:pt>
                <c:pt idx="48">
                  <c:v>528.83871919819615</c:v>
                </c:pt>
                <c:pt idx="49">
                  <c:v>551.11765041685078</c:v>
                </c:pt>
                <c:pt idx="50">
                  <c:v>573.37770811696282</c:v>
                </c:pt>
                <c:pt idx="51">
                  <c:v>596.09612790395624</c:v>
                </c:pt>
                <c:pt idx="52">
                  <c:v>618.79654510083196</c:v>
                </c:pt>
                <c:pt idx="53">
                  <c:v>641.47971233217879</c:v>
                </c:pt>
                <c:pt idx="54">
                  <c:v>664.14632471536174</c:v>
                </c:pt>
                <c:pt idx="55">
                  <c:v>686.79702610651418</c:v>
                </c:pt>
                <c:pt idx="56">
                  <c:v>709.43241448048059</c:v>
                </c:pt>
                <c:pt idx="57">
                  <c:v>632.23999168627631</c:v>
                </c:pt>
                <c:pt idx="58">
                  <c:v>652.00154138490313</c:v>
                </c:pt>
                <c:pt idx="59">
                  <c:v>671.75074866286002</c:v>
                </c:pt>
                <c:pt idx="60">
                  <c:v>691.27714232149219</c:v>
                </c:pt>
                <c:pt idx="61">
                  <c:v>710.79223670196086</c:v>
                </c:pt>
                <c:pt idx="62">
                  <c:v>730.2963853903326</c:v>
                </c:pt>
                <c:pt idx="63">
                  <c:v>749.78992156646348</c:v>
                </c:pt>
                <c:pt idx="64">
                  <c:v>769.2731596922963</c:v>
                </c:pt>
                <c:pt idx="65">
                  <c:v>788.74639702040906</c:v>
                </c:pt>
                <c:pt idx="66">
                  <c:v>808.20991494600241</c:v>
                </c:pt>
                <c:pt idx="67">
                  <c:v>706.83567057171933</c:v>
                </c:pt>
                <c:pt idx="68">
                  <c:v>714.72590161821381</c:v>
                </c:pt>
                <c:pt idx="69">
                  <c:v>722.61435383527805</c:v>
                </c:pt>
                <c:pt idx="70">
                  <c:v>730.5010493755093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1.5540203492146427</c:v>
                </c:pt>
                <c:pt idx="2">
                  <c:v>1.9710595943294553</c:v>
                </c:pt>
                <c:pt idx="3">
                  <c:v>2.5004677305616276</c:v>
                </c:pt>
                <c:pt idx="4">
                  <c:v>3.1726370094050123</c:v>
                </c:pt>
                <c:pt idx="5">
                  <c:v>4.0262090389534713</c:v>
                </c:pt>
                <c:pt idx="6">
                  <c:v>5.1103212885242639</c:v>
                </c:pt>
                <c:pt idx="7">
                  <c:v>6.4874672329145193</c:v>
                </c:pt>
                <c:pt idx="8">
                  <c:v>8.2371382210826081</c:v>
                </c:pt>
                <c:pt idx="9">
                  <c:v>10.460461311885025</c:v>
                </c:pt>
                <c:pt idx="10">
                  <c:v>13.286106181967314</c:v>
                </c:pt>
                <c:pt idx="11">
                  <c:v>16.877809282139697</c:v>
                </c:pt>
                <c:pt idx="12">
                  <c:v>21.443959171001595</c:v>
                </c:pt>
                <c:pt idx="13">
                  <c:v>27.249809096973291</c:v>
                </c:pt>
                <c:pt idx="14">
                  <c:v>34.633038719647061</c:v>
                </c:pt>
                <c:pt idx="15">
                  <c:v>44.023585661760478</c:v>
                </c:pt>
                <c:pt idx="16">
                  <c:v>55.968921241788202</c:v>
                </c:pt>
                <c:pt idx="17">
                  <c:v>71.166268419669663</c:v>
                </c:pt>
                <c:pt idx="18">
                  <c:v>90.503673059387893</c:v>
                </c:pt>
                <c:pt idx="19">
                  <c:v>115.11236680064013</c:v>
                </c:pt>
                <c:pt idx="20">
                  <c:v>146.43353271796309</c:v>
                </c:pt>
                <c:pt idx="21">
                  <c:v>116.8026363404107</c:v>
                </c:pt>
                <c:pt idx="22">
                  <c:v>128.06116259946739</c:v>
                </c:pt>
                <c:pt idx="23">
                  <c:v>139.29572121624975</c:v>
                </c:pt>
                <c:pt idx="24">
                  <c:v>150.5085198437738</c:v>
                </c:pt>
                <c:pt idx="25">
                  <c:v>161.70140970029556</c:v>
                </c:pt>
                <c:pt idx="26">
                  <c:v>172.87596436429328</c:v>
                </c:pt>
                <c:pt idx="27">
                  <c:v>184.03353707055848</c:v>
                </c:pt>
                <c:pt idx="28">
                  <c:v>195.17530334919044</c:v>
                </c:pt>
                <c:pt idx="29">
                  <c:v>206.30229339751153</c:v>
                </c:pt>
                <c:pt idx="30">
                  <c:v>217.41541708927389</c:v>
                </c:pt>
                <c:pt idx="31">
                  <c:v>180.99217685858619</c:v>
                </c:pt>
                <c:pt idx="32">
                  <c:v>195.17530334919044</c:v>
                </c:pt>
                <c:pt idx="33">
                  <c:v>209.33448475693987</c:v>
                </c:pt>
                <c:pt idx="34">
                  <c:v>223.47156942353161</c:v>
                </c:pt>
                <c:pt idx="35">
                  <c:v>237.58815254200749</c:v>
                </c:pt>
                <c:pt idx="36">
                  <c:v>251.68562413487288</c:v>
                </c:pt>
                <c:pt idx="37">
                  <c:v>265.76520570407024</c:v>
                </c:pt>
                <c:pt idx="38">
                  <c:v>279.82797869837384</c:v>
                </c:pt>
                <c:pt idx="39">
                  <c:v>293.8749069529452</c:v>
                </c:pt>
                <c:pt idx="40">
                  <c:v>307.90685461043864</c:v>
                </c:pt>
                <c:pt idx="41">
                  <c:v>271.79410793232609</c:v>
                </c:pt>
                <c:pt idx="42">
                  <c:v>285.8499784841336</c:v>
                </c:pt>
                <c:pt idx="43">
                  <c:v>299.89038593700792</c:v>
                </c:pt>
                <c:pt idx="44">
                  <c:v>313.91615631143901</c:v>
                </c:pt>
                <c:pt idx="45">
                  <c:v>327.92803577212442</c:v>
                </c:pt>
                <c:pt idx="46">
                  <c:v>341.92670150246295</c:v>
                </c:pt>
                <c:pt idx="47">
                  <c:v>355.91277070439509</c:v>
                </c:pt>
                <c:pt idx="48">
                  <c:v>369.88680810922136</c:v>
                </c:pt>
                <c:pt idx="49">
                  <c:v>383.84933229384137</c:v>
                </c:pt>
                <c:pt idx="50">
                  <c:v>397.80082102983079</c:v>
                </c:pt>
                <c:pt idx="51">
                  <c:v>360.90485169292782</c:v>
                </c:pt>
                <c:pt idx="52">
                  <c:v>373.87725393504803</c:v>
                </c:pt>
                <c:pt idx="53">
                  <c:v>386.83985045971798</c:v>
                </c:pt>
                <c:pt idx="54">
                  <c:v>399.79301616201769</c:v>
                </c:pt>
                <c:pt idx="55">
                  <c:v>412.73709966044299</c:v>
                </c:pt>
                <c:pt idx="56">
                  <c:v>425.67242592235567</c:v>
                </c:pt>
                <c:pt idx="57">
                  <c:v>438.59929855364618</c:v>
                </c:pt>
                <c:pt idx="58">
                  <c:v>451.51800180438869</c:v>
                </c:pt>
                <c:pt idx="59">
                  <c:v>464.4288023329982</c:v>
                </c:pt>
                <c:pt idx="60">
                  <c:v>477.33195076400972</c:v>
                </c:pt>
                <c:pt idx="61">
                  <c:v>449.53102985794368</c:v>
                </c:pt>
                <c:pt idx="62">
                  <c:v>461.45007488733671</c:v>
                </c:pt>
                <c:pt idx="63">
                  <c:v>473.36255181121783</c:v>
                </c:pt>
                <c:pt idx="64">
                  <c:v>485.26864921222455</c:v>
                </c:pt>
                <c:pt idx="65">
                  <c:v>497.16854566479356</c:v>
                </c:pt>
                <c:pt idx="66">
                  <c:v>509.06241049820727</c:v>
                </c:pt>
                <c:pt idx="67">
                  <c:v>520.9504044846235</c:v>
                </c:pt>
                <c:pt idx="68">
                  <c:v>532.83268046104365</c:v>
                </c:pt>
                <c:pt idx="69">
                  <c:v>544.7093838929228</c:v>
                </c:pt>
                <c:pt idx="70">
                  <c:v>556.58065338607753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abSelected="1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56" t="s">
        <v>291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</row>
    <row r="13" spans="2:13" ht="15" customHeight="1" x14ac:dyDescent="0.2"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</row>
    <row r="14" spans="2:13" ht="15" customHeight="1" x14ac:dyDescent="0.2"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</row>
    <row r="15" spans="2:13" ht="18.75" customHeight="1" x14ac:dyDescent="0.2"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</row>
    <row r="16" spans="2:13" ht="18.75" customHeight="1" x14ac:dyDescent="0.2">
      <c r="B16" s="256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</row>
    <row r="18" spans="2:13" ht="12" customHeight="1" x14ac:dyDescent="0.2">
      <c r="B18" s="256" t="s">
        <v>292</v>
      </c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</row>
    <row r="19" spans="2:13" ht="12" customHeight="1" x14ac:dyDescent="0.2"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</row>
    <row r="20" spans="2:13" ht="12" customHeight="1" x14ac:dyDescent="0.2"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</row>
    <row r="21" spans="2:13" ht="12" customHeight="1" x14ac:dyDescent="0.2"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</row>
    <row r="22" spans="2:13" ht="12" customHeight="1" x14ac:dyDescent="0.2"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</row>
    <row r="23" spans="2:13" ht="12" customHeight="1" x14ac:dyDescent="0.2"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</row>
    <row r="24" spans="2:13" ht="12" customHeight="1" x14ac:dyDescent="0.2"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</row>
    <row r="25" spans="2:13" ht="12" customHeight="1" x14ac:dyDescent="0.2"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</row>
    <row r="26" spans="2:13" ht="12" customHeight="1" x14ac:dyDescent="0.2"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</row>
    <row r="27" spans="2:13" ht="12" customHeight="1" x14ac:dyDescent="0.2"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</row>
    <row r="28" spans="2:13" ht="12" customHeight="1" x14ac:dyDescent="0.2"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</row>
    <row r="29" spans="2:13" ht="12" customHeight="1" x14ac:dyDescent="0.2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</row>
    <row r="30" spans="2:13" ht="12" customHeight="1" x14ac:dyDescent="0.2"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</row>
    <row r="31" spans="2:13" ht="12" customHeight="1" x14ac:dyDescent="0.2"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6" zoomScale="80" zoomScaleNormal="80" workbookViewId="0">
      <selection activeCell="C9" sqref="C9"/>
    </sheetView>
  </sheetViews>
  <sheetFormatPr baseColWidth="10" defaultColWidth="11.5" defaultRowHeight="15" x14ac:dyDescent="0.2"/>
  <cols>
    <col min="1" max="1" width="13.6640625" style="23" customWidth="1"/>
    <col min="2" max="2" width="36.1640625" style="23" customWidth="1"/>
    <col min="3" max="3" width="14.83203125" style="23" bestFit="1" customWidth="1"/>
    <col min="4" max="4" width="16.5" style="23" customWidth="1"/>
    <col min="5" max="5" width="23.33203125" style="23" customWidth="1"/>
    <col min="6" max="6" width="28.83203125" style="23" bestFit="1" customWidth="1"/>
    <col min="7" max="8" width="14.6640625" style="23" customWidth="1"/>
    <col min="9" max="9" width="17" style="23" customWidth="1"/>
    <col min="10" max="10" width="13.83203125" style="23" customWidth="1"/>
    <col min="11" max="16384" width="11.5" style="23"/>
  </cols>
  <sheetData>
    <row r="1" spans="1:38" x14ac:dyDescent="0.2">
      <c r="A1" s="4"/>
      <c r="B1" s="4"/>
      <c r="C1" s="257" t="s">
        <v>190</v>
      </c>
      <c r="D1" s="257"/>
      <c r="E1" s="25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6" thickBot="1" x14ac:dyDescent="0.25">
      <c r="A2" s="4"/>
      <c r="B2" s="4"/>
      <c r="C2" s="4"/>
      <c r="D2" s="4"/>
      <c r="E2" s="4"/>
      <c r="F2" s="4"/>
      <c r="G2" s="4"/>
      <c r="H2" s="4"/>
      <c r="I2" s="210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25">
      <c r="A3" s="4"/>
      <c r="B3" s="262" t="s">
        <v>192</v>
      </c>
      <c r="C3" s="263"/>
      <c r="D3" s="263"/>
      <c r="E3" s="263"/>
      <c r="F3" s="264"/>
      <c r="G3" s="89"/>
      <c r="I3" s="210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2">
      <c r="A4" s="90"/>
      <c r="B4" s="90"/>
      <c r="C4" s="90"/>
      <c r="D4" s="90"/>
      <c r="E4" s="90"/>
      <c r="F4" s="90"/>
      <c r="G4" s="217"/>
      <c r="I4" s="210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2">
      <c r="A5" s="267" t="s">
        <v>231</v>
      </c>
      <c r="B5" s="267"/>
      <c r="C5" s="24">
        <v>4.22</v>
      </c>
      <c r="D5" s="268" t="s">
        <v>229</v>
      </c>
      <c r="E5" s="269"/>
      <c r="F5" s="90"/>
      <c r="G5" s="217"/>
      <c r="H5" s="217"/>
      <c r="I5" s="21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">
      <c r="A6" s="91"/>
      <c r="B6" s="91"/>
      <c r="C6" s="4"/>
      <c r="D6" s="86"/>
      <c r="E6" s="86"/>
      <c r="F6" s="26"/>
      <c r="G6" s="204"/>
      <c r="H6" s="204"/>
      <c r="I6" s="20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2">
      <c r="A7" s="266" t="s">
        <v>226</v>
      </c>
      <c r="B7" s="266"/>
      <c r="C7" s="90"/>
      <c r="D7" s="90"/>
      <c r="E7" s="4"/>
      <c r="F7" s="90"/>
      <c r="G7" s="217"/>
      <c r="H7" s="217"/>
      <c r="I7" s="217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">
      <c r="A9" s="30" t="s">
        <v>165</v>
      </c>
      <c r="B9" s="31" t="s">
        <v>14</v>
      </c>
      <c r="C9" s="32">
        <v>0.57940000000000003</v>
      </c>
      <c r="D9" s="33">
        <f t="shared" ref="D9:D18" si="0">C9*$C$5</f>
        <v>2.445068</v>
      </c>
      <c r="E9" s="34">
        <v>120</v>
      </c>
      <c r="F9" s="35" t="str">
        <f t="array" ref="F9">IF(E9="","",IF(INDEX(A:A,MAX(IF(ISNUMBER($A$36:$A$55),ROW($A$36:$A$55),"")))&lt;&gt;E9,"Corrigez : révolution incorrecte","OK"))</f>
        <v>OK</v>
      </c>
      <c r="G9" s="227" t="s">
        <v>306</v>
      </c>
      <c r="I9" s="22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">
      <c r="A10" s="30" t="s">
        <v>166</v>
      </c>
      <c r="B10" s="31" t="s">
        <v>25</v>
      </c>
      <c r="C10" s="32">
        <v>5.0146999999999997E-2</v>
      </c>
      <c r="D10" s="33">
        <f t="shared" si="0"/>
        <v>0.21162033999999996</v>
      </c>
      <c r="E10" s="34">
        <v>100</v>
      </c>
      <c r="F10" s="35" t="str">
        <f t="array" ref="F10">IF(E10="","",IF(INDEX(A:A,MAX(IF(ISNUMBER($A$62:$A$81),ROW($A$62:$A$81),"")))&lt;&gt;E10,"Corrigez : révolution incorrecte","OK"))</f>
        <v>OK</v>
      </c>
      <c r="I10" s="22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">
      <c r="A11" s="30" t="s">
        <v>167</v>
      </c>
      <c r="B11" s="31" t="s">
        <v>29</v>
      </c>
      <c r="C11" s="32">
        <v>5.0146999999999997E-2</v>
      </c>
      <c r="D11" s="33">
        <f t="shared" si="0"/>
        <v>0.21162033999999996</v>
      </c>
      <c r="E11" s="34">
        <v>70</v>
      </c>
      <c r="F11" s="35" t="str">
        <f t="array" ref="F11">IF(E11="","",IF(INDEX(A:A,MAX(IF(ISNUMBER($A$88:$A$107),ROW($A$88:$A$107),"")))&lt;&gt;E11,"Corrigez : révolution incorrecte","OK"))</f>
        <v>OK</v>
      </c>
      <c r="I11" s="22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">
      <c r="A12" s="30" t="s">
        <v>168</v>
      </c>
      <c r="B12" s="31" t="s">
        <v>23</v>
      </c>
      <c r="C12" s="32">
        <v>5.0146999999999997E-2</v>
      </c>
      <c r="D12" s="33">
        <f t="shared" si="0"/>
        <v>0.21162033999999996</v>
      </c>
      <c r="E12" s="34">
        <v>70</v>
      </c>
      <c r="F12" s="35" t="str">
        <f t="array" ref="F12">IF(E12="","",IF(INDEX(A:A,MAX(IF(ISNUMBER($A$114:$A$133),ROW($A$114:$A$133),"")))&lt;&gt;E12,"Corrigez : révolution incorrecte","OK"))</f>
        <v>OK</v>
      </c>
      <c r="I12" s="22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">
      <c r="A13" s="30" t="s">
        <v>169</v>
      </c>
      <c r="B13" s="31" t="s">
        <v>81</v>
      </c>
      <c r="C13" s="32">
        <v>0.17893100000000001</v>
      </c>
      <c r="D13" s="33">
        <f t="shared" si="0"/>
        <v>0.75508881999999999</v>
      </c>
      <c r="E13" s="34">
        <v>50</v>
      </c>
      <c r="F13" s="35" t="str">
        <f t="array" ref="F13">IF(E13="","",IF(INDEX(A:A,MAX(IF(ISNUMBER($A$140:$A$159),ROW($A$140:$A$159),"")))&lt;&gt;E13,"Corrigez : révolution incorrecte","OK"))</f>
        <v>OK</v>
      </c>
      <c r="I13" s="22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">
      <c r="A14" s="30" t="s">
        <v>170</v>
      </c>
      <c r="B14" s="31" t="s">
        <v>35</v>
      </c>
      <c r="C14" s="32">
        <v>4.5576999999999999E-2</v>
      </c>
      <c r="D14" s="33">
        <f t="shared" si="0"/>
        <v>0.19233493999999998</v>
      </c>
      <c r="E14" s="34">
        <v>70</v>
      </c>
      <c r="F14" s="35" t="str">
        <f t="array" ref="F14">IF(E14="","",IF(INDEX(A:A,MAX(IF(ISNUMBER($A$166:$A$185),ROW($A$166:$A$185),"")))&lt;&gt;E14,"Corrigez : révolution incorrecte","OK"))</f>
        <v>OK</v>
      </c>
      <c r="I14" s="22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">
      <c r="A15" s="30" t="s">
        <v>171</v>
      </c>
      <c r="B15" s="31" t="s">
        <v>164</v>
      </c>
      <c r="C15" s="32">
        <v>4.5576999999999999E-2</v>
      </c>
      <c r="D15" s="33">
        <f t="shared" si="0"/>
        <v>0.19233493999999998</v>
      </c>
      <c r="E15" s="34">
        <v>70</v>
      </c>
      <c r="F15" s="35" t="str">
        <f t="array" ref="F15">IF(E15="","",IF(INDEX(A:A,MAX(IF(ISNUMBER($A$192:$A$211),ROW($A$192:$A$211),"")))&lt;&gt;E15,"Corrigez : révolution incorrecte","OK"))</f>
        <v>OK</v>
      </c>
      <c r="I15" s="22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5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5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">
      <c r="A19" s="78"/>
      <c r="B19" s="36" t="s">
        <v>175</v>
      </c>
      <c r="C19" s="37">
        <f>SUM(C9:C18)</f>
        <v>0.99992599999999987</v>
      </c>
      <c r="D19" s="38">
        <f>SUM(D9:D18)</f>
        <v>4.2196877200000005</v>
      </c>
      <c r="E19" s="4"/>
      <c r="F19" s="92"/>
      <c r="G19" s="218"/>
      <c r="H19" s="218"/>
      <c r="I19" s="218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">
      <c r="A20" s="78"/>
      <c r="B20" s="39" t="s">
        <v>230</v>
      </c>
      <c r="C20" s="40" t="str">
        <f>IF(C19&gt;100%,"Erreur : corrigez","OK")</f>
        <v>OK</v>
      </c>
      <c r="D20" s="221"/>
      <c r="F20" s="204"/>
      <c r="G20" s="204"/>
      <c r="H20" s="218"/>
      <c r="I20" s="218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">
      <c r="A21" s="4"/>
      <c r="B21" s="4"/>
      <c r="C21" s="4"/>
      <c r="H21" s="219"/>
      <c r="I21" s="219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25">
      <c r="A22" s="265" t="s">
        <v>232</v>
      </c>
      <c r="B22" s="26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1"/>
      <c r="I24" s="201"/>
      <c r="J24" s="220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">
      <c r="A25" s="41" t="s">
        <v>220</v>
      </c>
      <c r="B25" s="42" t="s">
        <v>219</v>
      </c>
      <c r="C25" s="45">
        <v>0.1</v>
      </c>
      <c r="D25" s="94"/>
      <c r="E25" s="4"/>
      <c r="F25" s="94"/>
      <c r="G25" s="220"/>
      <c r="I25" s="220"/>
      <c r="J25" s="220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1"/>
      <c r="I26" s="201"/>
      <c r="J26" s="201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1"/>
      <c r="I27" s="201"/>
      <c r="J27" s="201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">
      <c r="A30" s="266" t="s">
        <v>227</v>
      </c>
      <c r="B30" s="266"/>
      <c r="D30" s="22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">
      <c r="A31" s="4"/>
      <c r="B31" s="4"/>
      <c r="K31" s="22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">
      <c r="A32" s="46" t="s">
        <v>165</v>
      </c>
      <c r="B32" s="47" t="str">
        <f>IF(B9="","",B9)</f>
        <v>Chêne sessile</v>
      </c>
      <c r="D32" s="228" t="s">
        <v>307</v>
      </c>
      <c r="K32" s="22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">
      <c r="A33" s="46"/>
      <c r="B33" s="4"/>
      <c r="K33" s="22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2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32" x14ac:dyDescent="0.2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">
      <c r="A36" s="50">
        <v>20</v>
      </c>
      <c r="B36" s="60">
        <v>73</v>
      </c>
      <c r="C36" s="60">
        <v>1</v>
      </c>
      <c r="D36" s="60">
        <v>0</v>
      </c>
      <c r="E36" s="51">
        <v>0</v>
      </c>
      <c r="F36" s="51"/>
      <c r="G36" s="51"/>
      <c r="H36" s="51">
        <v>1</v>
      </c>
      <c r="I36" s="49">
        <f>IFERROR(B36/A36,"")</f>
        <v>3.65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">
      <c r="A37" s="50">
        <v>25</v>
      </c>
      <c r="B37" s="60">
        <v>109</v>
      </c>
      <c r="C37" s="60">
        <v>2</v>
      </c>
      <c r="D37" s="60">
        <v>0</v>
      </c>
      <c r="E37" s="51">
        <v>0</v>
      </c>
      <c r="F37" s="51"/>
      <c r="G37" s="51"/>
      <c r="H37" s="51">
        <v>1</v>
      </c>
      <c r="I37" s="53">
        <f t="shared" ref="I37:I55" si="1">IF(A37&lt;&gt;0,(B37-(B36-D36))/(A37-A36),"")</f>
        <v>7.2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">
      <c r="A38" s="50">
        <v>30</v>
      </c>
      <c r="B38" s="60">
        <v>155</v>
      </c>
      <c r="C38" s="60">
        <v>3</v>
      </c>
      <c r="D38" s="60">
        <v>62</v>
      </c>
      <c r="E38" s="51">
        <v>0</v>
      </c>
      <c r="F38" s="51"/>
      <c r="G38" s="51"/>
      <c r="H38" s="51">
        <v>1</v>
      </c>
      <c r="I38" s="53">
        <f t="shared" si="1"/>
        <v>9.1999999999999993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">
      <c r="A39" s="50">
        <v>35</v>
      </c>
      <c r="B39" s="60">
        <v>147</v>
      </c>
      <c r="C39" s="60">
        <v>4</v>
      </c>
      <c r="D39" s="60">
        <v>28</v>
      </c>
      <c r="E39" s="51">
        <v>0</v>
      </c>
      <c r="F39" s="51"/>
      <c r="G39" s="51"/>
      <c r="H39" s="51">
        <v>1</v>
      </c>
      <c r="I39" s="49">
        <f t="shared" si="1"/>
        <v>10.8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">
      <c r="A40" s="50">
        <v>40</v>
      </c>
      <c r="B40" s="60">
        <v>175</v>
      </c>
      <c r="C40" s="60">
        <v>5</v>
      </c>
      <c r="D40" s="60">
        <v>28</v>
      </c>
      <c r="E40" s="51">
        <v>0.2</v>
      </c>
      <c r="F40" s="51"/>
      <c r="G40" s="51"/>
      <c r="H40" s="51">
        <v>0.8</v>
      </c>
      <c r="I40" s="49">
        <f t="shared" si="1"/>
        <v>11.2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">
      <c r="A41" s="50">
        <v>45</v>
      </c>
      <c r="B41" s="60">
        <v>204</v>
      </c>
      <c r="C41" s="60">
        <v>6</v>
      </c>
      <c r="D41" s="60">
        <v>28</v>
      </c>
      <c r="E41" s="51">
        <v>0.2</v>
      </c>
      <c r="F41" s="51"/>
      <c r="G41" s="51"/>
      <c r="H41" s="51">
        <v>0.8</v>
      </c>
      <c r="I41" s="53">
        <f t="shared" si="1"/>
        <v>11.4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">
      <c r="A42" s="50">
        <v>50</v>
      </c>
      <c r="B42" s="60">
        <v>231</v>
      </c>
      <c r="C42" s="60">
        <v>7</v>
      </c>
      <c r="D42" s="60">
        <v>28</v>
      </c>
      <c r="E42" s="51">
        <v>0.3</v>
      </c>
      <c r="F42" s="51"/>
      <c r="G42" s="51"/>
      <c r="H42" s="51">
        <v>0.7</v>
      </c>
      <c r="I42" s="53">
        <f t="shared" si="1"/>
        <v>11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">
      <c r="A43" s="50">
        <v>55</v>
      </c>
      <c r="B43" s="60">
        <v>254</v>
      </c>
      <c r="C43" s="60">
        <v>8</v>
      </c>
      <c r="D43" s="60">
        <v>28</v>
      </c>
      <c r="E43" s="51">
        <v>0.3</v>
      </c>
      <c r="F43" s="51"/>
      <c r="G43" s="51"/>
      <c r="H43" s="51">
        <v>0.7</v>
      </c>
      <c r="I43" s="49">
        <f t="shared" si="1"/>
        <v>10.199999999999999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">
      <c r="A44" s="50">
        <v>60</v>
      </c>
      <c r="B44" s="60">
        <v>273</v>
      </c>
      <c r="C44" s="60">
        <v>9</v>
      </c>
      <c r="D44" s="60">
        <v>28</v>
      </c>
      <c r="E44" s="51">
        <v>0.4</v>
      </c>
      <c r="F44" s="51"/>
      <c r="G44" s="51"/>
      <c r="H44" s="51">
        <v>0.6</v>
      </c>
      <c r="I44" s="49">
        <f t="shared" si="1"/>
        <v>9.4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">
      <c r="A45" s="50">
        <v>65</v>
      </c>
      <c r="B45" s="60">
        <v>289</v>
      </c>
      <c r="C45" s="60">
        <v>10</v>
      </c>
      <c r="D45" s="60">
        <v>28</v>
      </c>
      <c r="E45" s="51">
        <v>0.4</v>
      </c>
      <c r="F45" s="51"/>
      <c r="G45" s="51"/>
      <c r="H45" s="51">
        <v>0.6</v>
      </c>
      <c r="I45" s="49">
        <f t="shared" si="1"/>
        <v>8.8000000000000007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">
      <c r="A46" s="50">
        <v>70</v>
      </c>
      <c r="B46" s="60">
        <v>302</v>
      </c>
      <c r="C46" s="60">
        <v>11</v>
      </c>
      <c r="D46" s="60">
        <v>28</v>
      </c>
      <c r="E46" s="51">
        <v>0.5</v>
      </c>
      <c r="F46" s="51"/>
      <c r="G46" s="51"/>
      <c r="H46" s="51">
        <v>0.5</v>
      </c>
      <c r="I46" s="49">
        <f t="shared" si="1"/>
        <v>8.1999999999999993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">
      <c r="A47" s="50">
        <v>75</v>
      </c>
      <c r="B47" s="60">
        <v>312</v>
      </c>
      <c r="C47" s="60">
        <v>12</v>
      </c>
      <c r="D47" s="60">
        <v>28</v>
      </c>
      <c r="E47" s="51">
        <v>0.5</v>
      </c>
      <c r="F47" s="51"/>
      <c r="G47" s="51"/>
      <c r="H47" s="51">
        <v>0.5</v>
      </c>
      <c r="I47" s="49">
        <f t="shared" si="1"/>
        <v>7.6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">
      <c r="A48" s="50">
        <v>80</v>
      </c>
      <c r="B48" s="60">
        <v>320</v>
      </c>
      <c r="C48" s="60">
        <v>13</v>
      </c>
      <c r="D48" s="60">
        <v>28</v>
      </c>
      <c r="E48" s="51">
        <v>0.6</v>
      </c>
      <c r="F48" s="51"/>
      <c r="G48" s="51"/>
      <c r="H48" s="51">
        <v>0.4</v>
      </c>
      <c r="I48" s="49">
        <f t="shared" si="1"/>
        <v>7.2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">
      <c r="A49" s="50">
        <v>85</v>
      </c>
      <c r="B49" s="60">
        <v>326</v>
      </c>
      <c r="C49" s="60">
        <v>14</v>
      </c>
      <c r="D49" s="60">
        <v>28</v>
      </c>
      <c r="E49" s="51">
        <v>0.6</v>
      </c>
      <c r="F49" s="51"/>
      <c r="G49" s="51"/>
      <c r="H49" s="51">
        <v>0.4</v>
      </c>
      <c r="I49" s="49">
        <f t="shared" si="1"/>
        <v>6.8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">
      <c r="A50" s="50">
        <v>90</v>
      </c>
      <c r="B50" s="50">
        <v>330</v>
      </c>
      <c r="C50" s="50">
        <v>15</v>
      </c>
      <c r="D50" s="50">
        <v>28</v>
      </c>
      <c r="E50" s="51">
        <v>0.7</v>
      </c>
      <c r="F50" s="51"/>
      <c r="G50" s="51"/>
      <c r="H50" s="51">
        <v>0.3</v>
      </c>
      <c r="I50" s="49">
        <f t="shared" si="1"/>
        <v>6.4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">
      <c r="A51" s="50">
        <v>95</v>
      </c>
      <c r="B51" s="50">
        <v>333</v>
      </c>
      <c r="C51" s="50">
        <v>16</v>
      </c>
      <c r="D51" s="50">
        <v>28</v>
      </c>
      <c r="E51" s="51">
        <v>0.7</v>
      </c>
      <c r="F51" s="51"/>
      <c r="G51" s="51"/>
      <c r="H51" s="51">
        <v>0.3</v>
      </c>
      <c r="I51" s="49">
        <f t="shared" si="1"/>
        <v>6.2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">
      <c r="A52" s="50">
        <v>100</v>
      </c>
      <c r="B52" s="50">
        <v>333</v>
      </c>
      <c r="C52" s="50">
        <v>17</v>
      </c>
      <c r="D52" s="50">
        <v>27</v>
      </c>
      <c r="E52" s="51">
        <v>0.8</v>
      </c>
      <c r="F52" s="51"/>
      <c r="G52" s="51"/>
      <c r="H52" s="51">
        <v>0.2</v>
      </c>
      <c r="I52" s="49">
        <f t="shared" si="1"/>
        <v>5.6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">
      <c r="A53" s="50">
        <v>110</v>
      </c>
      <c r="B53" s="50">
        <v>358</v>
      </c>
      <c r="C53" s="50">
        <v>19</v>
      </c>
      <c r="D53" s="50">
        <v>51</v>
      </c>
      <c r="E53" s="51">
        <v>0.8</v>
      </c>
      <c r="F53" s="51"/>
      <c r="G53" s="51"/>
      <c r="H53" s="51">
        <v>0.2</v>
      </c>
      <c r="I53" s="49">
        <f t="shared" si="1"/>
        <v>5.2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">
      <c r="A54" s="50">
        <v>115</v>
      </c>
      <c r="B54" s="50">
        <v>331</v>
      </c>
      <c r="C54" s="50">
        <v>20</v>
      </c>
      <c r="D54" s="50">
        <v>24</v>
      </c>
      <c r="E54" s="51">
        <v>0.8</v>
      </c>
      <c r="F54" s="51"/>
      <c r="G54" s="51"/>
      <c r="H54" s="51">
        <v>0.2</v>
      </c>
      <c r="I54" s="49">
        <f t="shared" si="1"/>
        <v>4.8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">
      <c r="A55" s="50">
        <v>120</v>
      </c>
      <c r="B55" s="50">
        <v>328</v>
      </c>
      <c r="C55" s="50">
        <v>21</v>
      </c>
      <c r="D55" s="50">
        <v>328</v>
      </c>
      <c r="E55" s="51">
        <v>0.9</v>
      </c>
      <c r="F55" s="51"/>
      <c r="G55" s="51"/>
      <c r="H55" s="51">
        <v>0.1</v>
      </c>
      <c r="I55" s="49">
        <f t="shared" si="1"/>
        <v>4.2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">
      <c r="A58" s="46" t="s">
        <v>166</v>
      </c>
      <c r="B58" s="52" t="str">
        <f>IF(B10="","",B10)</f>
        <v>Hêtre</v>
      </c>
      <c r="D58" s="228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32" x14ac:dyDescent="0.2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3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">
      <c r="A62" s="50">
        <v>20</v>
      </c>
      <c r="B62" s="60">
        <v>32</v>
      </c>
      <c r="C62" s="60">
        <v>1</v>
      </c>
      <c r="D62" s="60">
        <v>0</v>
      </c>
      <c r="E62" s="51">
        <v>0</v>
      </c>
      <c r="F62" s="51"/>
      <c r="G62" s="51"/>
      <c r="H62" s="51">
        <v>1</v>
      </c>
      <c r="I62" s="53">
        <f>IFERROR(B62/A62,"")</f>
        <v>1.6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">
      <c r="A63" s="50">
        <v>25</v>
      </c>
      <c r="B63" s="60">
        <v>76</v>
      </c>
      <c r="C63" s="60">
        <v>2</v>
      </c>
      <c r="D63" s="60">
        <v>7</v>
      </c>
      <c r="E63" s="51">
        <v>0</v>
      </c>
      <c r="F63" s="51"/>
      <c r="G63" s="51"/>
      <c r="H63" s="51">
        <v>1</v>
      </c>
      <c r="I63" s="49">
        <f>IF(A63&lt;&gt;0,(B63-(B62-D62))/(A63-A62),"")</f>
        <v>8.8000000000000007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">
      <c r="A64" s="50">
        <v>30</v>
      </c>
      <c r="B64" s="60">
        <v>116</v>
      </c>
      <c r="C64" s="60">
        <v>3</v>
      </c>
      <c r="D64" s="60">
        <v>28</v>
      </c>
      <c r="E64" s="51">
        <v>0</v>
      </c>
      <c r="F64" s="51"/>
      <c r="G64" s="51"/>
      <c r="H64" s="51">
        <v>1</v>
      </c>
      <c r="I64" s="49">
        <f>IF(A64&lt;&gt;0,(B64-(B63-D63))/(A64-A63),"")</f>
        <v>9.4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">
      <c r="A65" s="50">
        <v>35</v>
      </c>
      <c r="B65" s="60">
        <v>139</v>
      </c>
      <c r="C65" s="60">
        <v>4</v>
      </c>
      <c r="D65" s="60">
        <v>28</v>
      </c>
      <c r="E65" s="51">
        <v>0</v>
      </c>
      <c r="F65" s="51"/>
      <c r="G65" s="51"/>
      <c r="H65" s="51">
        <v>1</v>
      </c>
      <c r="I65" s="49">
        <f>IF(A65&lt;&gt;0,(B65-(B64-D64))/(A65-A64),"")</f>
        <v>10.199999999999999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">
      <c r="A66" s="50">
        <v>40</v>
      </c>
      <c r="B66" s="60">
        <v>163</v>
      </c>
      <c r="C66" s="60">
        <v>5</v>
      </c>
      <c r="D66" s="60">
        <v>28</v>
      </c>
      <c r="E66" s="51">
        <v>0.2</v>
      </c>
      <c r="F66" s="51"/>
      <c r="G66" s="51"/>
      <c r="H66" s="51">
        <v>0.8</v>
      </c>
      <c r="I66" s="49">
        <f t="shared" ref="I66:I81" si="2">IF(A66&lt;&gt;0,(B66-(B65-D65))/(A66-A65),"")</f>
        <v>10.4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">
      <c r="A67" s="50">
        <v>45</v>
      </c>
      <c r="B67" s="60">
        <v>190</v>
      </c>
      <c r="C67" s="60">
        <v>6</v>
      </c>
      <c r="D67" s="60">
        <v>28</v>
      </c>
      <c r="E67" s="51">
        <v>0.2</v>
      </c>
      <c r="F67" s="51"/>
      <c r="G67" s="51"/>
      <c r="H67" s="51">
        <v>0.8</v>
      </c>
      <c r="I67" s="49">
        <f t="shared" si="2"/>
        <v>11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">
      <c r="A68" s="50">
        <v>50</v>
      </c>
      <c r="B68" s="60">
        <v>217</v>
      </c>
      <c r="C68" s="60">
        <v>7</v>
      </c>
      <c r="D68" s="60">
        <v>28</v>
      </c>
      <c r="E68" s="51">
        <v>0.3</v>
      </c>
      <c r="F68" s="51"/>
      <c r="G68" s="51"/>
      <c r="H68" s="51">
        <v>0.7</v>
      </c>
      <c r="I68" s="49">
        <f t="shared" si="2"/>
        <v>11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">
      <c r="A69" s="50">
        <v>55</v>
      </c>
      <c r="B69" s="50">
        <v>244</v>
      </c>
      <c r="C69" s="50">
        <v>8</v>
      </c>
      <c r="D69" s="50">
        <v>28</v>
      </c>
      <c r="E69" s="51">
        <v>0.3</v>
      </c>
      <c r="F69" s="51"/>
      <c r="G69" s="51"/>
      <c r="H69" s="51">
        <v>0.7</v>
      </c>
      <c r="I69" s="49">
        <f t="shared" si="2"/>
        <v>11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">
      <c r="A70" s="50">
        <v>60</v>
      </c>
      <c r="B70" s="50">
        <v>270</v>
      </c>
      <c r="C70" s="50">
        <v>9</v>
      </c>
      <c r="D70" s="50">
        <v>28</v>
      </c>
      <c r="E70" s="51">
        <v>0.4</v>
      </c>
      <c r="F70" s="51"/>
      <c r="G70" s="51"/>
      <c r="H70" s="51">
        <v>0.6</v>
      </c>
      <c r="I70" s="49">
        <f t="shared" si="2"/>
        <v>10.8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">
      <c r="A71" s="50">
        <v>65</v>
      </c>
      <c r="B71" s="50">
        <v>294</v>
      </c>
      <c r="C71" s="50">
        <v>10</v>
      </c>
      <c r="D71" s="50">
        <v>28</v>
      </c>
      <c r="E71" s="51">
        <v>0.4</v>
      </c>
      <c r="F71" s="51"/>
      <c r="G71" s="51"/>
      <c r="H71" s="51">
        <v>0.6</v>
      </c>
      <c r="I71" s="49">
        <f t="shared" si="2"/>
        <v>10.4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">
      <c r="A72" s="50">
        <v>70</v>
      </c>
      <c r="B72" s="50">
        <v>316</v>
      </c>
      <c r="C72" s="50">
        <v>11</v>
      </c>
      <c r="D72" s="50">
        <v>28</v>
      </c>
      <c r="E72" s="51">
        <v>0.5</v>
      </c>
      <c r="F72" s="51"/>
      <c r="G72" s="51"/>
      <c r="H72" s="51">
        <v>0.5</v>
      </c>
      <c r="I72" s="49">
        <f t="shared" si="2"/>
        <v>10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">
      <c r="A73" s="50">
        <v>75</v>
      </c>
      <c r="B73" s="50">
        <v>335</v>
      </c>
      <c r="C73" s="50">
        <v>12</v>
      </c>
      <c r="D73" s="50">
        <v>28</v>
      </c>
      <c r="E73" s="51">
        <v>0.5</v>
      </c>
      <c r="F73" s="51"/>
      <c r="G73" s="51"/>
      <c r="H73" s="51">
        <v>0.5</v>
      </c>
      <c r="I73" s="49">
        <f t="shared" si="2"/>
        <v>9.4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">
      <c r="A74" s="50">
        <v>80</v>
      </c>
      <c r="B74" s="50">
        <v>351</v>
      </c>
      <c r="C74" s="50">
        <v>13</v>
      </c>
      <c r="D74" s="50">
        <v>28</v>
      </c>
      <c r="E74" s="51">
        <v>0.6</v>
      </c>
      <c r="F74" s="51"/>
      <c r="G74" s="51"/>
      <c r="H74" s="51">
        <v>0.4</v>
      </c>
      <c r="I74" s="49">
        <f t="shared" si="2"/>
        <v>8.8000000000000007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">
      <c r="A75" s="50">
        <v>85</v>
      </c>
      <c r="B75" s="50">
        <v>365</v>
      </c>
      <c r="C75" s="50">
        <v>14</v>
      </c>
      <c r="D75" s="50">
        <v>27</v>
      </c>
      <c r="E75" s="51">
        <v>0.6</v>
      </c>
      <c r="F75" s="51"/>
      <c r="G75" s="51"/>
      <c r="H75" s="51">
        <v>0.4</v>
      </c>
      <c r="I75" s="49">
        <f t="shared" si="2"/>
        <v>8.4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">
      <c r="A76" s="50">
        <v>90</v>
      </c>
      <c r="B76" s="50">
        <v>377</v>
      </c>
      <c r="C76" s="50">
        <v>15</v>
      </c>
      <c r="D76" s="50">
        <v>26</v>
      </c>
      <c r="E76" s="51">
        <v>0.7</v>
      </c>
      <c r="F76" s="51"/>
      <c r="G76" s="51"/>
      <c r="H76" s="51">
        <v>0.3</v>
      </c>
      <c r="I76" s="49">
        <f t="shared" si="2"/>
        <v>7.8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">
      <c r="A77" s="50">
        <v>95</v>
      </c>
      <c r="B77" s="50">
        <v>389</v>
      </c>
      <c r="C77" s="50">
        <v>16</v>
      </c>
      <c r="D77" s="50">
        <v>25</v>
      </c>
      <c r="E77" s="51">
        <v>0.7</v>
      </c>
      <c r="F77" s="51"/>
      <c r="G77" s="51"/>
      <c r="H77" s="51">
        <v>0.3</v>
      </c>
      <c r="I77" s="49">
        <f t="shared" si="2"/>
        <v>7.6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">
      <c r="A78" s="50">
        <v>100</v>
      </c>
      <c r="B78" s="50">
        <v>400</v>
      </c>
      <c r="C78" s="50">
        <v>17</v>
      </c>
      <c r="D78" s="50">
        <v>400</v>
      </c>
      <c r="E78" s="51">
        <v>0.8</v>
      </c>
      <c r="F78" s="51"/>
      <c r="G78" s="51"/>
      <c r="H78" s="51">
        <v>0.2</v>
      </c>
      <c r="I78" s="49">
        <f t="shared" si="2"/>
        <v>7.2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">
      <c r="A84" s="46" t="s">
        <v>167</v>
      </c>
      <c r="B84" s="52" t="str">
        <f>IF(B11="","",B11)</f>
        <v>Merisier</v>
      </c>
      <c r="D84" s="228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32" x14ac:dyDescent="0.2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">
      <c r="A88" s="50">
        <v>15</v>
      </c>
      <c r="B88" s="60">
        <v>40</v>
      </c>
      <c r="C88" s="60">
        <v>1</v>
      </c>
      <c r="D88" s="60">
        <v>3</v>
      </c>
      <c r="E88" s="51">
        <v>0</v>
      </c>
      <c r="F88" s="51"/>
      <c r="G88" s="51"/>
      <c r="H88" s="87">
        <v>1</v>
      </c>
      <c r="I88" s="53">
        <f>IFERROR(B88/A88,"")</f>
        <v>2.6666666666666665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">
      <c r="A89" s="50">
        <v>20</v>
      </c>
      <c r="B89" s="60">
        <v>85</v>
      </c>
      <c r="C89" s="60">
        <v>2</v>
      </c>
      <c r="D89" s="60">
        <v>25</v>
      </c>
      <c r="E89" s="51">
        <v>0.2</v>
      </c>
      <c r="F89" s="51"/>
      <c r="G89" s="51"/>
      <c r="H89" s="87">
        <v>0.8</v>
      </c>
      <c r="I89" s="53">
        <f t="shared" ref="I89:I107" si="3">IF(A89&lt;&gt;0,(B89-(B88-D88))/(A89-A88),"")</f>
        <v>9.6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">
      <c r="A90" s="50">
        <v>25</v>
      </c>
      <c r="B90" s="60">
        <v>113</v>
      </c>
      <c r="C90" s="60">
        <v>3</v>
      </c>
      <c r="D90" s="60">
        <v>37</v>
      </c>
      <c r="E90" s="87">
        <v>0.3</v>
      </c>
      <c r="F90" s="87"/>
      <c r="G90" s="87"/>
      <c r="H90" s="87">
        <v>0.7</v>
      </c>
      <c r="I90" s="53">
        <f t="shared" si="3"/>
        <v>10.6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">
      <c r="A91" s="50">
        <v>31</v>
      </c>
      <c r="B91" s="60">
        <v>155</v>
      </c>
      <c r="C91" s="60">
        <v>4</v>
      </c>
      <c r="D91" s="60">
        <v>36</v>
      </c>
      <c r="E91" s="87">
        <v>0.3</v>
      </c>
      <c r="F91" s="87"/>
      <c r="G91" s="87"/>
      <c r="H91" s="87">
        <v>0.7</v>
      </c>
      <c r="I91" s="53">
        <f t="shared" si="3"/>
        <v>13.166666666666666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">
      <c r="A92" s="50">
        <v>37</v>
      </c>
      <c r="B92" s="60">
        <v>188</v>
      </c>
      <c r="C92" s="60">
        <v>5</v>
      </c>
      <c r="D92" s="60">
        <v>36</v>
      </c>
      <c r="E92" s="87">
        <v>0.4</v>
      </c>
      <c r="F92" s="87"/>
      <c r="G92" s="87"/>
      <c r="H92" s="87">
        <v>0.6</v>
      </c>
      <c r="I92" s="53">
        <f t="shared" si="3"/>
        <v>11.5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">
      <c r="A93" s="50">
        <v>44</v>
      </c>
      <c r="B93" s="60">
        <v>230</v>
      </c>
      <c r="C93" s="60">
        <v>6</v>
      </c>
      <c r="D93" s="60">
        <v>43</v>
      </c>
      <c r="E93" s="87">
        <v>0.5</v>
      </c>
      <c r="F93" s="87"/>
      <c r="G93" s="87"/>
      <c r="H93" s="87">
        <v>0.5</v>
      </c>
      <c r="I93" s="53">
        <f t="shared" si="3"/>
        <v>11.142857142857142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">
      <c r="A94" s="50">
        <v>52</v>
      </c>
      <c r="B94" s="60">
        <v>270</v>
      </c>
      <c r="C94" s="60">
        <v>7</v>
      </c>
      <c r="D94" s="60">
        <v>28</v>
      </c>
      <c r="E94" s="87">
        <v>0.5</v>
      </c>
      <c r="F94" s="87"/>
      <c r="G94" s="87"/>
      <c r="H94" s="87">
        <v>0.5</v>
      </c>
      <c r="I94" s="53">
        <f t="shared" si="3"/>
        <v>10.375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">
      <c r="A95" s="60">
        <v>60</v>
      </c>
      <c r="B95" s="60">
        <v>297</v>
      </c>
      <c r="C95" s="60">
        <v>8</v>
      </c>
      <c r="D95" s="60">
        <v>47</v>
      </c>
      <c r="E95" s="87">
        <v>0.6</v>
      </c>
      <c r="F95" s="87"/>
      <c r="G95" s="87"/>
      <c r="H95" s="87">
        <v>0.4</v>
      </c>
      <c r="I95" s="53">
        <f t="shared" si="3"/>
        <v>6.875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">
      <c r="A96" s="60">
        <v>70</v>
      </c>
      <c r="B96" s="60">
        <v>328</v>
      </c>
      <c r="C96" s="60">
        <v>9</v>
      </c>
      <c r="D96" s="60">
        <v>328</v>
      </c>
      <c r="E96" s="87">
        <v>0.6</v>
      </c>
      <c r="F96" s="87"/>
      <c r="G96" s="87"/>
      <c r="H96" s="87">
        <v>0.4</v>
      </c>
      <c r="I96" s="53">
        <f t="shared" si="3"/>
        <v>7.8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">
      <c r="A110" s="46" t="s">
        <v>168</v>
      </c>
      <c r="B110" s="52" t="str">
        <f>IF(B12="","",B12)</f>
        <v>Erable sycomore</v>
      </c>
      <c r="D110" s="228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32" x14ac:dyDescent="0.2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">
      <c r="A114" s="50">
        <v>15</v>
      </c>
      <c r="B114" s="60">
        <v>37</v>
      </c>
      <c r="C114" s="50">
        <v>1</v>
      </c>
      <c r="D114" s="60">
        <v>15</v>
      </c>
      <c r="E114" s="51">
        <v>0</v>
      </c>
      <c r="F114" s="51"/>
      <c r="G114" s="51"/>
      <c r="H114" s="51">
        <v>1</v>
      </c>
      <c r="I114" s="53">
        <f>IFERROR(B114/A114,"")</f>
        <v>2.4666666666666668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">
      <c r="A115" s="50">
        <v>20</v>
      </c>
      <c r="B115" s="60">
        <v>80</v>
      </c>
      <c r="C115" s="50">
        <v>2</v>
      </c>
      <c r="D115" s="60">
        <v>28</v>
      </c>
      <c r="E115" s="51">
        <v>0.2</v>
      </c>
      <c r="F115" s="51"/>
      <c r="G115" s="51"/>
      <c r="H115" s="51">
        <v>0.8</v>
      </c>
      <c r="I115" s="53">
        <f t="shared" ref="I115:I133" si="4">IF(A115&lt;&gt;0,(B115-(B114-D114))/(A115-A114),"")</f>
        <v>11.6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">
      <c r="A116" s="50">
        <v>25</v>
      </c>
      <c r="B116" s="60">
        <v>115</v>
      </c>
      <c r="C116" s="50">
        <v>3</v>
      </c>
      <c r="D116" s="60">
        <v>28</v>
      </c>
      <c r="E116" s="51">
        <v>0.3</v>
      </c>
      <c r="F116" s="51"/>
      <c r="G116" s="51"/>
      <c r="H116" s="51">
        <v>0.7</v>
      </c>
      <c r="I116" s="53">
        <f t="shared" si="4"/>
        <v>12.6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">
      <c r="A117" s="50">
        <v>30</v>
      </c>
      <c r="B117" s="60">
        <v>146</v>
      </c>
      <c r="C117" s="50">
        <v>4</v>
      </c>
      <c r="D117" s="60">
        <v>28</v>
      </c>
      <c r="E117" s="51">
        <v>0.3</v>
      </c>
      <c r="F117" s="51"/>
      <c r="G117" s="51"/>
      <c r="H117" s="51">
        <v>0.7</v>
      </c>
      <c r="I117" s="53">
        <f t="shared" si="4"/>
        <v>11.8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">
      <c r="A118" s="50">
        <v>35</v>
      </c>
      <c r="B118" s="60">
        <v>172</v>
      </c>
      <c r="C118" s="50">
        <v>5</v>
      </c>
      <c r="D118" s="60">
        <v>28</v>
      </c>
      <c r="E118" s="51">
        <v>0.4</v>
      </c>
      <c r="F118" s="51"/>
      <c r="G118" s="51"/>
      <c r="H118" s="51">
        <v>0.6</v>
      </c>
      <c r="I118" s="53">
        <f t="shared" si="4"/>
        <v>10.8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">
      <c r="A119" s="50">
        <v>40</v>
      </c>
      <c r="B119" s="60">
        <v>192</v>
      </c>
      <c r="C119" s="50">
        <v>6</v>
      </c>
      <c r="D119" s="60">
        <v>28</v>
      </c>
      <c r="E119" s="51">
        <v>0.5</v>
      </c>
      <c r="F119" s="51"/>
      <c r="G119" s="51"/>
      <c r="H119" s="51">
        <v>0.5</v>
      </c>
      <c r="I119" s="53">
        <f t="shared" si="4"/>
        <v>9.6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">
      <c r="A120" s="60">
        <v>45</v>
      </c>
      <c r="B120" s="60">
        <v>205</v>
      </c>
      <c r="C120" s="60">
        <v>7</v>
      </c>
      <c r="D120" s="60">
        <v>22</v>
      </c>
      <c r="E120" s="87">
        <v>0.5</v>
      </c>
      <c r="F120" s="87"/>
      <c r="G120" s="87"/>
      <c r="H120" s="87">
        <v>0.5</v>
      </c>
      <c r="I120" s="53">
        <f t="shared" si="4"/>
        <v>8.1999999999999993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">
      <c r="A121" s="60">
        <v>50</v>
      </c>
      <c r="B121" s="60">
        <v>219</v>
      </c>
      <c r="C121" s="60">
        <v>8</v>
      </c>
      <c r="D121" s="60">
        <v>17</v>
      </c>
      <c r="E121" s="87">
        <v>0.6</v>
      </c>
      <c r="F121" s="87"/>
      <c r="G121" s="87"/>
      <c r="H121" s="87">
        <v>0.4</v>
      </c>
      <c r="I121" s="53">
        <f t="shared" si="4"/>
        <v>7.2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">
      <c r="A122" s="60">
        <v>55</v>
      </c>
      <c r="B122" s="60">
        <v>232</v>
      </c>
      <c r="C122" s="60">
        <v>9</v>
      </c>
      <c r="D122" s="60">
        <v>13</v>
      </c>
      <c r="E122" s="87">
        <v>0.6</v>
      </c>
      <c r="F122" s="87"/>
      <c r="G122" s="87"/>
      <c r="H122" s="87">
        <v>0.4</v>
      </c>
      <c r="I122" s="53">
        <f t="shared" si="4"/>
        <v>6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">
      <c r="A123" s="60">
        <v>60</v>
      </c>
      <c r="B123" s="60">
        <v>245</v>
      </c>
      <c r="C123" s="60">
        <v>10</v>
      </c>
      <c r="D123" s="60">
        <v>12</v>
      </c>
      <c r="E123" s="87">
        <v>0.7</v>
      </c>
      <c r="F123" s="87"/>
      <c r="G123" s="87"/>
      <c r="H123" s="87">
        <v>0.3</v>
      </c>
      <c r="I123" s="53">
        <f t="shared" si="4"/>
        <v>5.2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">
      <c r="A124" s="60">
        <v>65</v>
      </c>
      <c r="B124" s="60">
        <v>255</v>
      </c>
      <c r="C124" s="60">
        <v>11</v>
      </c>
      <c r="D124" s="60">
        <v>11</v>
      </c>
      <c r="E124" s="87">
        <v>0.7</v>
      </c>
      <c r="F124" s="87"/>
      <c r="G124" s="87"/>
      <c r="H124" s="87">
        <v>0.3</v>
      </c>
      <c r="I124" s="53">
        <f t="shared" si="4"/>
        <v>4.4000000000000004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">
      <c r="A125" s="60">
        <v>70</v>
      </c>
      <c r="B125" s="60">
        <v>263</v>
      </c>
      <c r="C125" s="60">
        <v>12</v>
      </c>
      <c r="D125" s="60">
        <v>263</v>
      </c>
      <c r="E125" s="87">
        <v>0.8</v>
      </c>
      <c r="F125" s="87"/>
      <c r="G125" s="87"/>
      <c r="H125" s="87">
        <v>0.2</v>
      </c>
      <c r="I125" s="53">
        <f t="shared" si="4"/>
        <v>3.8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">
      <c r="A136" s="46" t="s">
        <v>169</v>
      </c>
      <c r="B136" s="52" t="str">
        <f>IF(B13="","",B13)</f>
        <v>Mélèze hybride</v>
      </c>
      <c r="D136" s="228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32" x14ac:dyDescent="0.2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">
      <c r="A140" s="50">
        <v>10</v>
      </c>
      <c r="B140" s="60">
        <v>36</v>
      </c>
      <c r="C140" s="50">
        <v>1</v>
      </c>
      <c r="D140" s="60">
        <v>0</v>
      </c>
      <c r="E140" s="51">
        <v>0.2</v>
      </c>
      <c r="F140" s="51">
        <v>0.45</v>
      </c>
      <c r="G140" s="51">
        <v>0.35</v>
      </c>
      <c r="H140" s="51"/>
      <c r="I140" s="57">
        <f>IFERROR(B140/A140,"")</f>
        <v>3.6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">
      <c r="A141" s="50">
        <v>15</v>
      </c>
      <c r="B141" s="60">
        <v>98</v>
      </c>
      <c r="C141" s="50">
        <v>2</v>
      </c>
      <c r="D141" s="60">
        <v>39</v>
      </c>
      <c r="E141" s="51">
        <v>0.2</v>
      </c>
      <c r="F141" s="51">
        <v>0.45</v>
      </c>
      <c r="G141" s="51">
        <v>0.35</v>
      </c>
      <c r="H141" s="51"/>
      <c r="I141" s="57">
        <f t="shared" ref="I141:I159" si="5">IF(A141&lt;&gt;0,(B141-(B140-D140))/(A141-A140),"")</f>
        <v>12.4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">
      <c r="A142" s="50">
        <v>20</v>
      </c>
      <c r="B142" s="60">
        <v>138</v>
      </c>
      <c r="C142" s="50">
        <v>3</v>
      </c>
      <c r="D142" s="60">
        <v>42</v>
      </c>
      <c r="E142" s="51">
        <v>0.2</v>
      </c>
      <c r="F142" s="51">
        <v>0.45</v>
      </c>
      <c r="G142" s="51">
        <v>0.35</v>
      </c>
      <c r="H142" s="51"/>
      <c r="I142" s="57">
        <f t="shared" si="5"/>
        <v>15.8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">
      <c r="A143" s="50">
        <v>25</v>
      </c>
      <c r="B143" s="60">
        <v>180</v>
      </c>
      <c r="C143" s="50">
        <v>4</v>
      </c>
      <c r="D143" s="60">
        <v>42</v>
      </c>
      <c r="E143" s="51">
        <v>0.3</v>
      </c>
      <c r="F143" s="51">
        <v>0.39</v>
      </c>
      <c r="G143" s="51">
        <v>0.31</v>
      </c>
      <c r="H143" s="51"/>
      <c r="I143" s="57">
        <f t="shared" si="5"/>
        <v>16.8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">
      <c r="A144" s="50">
        <v>30</v>
      </c>
      <c r="B144" s="60">
        <v>218</v>
      </c>
      <c r="C144" s="50">
        <v>5</v>
      </c>
      <c r="D144" s="60">
        <v>42</v>
      </c>
      <c r="E144" s="51">
        <v>0.3</v>
      </c>
      <c r="F144" s="51">
        <v>0.39</v>
      </c>
      <c r="G144" s="51">
        <v>0.31</v>
      </c>
      <c r="H144" s="51"/>
      <c r="I144" s="57">
        <f t="shared" si="5"/>
        <v>16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">
      <c r="A145" s="50">
        <v>35</v>
      </c>
      <c r="B145" s="60">
        <v>248</v>
      </c>
      <c r="C145" s="50">
        <v>6</v>
      </c>
      <c r="D145" s="60">
        <v>42</v>
      </c>
      <c r="E145" s="51">
        <v>0.4</v>
      </c>
      <c r="F145" s="51">
        <v>0.34</v>
      </c>
      <c r="G145" s="51">
        <v>0.26</v>
      </c>
      <c r="H145" s="51"/>
      <c r="I145" s="57">
        <f t="shared" si="5"/>
        <v>14.4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">
      <c r="A146" s="50">
        <v>40</v>
      </c>
      <c r="B146" s="60">
        <v>272</v>
      </c>
      <c r="C146" s="50">
        <v>7</v>
      </c>
      <c r="D146" s="60">
        <v>38</v>
      </c>
      <c r="E146" s="51">
        <v>0.4</v>
      </c>
      <c r="F146" s="51">
        <v>0.34</v>
      </c>
      <c r="G146" s="51">
        <v>0.26</v>
      </c>
      <c r="H146" s="51"/>
      <c r="I146" s="57">
        <f t="shared" si="5"/>
        <v>13.2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">
      <c r="A147" s="50">
        <v>45</v>
      </c>
      <c r="B147" s="60">
        <v>293</v>
      </c>
      <c r="C147" s="50">
        <v>8</v>
      </c>
      <c r="D147" s="60">
        <v>34</v>
      </c>
      <c r="E147" s="51">
        <v>0.5</v>
      </c>
      <c r="F147" s="51">
        <v>0.28000000000000003</v>
      </c>
      <c r="G147" s="51">
        <v>0.22</v>
      </c>
      <c r="H147" s="51"/>
      <c r="I147" s="57">
        <f>IF(A147&lt;&gt;0,(B147-(B146-D146))/(A147-A146),"")</f>
        <v>11.8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">
      <c r="A148" s="50">
        <v>50</v>
      </c>
      <c r="B148" s="60">
        <v>315</v>
      </c>
      <c r="C148" s="50">
        <v>9</v>
      </c>
      <c r="D148" s="60">
        <v>315</v>
      </c>
      <c r="E148" s="51">
        <v>0.6</v>
      </c>
      <c r="F148" s="51">
        <v>0.22</v>
      </c>
      <c r="G148" s="51">
        <v>0.18</v>
      </c>
      <c r="H148" s="51"/>
      <c r="I148" s="57">
        <f t="shared" si="5"/>
        <v>11.2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">
      <c r="A162" s="46" t="s">
        <v>170</v>
      </c>
      <c r="B162" s="52" t="str">
        <f>IF(B14="","",B14)</f>
        <v>Pin laricio</v>
      </c>
      <c r="D162" s="228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32" x14ac:dyDescent="0.2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">
      <c r="A166" s="50">
        <v>15</v>
      </c>
      <c r="B166" s="60">
        <v>48.56</v>
      </c>
      <c r="C166" s="60">
        <v>1</v>
      </c>
      <c r="D166" s="60">
        <v>0</v>
      </c>
      <c r="E166" s="51">
        <v>0</v>
      </c>
      <c r="F166" s="51">
        <v>0.56000000000000005</v>
      </c>
      <c r="G166" s="51">
        <v>0.44</v>
      </c>
      <c r="H166" s="51"/>
      <c r="I166" s="49">
        <f>IFERROR(B166/A166,"")</f>
        <v>3.2373333333333334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">
      <c r="A167" s="50">
        <v>19</v>
      </c>
      <c r="B167" s="60">
        <v>127.82</v>
      </c>
      <c r="C167" s="60">
        <v>2</v>
      </c>
      <c r="D167" s="60">
        <v>46.3</v>
      </c>
      <c r="E167" s="51">
        <v>0</v>
      </c>
      <c r="F167" s="51">
        <v>0.56000000000000005</v>
      </c>
      <c r="G167" s="51">
        <v>0.44</v>
      </c>
      <c r="H167" s="51"/>
      <c r="I167" s="49">
        <f t="shared" ref="I167:I185" si="6">IF(A167&lt;&gt;0,(B167-(B166-D166))/(A167-A166),"")</f>
        <v>19.814999999999998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">
      <c r="A168" s="50">
        <v>24</v>
      </c>
      <c r="B168" s="60">
        <v>179.92</v>
      </c>
      <c r="C168" s="60">
        <v>3</v>
      </c>
      <c r="D168" s="60">
        <v>45</v>
      </c>
      <c r="E168" s="51">
        <v>0.2</v>
      </c>
      <c r="F168" s="51">
        <v>0.45</v>
      </c>
      <c r="G168" s="51">
        <v>0.35</v>
      </c>
      <c r="H168" s="51"/>
      <c r="I168" s="49">
        <f t="shared" si="6"/>
        <v>19.68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">
      <c r="A169" s="50">
        <v>30</v>
      </c>
      <c r="B169" s="60">
        <v>260.10000000000002</v>
      </c>
      <c r="C169" s="60">
        <v>4</v>
      </c>
      <c r="D169" s="60">
        <v>66.989999999999995</v>
      </c>
      <c r="E169" s="51">
        <v>0.2</v>
      </c>
      <c r="F169" s="51">
        <v>0.45</v>
      </c>
      <c r="G169" s="51">
        <v>0.35</v>
      </c>
      <c r="H169" s="51"/>
      <c r="I169" s="49">
        <f t="shared" si="6"/>
        <v>20.86333333333334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">
      <c r="A170" s="50">
        <v>32</v>
      </c>
      <c r="B170" s="60">
        <v>230.35</v>
      </c>
      <c r="C170" s="60">
        <v>5</v>
      </c>
      <c r="D170" s="60">
        <v>0</v>
      </c>
      <c r="E170" s="51">
        <v>0.2</v>
      </c>
      <c r="F170" s="51">
        <v>0.45</v>
      </c>
      <c r="G170" s="51">
        <v>0.35</v>
      </c>
      <c r="H170" s="51"/>
      <c r="I170" s="49">
        <f t="shared" si="6"/>
        <v>18.61999999999999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">
      <c r="A171" s="50">
        <v>37</v>
      </c>
      <c r="B171" s="60">
        <v>337.12</v>
      </c>
      <c r="C171" s="60">
        <v>6</v>
      </c>
      <c r="D171" s="60">
        <v>55</v>
      </c>
      <c r="E171" s="51">
        <v>0.3</v>
      </c>
      <c r="F171" s="51">
        <v>0.39</v>
      </c>
      <c r="G171" s="51">
        <v>0.31</v>
      </c>
      <c r="H171" s="51"/>
      <c r="I171" s="49">
        <f t="shared" si="6"/>
        <v>21.354000000000003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">
      <c r="A172" s="50">
        <v>41</v>
      </c>
      <c r="B172" s="60">
        <v>363.2</v>
      </c>
      <c r="C172" s="60">
        <v>8</v>
      </c>
      <c r="D172" s="60">
        <v>0</v>
      </c>
      <c r="E172" s="51">
        <v>0.3</v>
      </c>
      <c r="F172" s="51">
        <v>0.39</v>
      </c>
      <c r="G172" s="51">
        <v>0.31</v>
      </c>
      <c r="H172" s="51"/>
      <c r="I172" s="49">
        <f t="shared" si="6"/>
        <v>20.269999999999996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">
      <c r="A173" s="50">
        <v>46</v>
      </c>
      <c r="B173" s="50">
        <v>466.26</v>
      </c>
      <c r="C173" s="50">
        <v>9</v>
      </c>
      <c r="D173" s="50">
        <v>93</v>
      </c>
      <c r="E173" s="51">
        <v>0.4</v>
      </c>
      <c r="F173" s="51">
        <v>0.34</v>
      </c>
      <c r="G173" s="51">
        <v>0.26</v>
      </c>
      <c r="H173" s="51"/>
      <c r="I173" s="49">
        <f t="shared" si="6"/>
        <v>20.612000000000002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">
      <c r="A174" s="50">
        <v>50</v>
      </c>
      <c r="B174" s="50">
        <v>443.73</v>
      </c>
      <c r="C174" s="50">
        <v>10</v>
      </c>
      <c r="D174" s="50">
        <v>0</v>
      </c>
      <c r="E174" s="51">
        <v>0.4</v>
      </c>
      <c r="F174" s="51">
        <v>0.34</v>
      </c>
      <c r="G174" s="51">
        <v>0.26</v>
      </c>
      <c r="H174" s="51"/>
      <c r="I174" s="49">
        <f t="shared" si="6"/>
        <v>17.617500000000007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">
      <c r="A175" s="50">
        <v>56</v>
      </c>
      <c r="B175" s="50">
        <v>551.70000000000005</v>
      </c>
      <c r="C175" s="50">
        <v>11</v>
      </c>
      <c r="D175" s="50">
        <v>77</v>
      </c>
      <c r="E175" s="51">
        <v>0.5</v>
      </c>
      <c r="F175" s="51">
        <v>0.28000000000000003</v>
      </c>
      <c r="G175" s="51">
        <v>0.22</v>
      </c>
      <c r="H175" s="51"/>
      <c r="I175" s="49">
        <f t="shared" si="6"/>
        <v>17.995000000000005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">
      <c r="A176" s="50">
        <v>59</v>
      </c>
      <c r="B176" s="50">
        <v>521.75</v>
      </c>
      <c r="C176" s="50">
        <v>12</v>
      </c>
      <c r="D176" s="50">
        <v>0</v>
      </c>
      <c r="E176" s="51">
        <v>0.6</v>
      </c>
      <c r="F176" s="51">
        <v>0.22</v>
      </c>
      <c r="G176" s="51">
        <v>0.18</v>
      </c>
      <c r="H176" s="51"/>
      <c r="I176" s="49">
        <f t="shared" si="6"/>
        <v>15.683333333333318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">
      <c r="A177" s="50">
        <v>66</v>
      </c>
      <c r="B177" s="50">
        <v>630.36</v>
      </c>
      <c r="C177" s="50">
        <v>13</v>
      </c>
      <c r="D177" s="50">
        <v>87</v>
      </c>
      <c r="E177" s="51">
        <v>0.7</v>
      </c>
      <c r="F177" s="51">
        <v>0.17</v>
      </c>
      <c r="G177" s="51">
        <v>0.13</v>
      </c>
      <c r="H177" s="51"/>
      <c r="I177" s="49">
        <f t="shared" si="6"/>
        <v>15.515714285714287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">
      <c r="A178" s="50">
        <v>70</v>
      </c>
      <c r="B178" s="50">
        <v>568.46</v>
      </c>
      <c r="C178" s="50">
        <v>14</v>
      </c>
      <c r="D178" s="50">
        <v>568.46</v>
      </c>
      <c r="E178" s="51">
        <v>0.8</v>
      </c>
      <c r="F178" s="51">
        <v>0.11</v>
      </c>
      <c r="G178" s="51">
        <v>0.09</v>
      </c>
      <c r="H178" s="51"/>
      <c r="I178" s="49">
        <f t="shared" si="6"/>
        <v>6.2750000000000057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">
      <c r="A188" s="46" t="s">
        <v>171</v>
      </c>
      <c r="B188" s="52" t="str">
        <f>IF(B15="","",B15)</f>
        <v>Cèdre de l'Atlas</v>
      </c>
      <c r="D188" s="228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32" x14ac:dyDescent="0.2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">
      <c r="A192" s="50">
        <v>20</v>
      </c>
      <c r="B192" s="60">
        <v>140</v>
      </c>
      <c r="C192" s="60">
        <v>1</v>
      </c>
      <c r="D192" s="60">
        <v>40</v>
      </c>
      <c r="E192" s="51">
        <v>0</v>
      </c>
      <c r="F192" s="51">
        <v>0.56000000000000005</v>
      </c>
      <c r="G192" s="51">
        <v>0.44</v>
      </c>
      <c r="H192" s="51"/>
      <c r="I192" s="49">
        <f>IFERROR(B192/A192,"")</f>
        <v>7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">
      <c r="A193" s="50">
        <v>30</v>
      </c>
      <c r="B193" s="60">
        <v>210</v>
      </c>
      <c r="C193" s="60">
        <v>2</v>
      </c>
      <c r="D193" s="60">
        <v>50</v>
      </c>
      <c r="E193" s="51">
        <v>0.2</v>
      </c>
      <c r="F193" s="51">
        <v>0.45</v>
      </c>
      <c r="G193" s="51">
        <v>0.35</v>
      </c>
      <c r="H193" s="51"/>
      <c r="I193" s="49">
        <f t="shared" ref="I193:I211" si="7">IF(A193&lt;&gt;0,(B193-(B192-D192))/(A193-A192),"")</f>
        <v>11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">
      <c r="A194" s="50">
        <v>40</v>
      </c>
      <c r="B194" s="60">
        <v>300</v>
      </c>
      <c r="C194" s="60">
        <v>3</v>
      </c>
      <c r="D194" s="60">
        <v>50</v>
      </c>
      <c r="E194" s="51">
        <v>0.3</v>
      </c>
      <c r="F194" s="51">
        <v>0.39</v>
      </c>
      <c r="G194" s="51">
        <v>0.31</v>
      </c>
      <c r="H194" s="51"/>
      <c r="I194" s="49">
        <f t="shared" si="7"/>
        <v>14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">
      <c r="A195" s="50">
        <v>50</v>
      </c>
      <c r="B195" s="60">
        <v>390</v>
      </c>
      <c r="C195" s="60">
        <v>4</v>
      </c>
      <c r="D195" s="60">
        <v>50</v>
      </c>
      <c r="E195" s="51">
        <v>0.4</v>
      </c>
      <c r="F195" s="51">
        <v>0.34</v>
      </c>
      <c r="G195" s="51">
        <v>0.26</v>
      </c>
      <c r="H195" s="51"/>
      <c r="I195" s="49">
        <f t="shared" si="7"/>
        <v>14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">
      <c r="A196" s="50">
        <v>60</v>
      </c>
      <c r="B196" s="60">
        <v>470</v>
      </c>
      <c r="C196" s="60">
        <v>5</v>
      </c>
      <c r="D196" s="60">
        <v>40</v>
      </c>
      <c r="E196" s="51">
        <v>0.5</v>
      </c>
      <c r="F196" s="51">
        <v>0.28000000000000003</v>
      </c>
      <c r="G196" s="51">
        <v>0.22</v>
      </c>
      <c r="H196" s="51"/>
      <c r="I196" s="49">
        <f t="shared" si="7"/>
        <v>13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">
      <c r="A197" s="50">
        <v>70</v>
      </c>
      <c r="B197" s="60">
        <v>550</v>
      </c>
      <c r="C197" s="60">
        <v>6</v>
      </c>
      <c r="D197" s="60">
        <v>550</v>
      </c>
      <c r="E197" s="51">
        <v>0.6</v>
      </c>
      <c r="F197" s="51">
        <v>0.22</v>
      </c>
      <c r="G197" s="51">
        <v>0.18</v>
      </c>
      <c r="H197" s="51"/>
      <c r="I197" s="49">
        <f t="shared" si="7"/>
        <v>12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">
      <c r="A214" s="46" t="s">
        <v>172</v>
      </c>
      <c r="B214" s="52" t="str">
        <f>IF(B16="","",B16)</f>
        <v/>
      </c>
      <c r="D214" s="228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32" x14ac:dyDescent="0.2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">
      <c r="A240" s="46" t="s">
        <v>173</v>
      </c>
      <c r="B240" s="52" t="str">
        <f>IF(B17="","",B17)</f>
        <v/>
      </c>
      <c r="D240" s="228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32" x14ac:dyDescent="0.2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">
      <c r="A266" s="46" t="s">
        <v>174</v>
      </c>
      <c r="B266" s="52" t="str">
        <f>IF(B18="","",B18)</f>
        <v/>
      </c>
      <c r="D266" s="228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32" x14ac:dyDescent="0.2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H1" zoomScaleNormal="100" workbookViewId="0">
      <selection activeCell="B17" sqref="B17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35">
      <c r="A2" s="4"/>
      <c r="B2" s="271" t="s">
        <v>191</v>
      </c>
      <c r="C2" s="272"/>
      <c r="D2" s="272"/>
      <c r="E2" s="272"/>
      <c r="F2" s="272"/>
      <c r="G2" s="27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">
      <c r="A4" s="4"/>
      <c r="B4" s="270"/>
      <c r="C4" s="270"/>
      <c r="D4" s="270"/>
      <c r="E4" s="270"/>
      <c r="F4" s="270"/>
      <c r="G4" s="27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">
      <c r="A6" s="23"/>
      <c r="B6" s="216"/>
      <c r="C6" s="216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">
      <c r="A7" s="99"/>
      <c r="B7" s="26" t="s">
        <v>295</v>
      </c>
      <c r="C7" s="100" t="s">
        <v>214</v>
      </c>
      <c r="D7" s="214"/>
      <c r="E7" s="101"/>
      <c r="F7" s="26" t="s">
        <v>295</v>
      </c>
      <c r="G7" s="100" t="s">
        <v>215</v>
      </c>
      <c r="H7" s="215"/>
      <c r="I7" s="215"/>
      <c r="J7" s="215"/>
      <c r="K7" s="215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">
      <c r="A13" s="215"/>
      <c r="B13" s="107"/>
      <c r="C13" s="98" t="s">
        <v>273</v>
      </c>
      <c r="D13" s="215"/>
      <c r="E13" s="99"/>
      <c r="F13" s="107"/>
      <c r="G13" s="98" t="s">
        <v>301</v>
      </c>
      <c r="H13" s="215"/>
      <c r="I13" s="215"/>
      <c r="J13" s="215"/>
      <c r="K13" s="215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">
      <c r="A14" s="215"/>
      <c r="B14" s="107"/>
      <c r="C14" s="98" t="s">
        <v>309</v>
      </c>
      <c r="D14" s="215"/>
      <c r="E14" s="99"/>
      <c r="F14" s="107"/>
      <c r="G14" s="98" t="s">
        <v>294</v>
      </c>
      <c r="H14" s="215"/>
      <c r="I14" s="215"/>
      <c r="J14" s="215"/>
      <c r="K14" s="215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">
      <c r="C104" s="4"/>
      <c r="F104" s="4"/>
    </row>
    <row r="105" spans="3:35" x14ac:dyDescent="0.2">
      <c r="C105" s="4"/>
      <c r="F105" s="4"/>
    </row>
    <row r="106" spans="3:35" x14ac:dyDescent="0.2">
      <c r="C106" s="4"/>
      <c r="F106" s="4"/>
    </row>
    <row r="107" spans="3:35" x14ac:dyDescent="0.2">
      <c r="C107" s="4"/>
      <c r="F107" s="4"/>
    </row>
    <row r="108" spans="3:35" x14ac:dyDescent="0.2">
      <c r="C108" s="4"/>
      <c r="F108" s="4"/>
    </row>
    <row r="109" spans="3:35" x14ac:dyDescent="0.2">
      <c r="C109" s="4"/>
      <c r="F109" s="4"/>
    </row>
    <row r="110" spans="3:35" x14ac:dyDescent="0.2">
      <c r="C110" s="4"/>
      <c r="F110" s="4"/>
    </row>
    <row r="111" spans="3:35" x14ac:dyDescent="0.2">
      <c r="C111" s="4"/>
      <c r="F111" s="4"/>
    </row>
    <row r="112" spans="3:35" x14ac:dyDescent="0.2">
      <c r="C112" s="4"/>
      <c r="F112" s="4"/>
    </row>
    <row r="113" spans="3:6" x14ac:dyDescent="0.2">
      <c r="C113" s="4"/>
      <c r="F113" s="4"/>
    </row>
    <row r="114" spans="3:6" x14ac:dyDescent="0.2">
      <c r="C114" s="4"/>
      <c r="F114" s="4"/>
    </row>
    <row r="115" spans="3:6" x14ac:dyDescent="0.2">
      <c r="C115" s="4"/>
      <c r="F115" s="4"/>
    </row>
    <row r="116" spans="3:6" x14ac:dyDescent="0.2">
      <c r="C116" s="4"/>
      <c r="F116" s="4"/>
    </row>
    <row r="117" spans="3:6" x14ac:dyDescent="0.2">
      <c r="C117" s="4"/>
      <c r="F117" s="4"/>
    </row>
    <row r="118" spans="3:6" x14ac:dyDescent="0.2">
      <c r="C118" s="4"/>
      <c r="F118" s="4"/>
    </row>
    <row r="119" spans="3:6" x14ac:dyDescent="0.2">
      <c r="C119" s="4"/>
      <c r="F119" s="4"/>
    </row>
    <row r="120" spans="3:6" x14ac:dyDescent="0.2">
      <c r="C120" s="4"/>
      <c r="F120" s="4"/>
    </row>
    <row r="121" spans="3:6" x14ac:dyDescent="0.2">
      <c r="C121" s="4"/>
      <c r="F121" s="4"/>
    </row>
    <row r="122" spans="3:6" x14ac:dyDescent="0.2">
      <c r="C122" s="4"/>
      <c r="F122" s="4"/>
    </row>
    <row r="123" spans="3:6" x14ac:dyDescent="0.2">
      <c r="C123" s="4"/>
      <c r="F123" s="4"/>
    </row>
    <row r="124" spans="3:6" x14ac:dyDescent="0.2">
      <c r="C124" s="4"/>
      <c r="F124" s="4"/>
    </row>
    <row r="125" spans="3:6" x14ac:dyDescent="0.2">
      <c r="C125" s="4"/>
      <c r="F125" s="4"/>
    </row>
    <row r="126" spans="3:6" x14ac:dyDescent="0.2">
      <c r="C126" s="4"/>
      <c r="F126" s="4"/>
    </row>
    <row r="127" spans="3:6" x14ac:dyDescent="0.2">
      <c r="C127" s="4"/>
      <c r="F127" s="4"/>
    </row>
    <row r="128" spans="3:6" x14ac:dyDescent="0.2">
      <c r="C128" s="4"/>
      <c r="F128" s="4"/>
    </row>
    <row r="129" spans="3:6" x14ac:dyDescent="0.2">
      <c r="C129" s="4"/>
      <c r="F129" s="4"/>
    </row>
    <row r="130" spans="3:6" x14ac:dyDescent="0.2">
      <c r="C130" s="4"/>
      <c r="F130" s="4"/>
    </row>
    <row r="131" spans="3:6" x14ac:dyDescent="0.2">
      <c r="C131" s="4"/>
      <c r="F131" s="4"/>
    </row>
    <row r="132" spans="3:6" x14ac:dyDescent="0.2">
      <c r="F132" s="4"/>
    </row>
    <row r="133" spans="3:6" x14ac:dyDescent="0.2">
      <c r="F133" s="4"/>
    </row>
    <row r="134" spans="3:6" x14ac:dyDescent="0.2">
      <c r="F134" s="4"/>
    </row>
    <row r="135" spans="3:6" x14ac:dyDescent="0.2">
      <c r="F135" s="4"/>
    </row>
    <row r="136" spans="3:6" x14ac:dyDescent="0.2">
      <c r="F136" s="4"/>
    </row>
    <row r="137" spans="3:6" x14ac:dyDescent="0.2">
      <c r="F137" s="4"/>
    </row>
    <row r="138" spans="3:6" x14ac:dyDescent="0.2">
      <c r="F138" s="4"/>
    </row>
    <row r="139" spans="3:6" x14ac:dyDescent="0.2">
      <c r="F139" s="4"/>
    </row>
    <row r="140" spans="3:6" x14ac:dyDescent="0.2">
      <c r="F140" s="4"/>
    </row>
    <row r="141" spans="3:6" x14ac:dyDescent="0.2">
      <c r="F141" s="4"/>
    </row>
    <row r="142" spans="3:6" x14ac:dyDescent="0.2">
      <c r="F142" s="4"/>
    </row>
    <row r="143" spans="3:6" x14ac:dyDescent="0.2">
      <c r="F143" s="4"/>
    </row>
    <row r="144" spans="3:6" x14ac:dyDescent="0.2">
      <c r="F144" s="4"/>
    </row>
    <row r="145" spans="6:6" x14ac:dyDescent="0.2">
      <c r="F145" s="4"/>
    </row>
    <row r="146" spans="6:6" x14ac:dyDescent="0.2">
      <c r="F146" s="4"/>
    </row>
    <row r="147" spans="6:6" x14ac:dyDescent="0.2">
      <c r="F147" s="4"/>
    </row>
    <row r="148" spans="6:6" x14ac:dyDescent="0.2">
      <c r="F148" s="4"/>
    </row>
    <row r="149" spans="6:6" x14ac:dyDescent="0.2">
      <c r="F149" s="4"/>
    </row>
    <row r="150" spans="6:6" x14ac:dyDescent="0.2">
      <c r="F150" s="4"/>
    </row>
    <row r="151" spans="6:6" x14ac:dyDescent="0.2">
      <c r="F151" s="4"/>
    </row>
    <row r="152" spans="6:6" x14ac:dyDescent="0.2">
      <c r="F152" s="4"/>
    </row>
    <row r="153" spans="6:6" x14ac:dyDescent="0.2">
      <c r="F153" s="4"/>
    </row>
    <row r="154" spans="6:6" x14ac:dyDescent="0.2">
      <c r="F154" s="4"/>
    </row>
    <row r="155" spans="6:6" x14ac:dyDescent="0.2">
      <c r="F155" s="4"/>
    </row>
    <row r="156" spans="6:6" x14ac:dyDescent="0.2">
      <c r="F156" s="4"/>
    </row>
    <row r="157" spans="6:6" x14ac:dyDescent="0.2">
      <c r="F157" s="4"/>
    </row>
    <row r="158" spans="6:6" x14ac:dyDescent="0.2">
      <c r="F158" s="4"/>
    </row>
    <row r="159" spans="6:6" x14ac:dyDescent="0.2">
      <c r="F159" s="4"/>
    </row>
    <row r="160" spans="6:6" x14ac:dyDescent="0.2">
      <c r="F160" s="4"/>
    </row>
    <row r="161" spans="6:6" x14ac:dyDescent="0.2">
      <c r="F161" s="4"/>
    </row>
    <row r="162" spans="6:6" x14ac:dyDescent="0.2">
      <c r="F162" s="4"/>
    </row>
    <row r="163" spans="6:6" x14ac:dyDescent="0.2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4" bestFit="1" customWidth="1"/>
    <col min="2" max="4" width="11.5" style="4"/>
    <col min="5" max="5" width="9.5" style="4" customWidth="1"/>
    <col min="6" max="7" width="11.5" style="4"/>
    <col min="8" max="8" width="10.6640625" style="4" customWidth="1"/>
    <col min="9" max="9" width="9.5" style="4" customWidth="1"/>
    <col min="10" max="11" width="10.5" style="4" bestFit="1" customWidth="1"/>
    <col min="12" max="12" width="14" style="4" bestFit="1" customWidth="1"/>
    <col min="13" max="13" width="14" style="4" customWidth="1"/>
    <col min="14" max="23" width="11.5" style="4"/>
    <col min="24" max="24" width="11.6640625" style="4" bestFit="1" customWidth="1"/>
    <col min="25" max="25" width="14.5" style="4" bestFit="1" customWidth="1"/>
    <col min="26" max="26" width="12.5" style="4" bestFit="1" customWidth="1"/>
    <col min="27" max="27" width="9.6640625" style="4" bestFit="1" customWidth="1"/>
    <col min="28" max="28" width="11" style="4" bestFit="1" customWidth="1"/>
    <col min="29" max="29" width="9.5" style="4" bestFit="1" customWidth="1"/>
    <col min="30" max="31" width="9.5" style="4" customWidth="1"/>
    <col min="32" max="32" width="11.5" style="4"/>
    <col min="33" max="34" width="14" style="4" bestFit="1" customWidth="1"/>
    <col min="35" max="35" width="10.5" style="4" bestFit="1" customWidth="1"/>
    <col min="36" max="36" width="9.5" style="4" bestFit="1" customWidth="1"/>
    <col min="37" max="38" width="10.5" style="4" bestFit="1" customWidth="1"/>
    <col min="39" max="41" width="10.5" style="4" customWidth="1"/>
    <col min="42" max="42" width="9" style="4" bestFit="1" customWidth="1"/>
    <col min="43" max="43" width="10.5" style="4" bestFit="1" customWidth="1"/>
    <col min="44" max="44" width="9.33203125" style="4" bestFit="1" customWidth="1"/>
    <col min="45" max="45" width="11.6640625" style="4" bestFit="1" customWidth="1"/>
    <col min="46" max="46" width="8.5" style="4" bestFit="1" customWidth="1"/>
    <col min="47" max="47" width="9.5" style="4" bestFit="1" customWidth="1"/>
    <col min="48" max="48" width="9.6640625" style="4" bestFit="1" customWidth="1"/>
    <col min="49" max="49" width="11" style="4" bestFit="1" customWidth="1"/>
    <col min="50" max="50" width="9.5" style="4" bestFit="1" customWidth="1"/>
    <col min="51" max="52" width="9.5" style="4" customWidth="1"/>
    <col min="53" max="53" width="10.5" style="4" bestFit="1" customWidth="1"/>
    <col min="54" max="54" width="14.33203125" style="4" customWidth="1"/>
    <col min="55" max="55" width="14" style="4" customWidth="1"/>
    <col min="56" max="56" width="10.5" style="4" bestFit="1" customWidth="1"/>
    <col min="57" max="57" width="9.5" style="4" bestFit="1" customWidth="1"/>
    <col min="58" max="59" width="10.5" style="4" bestFit="1" customWidth="1"/>
    <col min="60" max="62" width="10.5" style="4" customWidth="1"/>
    <col min="63" max="63" width="9" style="4" bestFit="1" customWidth="1"/>
    <col min="64" max="64" width="10.5" style="4" bestFit="1" customWidth="1"/>
    <col min="65" max="65" width="9.33203125" style="4" bestFit="1" customWidth="1"/>
    <col min="66" max="66" width="11.6640625" style="4" bestFit="1" customWidth="1"/>
    <col min="67" max="67" width="8.5" style="4" bestFit="1" customWidth="1"/>
    <col min="68" max="68" width="9.5" style="4" bestFit="1" customWidth="1"/>
    <col min="69" max="69" width="9.6640625" style="4" bestFit="1" customWidth="1"/>
    <col min="70" max="70" width="11" style="4" bestFit="1" customWidth="1"/>
    <col min="71" max="71" width="9.5" style="4" bestFit="1" customWidth="1"/>
    <col min="72" max="73" width="9.5" style="4" customWidth="1"/>
    <col min="74" max="74" width="10.5" style="4" bestFit="1" customWidth="1"/>
    <col min="75" max="75" width="14" style="4" bestFit="1" customWidth="1"/>
    <col min="76" max="76" width="13.83203125" style="4" customWidth="1"/>
    <col min="77" max="77" width="10.5" style="4" bestFit="1" customWidth="1"/>
    <col min="78" max="78" width="9.5" style="4" bestFit="1" customWidth="1"/>
    <col min="79" max="80" width="10.5" style="4" bestFit="1" customWidth="1"/>
    <col min="81" max="83" width="10.5" style="4" customWidth="1"/>
    <col min="84" max="84" width="11.5" style="4"/>
    <col min="85" max="85" width="10.5" style="4" bestFit="1" customWidth="1"/>
    <col min="86" max="86" width="9.33203125" style="4" bestFit="1" customWidth="1"/>
    <col min="87" max="87" width="11.6640625" style="4" bestFit="1" customWidth="1"/>
    <col min="88" max="88" width="8.5" style="4" bestFit="1" customWidth="1"/>
    <col min="89" max="89" width="9.5" style="4" bestFit="1" customWidth="1"/>
    <col min="90" max="90" width="9.6640625" style="4" bestFit="1" customWidth="1"/>
    <col min="91" max="91" width="11" style="4" bestFit="1" customWidth="1"/>
    <col min="92" max="92" width="9.5" style="4" bestFit="1" customWidth="1"/>
    <col min="93" max="94" width="9.5" style="4" customWidth="1"/>
    <col min="95" max="95" width="11.5" style="4"/>
    <col min="96" max="97" width="14" style="4" customWidth="1"/>
    <col min="98" max="98" width="10.5" style="4" bestFit="1" customWidth="1"/>
    <col min="99" max="99" width="9.5" style="4" bestFit="1" customWidth="1"/>
    <col min="100" max="101" width="10.5" style="4" bestFit="1" customWidth="1"/>
    <col min="102" max="104" width="10.5" style="4" customWidth="1"/>
    <col min="105" max="105" width="9" style="4" bestFit="1" customWidth="1"/>
    <col min="106" max="106" width="10.5" style="4" bestFit="1" customWidth="1"/>
    <col min="107" max="107" width="9.33203125" style="4" bestFit="1" customWidth="1"/>
    <col min="108" max="108" width="11.6640625" style="4" bestFit="1" customWidth="1"/>
    <col min="109" max="109" width="8.5" style="4" bestFit="1" customWidth="1"/>
    <col min="110" max="110" width="9.5" style="4" bestFit="1" customWidth="1"/>
    <col min="111" max="111" width="9.6640625" style="4" bestFit="1" customWidth="1"/>
    <col min="112" max="112" width="11" style="4" bestFit="1" customWidth="1"/>
    <col min="113" max="113" width="9.5" style="4" bestFit="1" customWidth="1"/>
    <col min="114" max="115" width="9.5" style="4" customWidth="1"/>
    <col min="116" max="116" width="10.5" style="4" bestFit="1" customWidth="1"/>
    <col min="117" max="117" width="14.33203125" style="4" customWidth="1"/>
    <col min="118" max="118" width="14" style="4" bestFit="1" customWidth="1"/>
    <col min="119" max="119" width="10.5" style="4" bestFit="1" customWidth="1"/>
    <col min="120" max="120" width="9.5" style="4" bestFit="1" customWidth="1"/>
    <col min="121" max="122" width="10.5" style="4" bestFit="1" customWidth="1"/>
    <col min="123" max="125" width="10.5" style="4" customWidth="1"/>
    <col min="126" max="126" width="9" style="4" bestFit="1" customWidth="1"/>
    <col min="127" max="127" width="10.5" style="4" bestFit="1" customWidth="1"/>
    <col min="128" max="128" width="9.33203125" style="4" bestFit="1" customWidth="1"/>
    <col min="129" max="129" width="11.6640625" style="4" bestFit="1" customWidth="1"/>
    <col min="130" max="130" width="8.5" style="4" bestFit="1" customWidth="1"/>
    <col min="131" max="131" width="9.5" style="4" bestFit="1" customWidth="1"/>
    <col min="132" max="132" width="9.6640625" style="4" bestFit="1" customWidth="1"/>
    <col min="133" max="133" width="11" style="4" bestFit="1" customWidth="1"/>
    <col min="134" max="134" width="9.5" style="4" bestFit="1" customWidth="1"/>
    <col min="135" max="136" width="9.5" style="4" customWidth="1"/>
    <col min="137" max="137" width="10.5" style="4" bestFit="1" customWidth="1"/>
    <col min="138" max="139" width="14" style="4" customWidth="1"/>
    <col min="140" max="140" width="10.5" style="4" bestFit="1" customWidth="1"/>
    <col min="141" max="141" width="9.5" style="4" bestFit="1" customWidth="1"/>
    <col min="142" max="143" width="10.5" style="4" bestFit="1" customWidth="1"/>
    <col min="144" max="146" width="10.5" style="4" customWidth="1"/>
    <col min="147" max="147" width="9" style="4" bestFit="1" customWidth="1"/>
    <col min="148" max="148" width="10.5" style="4" bestFit="1" customWidth="1"/>
    <col min="149" max="149" width="9.33203125" style="4" bestFit="1" customWidth="1"/>
    <col min="150" max="150" width="11.6640625" style="4" bestFit="1" customWidth="1"/>
    <col min="151" max="151" width="8.5" style="4" bestFit="1" customWidth="1"/>
    <col min="152" max="152" width="9.5" style="4" bestFit="1" customWidth="1"/>
    <col min="153" max="153" width="9.6640625" style="4" bestFit="1" customWidth="1"/>
    <col min="154" max="154" width="11" style="4" bestFit="1" customWidth="1"/>
    <col min="155" max="155" width="9.5" style="4" bestFit="1" customWidth="1"/>
    <col min="156" max="157" width="9.5" style="4" customWidth="1"/>
    <col min="158" max="158" width="11.5" style="4"/>
    <col min="159" max="160" width="14" style="4" bestFit="1" customWidth="1"/>
    <col min="161" max="161" width="10.5" style="4" bestFit="1" customWidth="1"/>
    <col min="162" max="162" width="9.5" style="4" bestFit="1" customWidth="1"/>
    <col min="163" max="164" width="10.5" style="4" bestFit="1" customWidth="1"/>
    <col min="165" max="167" width="10.5" style="4" customWidth="1"/>
    <col min="168" max="168" width="9" style="4" bestFit="1" customWidth="1"/>
    <col min="169" max="169" width="10.5" style="4" bestFit="1" customWidth="1"/>
    <col min="170" max="170" width="9.33203125" style="4" bestFit="1" customWidth="1"/>
    <col min="171" max="171" width="11.6640625" style="4" bestFit="1" customWidth="1"/>
    <col min="172" max="172" width="8.1640625" style="4" bestFit="1" customWidth="1"/>
    <col min="173" max="173" width="9.5" style="4" bestFit="1" customWidth="1"/>
    <col min="174" max="174" width="9.6640625" style="4" bestFit="1" customWidth="1"/>
    <col min="175" max="175" width="11" style="4" bestFit="1" customWidth="1"/>
    <col min="176" max="176" width="9.5" style="4" bestFit="1" customWidth="1"/>
    <col min="177" max="178" width="9.5" style="4" customWidth="1"/>
    <col min="179" max="179" width="10.5" style="4" bestFit="1" customWidth="1"/>
    <col min="180" max="181" width="14" style="4" bestFit="1" customWidth="1"/>
    <col min="182" max="182" width="10.5" style="4" bestFit="1" customWidth="1"/>
    <col min="183" max="183" width="9.5" style="4" bestFit="1" customWidth="1"/>
    <col min="184" max="185" width="10.5" style="4" bestFit="1" customWidth="1"/>
    <col min="186" max="188" width="10.5" style="4" customWidth="1"/>
    <col min="189" max="189" width="9" style="4" bestFit="1" customWidth="1"/>
    <col min="190" max="190" width="10.5" style="4" bestFit="1" customWidth="1"/>
    <col min="191" max="191" width="9.33203125" style="4" bestFit="1" customWidth="1"/>
    <col min="192" max="192" width="11.5" style="4"/>
    <col min="193" max="193" width="8.5" style="4" bestFit="1" customWidth="1"/>
    <col min="194" max="194" width="9.5" style="4" bestFit="1" customWidth="1"/>
    <col min="195" max="195" width="9.6640625" style="4" bestFit="1" customWidth="1"/>
    <col min="196" max="196" width="11" style="4" bestFit="1" customWidth="1"/>
    <col min="197" max="197" width="9.5" style="4" bestFit="1" customWidth="1"/>
    <col min="198" max="199" width="9.5" style="4" customWidth="1"/>
    <col min="200" max="200" width="10.5" style="4" bestFit="1" customWidth="1"/>
    <col min="201" max="201" width="14" style="4" customWidth="1"/>
    <col min="202" max="202" width="14.33203125" style="4" customWidth="1"/>
    <col min="203" max="203" width="10.5" style="4" bestFit="1" customWidth="1"/>
    <col min="204" max="204" width="9.5" style="4" bestFit="1" customWidth="1"/>
    <col min="205" max="206" width="10.5" style="4" bestFit="1" customWidth="1"/>
    <col min="207" max="209" width="10.5" style="4" customWidth="1"/>
    <col min="210" max="210" width="9" style="4" bestFit="1" customWidth="1"/>
    <col min="211" max="211" width="10.5" style="4" bestFit="1" customWidth="1"/>
    <col min="212" max="212" width="9.33203125" style="4" bestFit="1" customWidth="1"/>
    <col min="213" max="213" width="11.6640625" style="4" bestFit="1" customWidth="1"/>
    <col min="214" max="214" width="8.5" style="4" bestFit="1" customWidth="1"/>
    <col min="215" max="215" width="9.5" style="4" bestFit="1" customWidth="1"/>
    <col min="216" max="216" width="9.6640625" style="4" bestFit="1" customWidth="1"/>
    <col min="217" max="217" width="11" style="4" bestFit="1" customWidth="1"/>
    <col min="218" max="218" width="9.5" style="4" bestFit="1" customWidth="1"/>
    <col min="219" max="16384" width="11.5" style="4"/>
  </cols>
  <sheetData>
    <row r="1" spans="1:218" ht="27" thickBot="1" x14ac:dyDescent="0.35">
      <c r="B1" s="277" t="s">
        <v>176</v>
      </c>
      <c r="C1" s="278"/>
      <c r="D1" s="278"/>
      <c r="E1" s="278"/>
      <c r="F1" s="278"/>
      <c r="G1" s="278"/>
      <c r="H1" s="279"/>
      <c r="I1" s="274" t="str">
        <f>IF('Données projet'!$B$9="","",'Données projet'!$B$9)</f>
        <v>Chêne sessile</v>
      </c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75" t="str">
        <f>IF('Données projet'!$B$10="","",'Données projet'!$B$10)</f>
        <v>Hêtre</v>
      </c>
      <c r="AE1" s="275"/>
      <c r="AF1" s="275"/>
      <c r="AG1" s="275"/>
      <c r="AH1" s="275"/>
      <c r="AI1" s="275"/>
      <c r="AJ1" s="275"/>
      <c r="AK1" s="275"/>
      <c r="AL1" s="275"/>
      <c r="AM1" s="275"/>
      <c r="AN1" s="275"/>
      <c r="AO1" s="275"/>
      <c r="AP1" s="275"/>
      <c r="AQ1" s="275"/>
      <c r="AR1" s="275"/>
      <c r="AS1" s="275"/>
      <c r="AT1" s="275"/>
      <c r="AU1" s="275"/>
      <c r="AV1" s="275"/>
      <c r="AW1" s="275"/>
      <c r="AX1" s="276"/>
      <c r="AY1" s="274" t="str">
        <f>IF('Données projet'!$B$11="","",'Données projet'!$B$11)</f>
        <v>Merisier</v>
      </c>
      <c r="AZ1" s="275"/>
      <c r="BA1" s="275"/>
      <c r="BB1" s="275"/>
      <c r="BC1" s="275"/>
      <c r="BD1" s="275"/>
      <c r="BE1" s="275"/>
      <c r="BF1" s="275"/>
      <c r="BG1" s="275"/>
      <c r="BH1" s="275"/>
      <c r="BI1" s="275"/>
      <c r="BJ1" s="275"/>
      <c r="BK1" s="275"/>
      <c r="BL1" s="275"/>
      <c r="BM1" s="275"/>
      <c r="BN1" s="275"/>
      <c r="BO1" s="275"/>
      <c r="BP1" s="275"/>
      <c r="BQ1" s="275"/>
      <c r="BR1" s="275"/>
      <c r="BS1" s="276"/>
      <c r="BT1" s="274" t="str">
        <f>IF('Données projet'!$B$12="","",'Données projet'!$B$12)</f>
        <v>Erable sycomore</v>
      </c>
      <c r="BU1" s="275"/>
      <c r="BV1" s="275"/>
      <c r="BW1" s="275"/>
      <c r="BX1" s="275"/>
      <c r="BY1" s="275"/>
      <c r="BZ1" s="275"/>
      <c r="CA1" s="275"/>
      <c r="CB1" s="275"/>
      <c r="CC1" s="275"/>
      <c r="CD1" s="275"/>
      <c r="CE1" s="275"/>
      <c r="CF1" s="275"/>
      <c r="CG1" s="275"/>
      <c r="CH1" s="275"/>
      <c r="CI1" s="275"/>
      <c r="CJ1" s="275"/>
      <c r="CK1" s="275"/>
      <c r="CL1" s="275"/>
      <c r="CM1" s="275"/>
      <c r="CN1" s="276"/>
      <c r="CO1" s="274" t="str">
        <f>IF('Données projet'!$B$13="","",'Données projet'!$B$13)</f>
        <v>Mélèze hybride</v>
      </c>
      <c r="CP1" s="275"/>
      <c r="CQ1" s="275"/>
      <c r="CR1" s="275"/>
      <c r="CS1" s="275"/>
      <c r="CT1" s="275"/>
      <c r="CU1" s="275"/>
      <c r="CV1" s="275"/>
      <c r="CW1" s="275"/>
      <c r="CX1" s="275"/>
      <c r="CY1" s="275"/>
      <c r="CZ1" s="275"/>
      <c r="DA1" s="275"/>
      <c r="DB1" s="275"/>
      <c r="DC1" s="275"/>
      <c r="DD1" s="275"/>
      <c r="DE1" s="275"/>
      <c r="DF1" s="275"/>
      <c r="DG1" s="275"/>
      <c r="DH1" s="275"/>
      <c r="DI1" s="276"/>
      <c r="DJ1" s="274" t="str">
        <f>IF('Données projet'!$B$14="","",'Données projet'!$B$14)</f>
        <v>Pin laricio</v>
      </c>
      <c r="DK1" s="275"/>
      <c r="DL1" s="275"/>
      <c r="DM1" s="275"/>
      <c r="DN1" s="275"/>
      <c r="DO1" s="275"/>
      <c r="DP1" s="275"/>
      <c r="DQ1" s="275"/>
      <c r="DR1" s="275"/>
      <c r="DS1" s="275"/>
      <c r="DT1" s="275"/>
      <c r="DU1" s="275"/>
      <c r="DV1" s="275"/>
      <c r="DW1" s="275"/>
      <c r="DX1" s="275"/>
      <c r="DY1" s="275"/>
      <c r="DZ1" s="275"/>
      <c r="EA1" s="275"/>
      <c r="EB1" s="275"/>
      <c r="EC1" s="275"/>
      <c r="ED1" s="276"/>
      <c r="EE1" s="274" t="str">
        <f>IF('Données projet'!$B$15="","",'Données projet'!$B$15)</f>
        <v>Cèdre de l'Atlas</v>
      </c>
      <c r="EF1" s="275"/>
      <c r="EG1" s="275"/>
      <c r="EH1" s="275"/>
      <c r="EI1" s="275"/>
      <c r="EJ1" s="275"/>
      <c r="EK1" s="275"/>
      <c r="EL1" s="275"/>
      <c r="EM1" s="275"/>
      <c r="EN1" s="275"/>
      <c r="EO1" s="275"/>
      <c r="EP1" s="275"/>
      <c r="EQ1" s="275"/>
      <c r="ER1" s="275"/>
      <c r="ES1" s="275"/>
      <c r="ET1" s="275"/>
      <c r="EU1" s="275"/>
      <c r="EV1" s="275"/>
      <c r="EW1" s="275"/>
      <c r="EX1" s="275"/>
      <c r="EY1" s="276"/>
      <c r="EZ1" s="274" t="str">
        <f>IF('Données projet'!$B$16="","",'Données projet'!$B$16)</f>
        <v/>
      </c>
      <c r="FA1" s="275"/>
      <c r="FB1" s="275"/>
      <c r="FC1" s="275"/>
      <c r="FD1" s="275"/>
      <c r="FE1" s="275"/>
      <c r="FF1" s="275"/>
      <c r="FG1" s="275"/>
      <c r="FH1" s="275"/>
      <c r="FI1" s="275"/>
      <c r="FJ1" s="275"/>
      <c r="FK1" s="275"/>
      <c r="FL1" s="275"/>
      <c r="FM1" s="275"/>
      <c r="FN1" s="275"/>
      <c r="FO1" s="275"/>
      <c r="FP1" s="275"/>
      <c r="FQ1" s="275"/>
      <c r="FR1" s="275"/>
      <c r="FS1" s="275"/>
      <c r="FT1" s="276"/>
      <c r="FU1" s="274" t="str">
        <f>IF('Données projet'!$B$17="","",'Données projet'!$B$17)</f>
        <v/>
      </c>
      <c r="FV1" s="275"/>
      <c r="FW1" s="275"/>
      <c r="FX1" s="275"/>
      <c r="FY1" s="275"/>
      <c r="FZ1" s="275"/>
      <c r="GA1" s="275"/>
      <c r="GB1" s="275"/>
      <c r="GC1" s="275"/>
      <c r="GD1" s="275"/>
      <c r="GE1" s="275"/>
      <c r="GF1" s="275"/>
      <c r="GG1" s="275"/>
      <c r="GH1" s="275"/>
      <c r="GI1" s="275"/>
      <c r="GJ1" s="275"/>
      <c r="GK1" s="275"/>
      <c r="GL1" s="275"/>
      <c r="GM1" s="275"/>
      <c r="GN1" s="275"/>
      <c r="GO1" s="276"/>
      <c r="GP1" s="274" t="str">
        <f>IF('Données projet'!$B$18="","",'Données projet'!$B$18)</f>
        <v/>
      </c>
      <c r="GQ1" s="275"/>
      <c r="GR1" s="275"/>
      <c r="GS1" s="275"/>
      <c r="GT1" s="275"/>
      <c r="GU1" s="275"/>
      <c r="GV1" s="275"/>
      <c r="GW1" s="275"/>
      <c r="GX1" s="275"/>
      <c r="GY1" s="275"/>
      <c r="GZ1" s="275"/>
      <c r="HA1" s="275"/>
      <c r="HB1" s="275"/>
      <c r="HC1" s="275"/>
      <c r="HD1" s="275"/>
      <c r="HE1" s="275"/>
      <c r="HF1" s="275"/>
      <c r="HG1" s="275"/>
      <c r="HH1" s="275"/>
      <c r="HI1" s="275"/>
      <c r="HJ1" s="276"/>
    </row>
    <row r="2" spans="1:218" ht="65" thickBot="1" x14ac:dyDescent="0.2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453.52760163325451</v>
      </c>
      <c r="T3" s="59">
        <f>IF('Données projet'!E9&gt;30,$R$33-$H$33,LOOKUP('Données projet'!$E$9,$A$3:$A$203,R3:R203)-LOOKUP('Données projet'!$E$9,$A$3:$A$203,$H$3:$H$203))</f>
        <v>344.23959526427001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397.45670821030774</v>
      </c>
      <c r="AO3" s="59">
        <f>IF('Données projet'!E10&gt;30,$AM$33-$H$33,LOOKUP('Données projet'!$E$10,$A$3:$A$203,AM3:AM203)-LOOKUP('Données projet'!$E$10,$A$3:$A$203,$H$3:$H$203))</f>
        <v>256.77417912163997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293.20194140252903</v>
      </c>
      <c r="BJ3" s="59">
        <f>IF('Données projet'!E11&gt;30,$BH$33-$H$33,LOOKUP('Données projet'!$E$11,$A$3:$A$203,BH3:BH203)-LOOKUP('Données projet'!$E$11,$A$3:$A$203,$H$3:$H$203))</f>
        <v>280.69048279989266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271.25628946149067</v>
      </c>
      <c r="CE3" s="59">
        <f>IF('Données projet'!E12&gt;30,$CC$33-$H$33,LOOKUP('Données projet'!$E$12,$A$3:$A$203,CC3:CC203)-LOOKUP('Données projet'!$E$12,$A$3:$A$203,$H$3:$H$203))</f>
        <v>292.57799203101769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210.03861149060413</v>
      </c>
      <c r="CZ3" s="59">
        <f>IF('Données projet'!E13&gt;30,$CX$33-$H$33,LOOKUP('Données projet'!$E$13,$A$3:$A$203,CX3:CX203)-LOOKUP('Données projet'!$E$13,$A$3:$A$203,$H$3:$H$203))</f>
        <v>298.74602928001929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256.66666666666669</v>
      </c>
      <c r="DT3" s="59">
        <f ca="1">AVERAGE(OFFSET($DS$3,0,0,'Données projet'!$E$14+1,1))-AVERAGE(OFFSET($H$3,0,0,'Données projet'!$E$14+1,1))</f>
        <v>402.28353929315114</v>
      </c>
      <c r="DU3" s="59">
        <f>IF('Données projet'!E14&gt;30,$DS$33-$H$33,LOOKUP('Données projet'!$E$14,$A$3:$A$203,DS3:DS203)-LOOKUP('Données projet'!$E$14,$A$3:$A$203,$H$3:$H$203))</f>
        <v>376.94419168335463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256.66666666666669</v>
      </c>
      <c r="EO3" s="59">
        <f ca="1">AVERAGE(OFFSET($EN$3,0,0,'Données projet'!$E$15+1,1))-AVERAGE(OFFSET($H$3,0,0,'Données projet'!$E$15+1,1))</f>
        <v>273.3012268683454</v>
      </c>
      <c r="EP3" s="59">
        <f>IF('Données projet'!E15&gt;30,$EN$33-$H$33,LOOKUP('Données projet'!$E$15,$A$3:$A$203,EN3:EN203)-LOOKUP('Données projet'!$E$15,$A$3:$A$203,$H$3:$H$203))</f>
        <v>254.08208375594052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3.65</v>
      </c>
      <c r="N4" s="13">
        <f>IF('Données projet'!$A$36&gt;35,N3+M4-V3,IF(A4&lt;'Données projet'!$A$36,$K$205^A4,IF(A4='Données projet'!$A$36,'Données projet'!$B$36,N3+M4-V3)))</f>
        <v>1.2392705892426346</v>
      </c>
      <c r="O4" s="13">
        <f>N4*VLOOKUP('Données projet'!$B$9,Paramètres!$A$1:$I$89,3,0)*VLOOKUP('Données projet'!$B$9,Paramètres!$A$1:$I$89,5,0)</f>
        <v>1.1212920291467359</v>
      </c>
      <c r="P4" s="13">
        <f>EXP(-1.0587+0.8836*LN(O4)+0.284)</f>
        <v>0.50989827066551541</v>
      </c>
      <c r="Q4" s="20">
        <f t="shared" ref="Q4:Q34" si="2">(O4+P4)*0.475*44/12</f>
        <v>2.8409897721730037</v>
      </c>
      <c r="R4" s="59">
        <f t="shared" si="0"/>
        <v>260.72987866106189</v>
      </c>
      <c r="S4" s="59">
        <f ca="1">AVERAGE(OFFSET($R$3,0,0,'Données projet'!$E$9+1,1))-AVERAGE(OFFSET($H$3,0,0,'Données projet'!$E$9+1,1))</f>
        <v>453.52760163325451</v>
      </c>
      <c r="T4" s="59">
        <f>$T$3</f>
        <v>344.23959526427001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1.6</v>
      </c>
      <c r="AI4" s="13">
        <f>IF('Données projet'!$A$62&gt;35,AI3+AH4-AQ3,IF(A4&lt;'Données projet'!$A$62,$AF$205^A4,IF(A4='Données projet'!$A$62,'Données projet'!$B$62,AI3+AH4-AQ3)))</f>
        <v>1.189207115002721</v>
      </c>
      <c r="AJ4" s="13">
        <f>AI4*VLOOKUP('Données projet'!$B$10,Paramètres!$A$1:$I$89,3,0)*VLOOKUP('Données projet'!$B$10,Paramètres!$A$1:$I$89,5,0)</f>
        <v>1.0203397046723348</v>
      </c>
      <c r="AK4" s="13">
        <f>EXP(-1.0587+0.8836*LN(AJ4)+0.284)</f>
        <v>0.46911460970544039</v>
      </c>
      <c r="AL4" s="20">
        <f t="shared" ref="AL4:AL67" si="4">(AJ4+AK4)*0.475*44/12</f>
        <v>2.594132930874625</v>
      </c>
      <c r="AM4" s="59">
        <f t="shared" ref="AM4:AM67" si="5">AL4+(AD4+AE4)*44/12</f>
        <v>260.48302181976351</v>
      </c>
      <c r="AN4" s="59">
        <f ca="1">AVERAGE(OFFSET($AM$3,0,0,'Données projet'!$E$10+1,1))-AVERAGE(OFFSET($H$3,0,0,'Données projet'!$E$10+1,1))</f>
        <v>397.45670821030774</v>
      </c>
      <c r="AO4" s="59">
        <f>$AO$3</f>
        <v>256.77417912163997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2.6666666666666665</v>
      </c>
      <c r="BD4" s="12">
        <f>IF('Données projet'!$A$88&gt;35,BD3+BC4-BL3,IF(A4&lt;'Données projet'!$A$88,$BA$205^A4,IF(A4='Données projet'!$A$88,'Données projet'!$B$88,BD3+BC4-BL3)))</f>
        <v>1.2788040393997409</v>
      </c>
      <c r="BE4" s="13">
        <f>BD4*VLOOKUP('Données projet'!$B$11,Paramètres!$A$1:$I$89,3,0)*VLOOKUP('Données projet'!$B$11,Paramètres!$A$1:$I$89,5,0)</f>
        <v>0.99746715073179792</v>
      </c>
      <c r="BF4" s="13">
        <f>EXP(-1.0587+0.8836*LN(BE4)+0.284)</f>
        <v>0.45981048445793882</v>
      </c>
      <c r="BG4" s="20">
        <f t="shared" ref="BG4:BG67" si="7">(BE4+BF4)*0.475*44/12</f>
        <v>2.5380918812887914</v>
      </c>
      <c r="BH4" s="59">
        <f t="shared" ref="BH4:BH67" si="8">BG4+(AY4+AZ4)*44/12</f>
        <v>260.42698077017764</v>
      </c>
      <c r="BI4" s="59">
        <f ca="1">AVERAGE(OFFSET($BH$3,0,0,'Données projet'!$E$11+1,1))-AVERAGE(OFFSET($H$3,0,0,'Données projet'!$E$11+1,1))</f>
        <v>293.20194140252903</v>
      </c>
      <c r="BJ4" s="59">
        <f>$BJ$3</f>
        <v>280.69048279989266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2.4666666666666668</v>
      </c>
      <c r="BY4" s="12">
        <f>IF('Données projet'!$A$114&gt;35,BY3+BX4-CG3,IF(A4&lt;'Données projet'!$A$114,$BV$205^A4,IF(A4='Données projet'!$A$114,'Données projet'!$B$114,BY3+BX4-CG3)))</f>
        <v>1.2721747796233518</v>
      </c>
      <c r="BZ4" s="13">
        <f>BY4*VLOOKUP('Données projet'!$B$12,Paramètres!$A$1:$I$89,3,0)*VLOOKUP('Données projet'!$B$12,Paramètres!$A$1:$I$89,5,0)</f>
        <v>1.0121422546683387</v>
      </c>
      <c r="CA4" s="13">
        <f>EXP(-1.0587+0.8836*LN(BZ4)+0.284)</f>
        <v>0.46578286063395047</v>
      </c>
      <c r="CB4" s="20">
        <f t="shared" ref="CB4:CB67" si="10">(BZ4+CA4)*0.475*44/12</f>
        <v>2.574052909151487</v>
      </c>
      <c r="CC4" s="59">
        <f t="shared" ref="CC4:CC67" si="11">CB4+(BT4+BU4)*44/12</f>
        <v>260.46294179804033</v>
      </c>
      <c r="CD4" s="59">
        <f ca="1">AVERAGE(OFFSET($CC$3,0,0,'Données projet'!$E$12+1,1))-AVERAGE(OFFSET($H$3,0,0,'Données projet'!$E$12+1,1))</f>
        <v>271.25628946149067</v>
      </c>
      <c r="CE4" s="59">
        <f>$CE$3</f>
        <v>292.57799203101769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3.6</v>
      </c>
      <c r="CT4" s="12">
        <f>IF('Données projet'!$A$140&gt;35,CT3+CS4-DB3,IF(A4&lt;'Données projet'!$A$140,$CQ$205^A4,IF(A4='Données projet'!$A$140,'Données projet'!$B$140,CT3+CS4-DB3)))</f>
        <v>1.4309690811052556</v>
      </c>
      <c r="CU4" s="17">
        <f>CT4*VLOOKUP('Données projet'!$B$13,Paramètres!$A$1:$I$89,3,0)*VLOOKUP('Données projet'!$B$13,Paramètres!$A$1:$I$89,5,0)</f>
        <v>0.78130911828346949</v>
      </c>
      <c r="CV4" s="13">
        <f>EXP(-1.0587+0.8836*LN(CU4)+0.284)</f>
        <v>0.37055303350010543</v>
      </c>
      <c r="CW4" s="20">
        <f t="shared" ref="CW4:CW67" si="13">(CU4+CV4)*0.475*44/12</f>
        <v>2.0061599143563931</v>
      </c>
      <c r="CX4" s="59">
        <f t="shared" ref="CX4:CX67" si="14">CW4+(CO4+CP4)*44/12</f>
        <v>259.89504880324523</v>
      </c>
      <c r="CY4" s="59">
        <f ca="1">AVERAGE(OFFSET($CX$3,0,0,'Données projet'!$E$13+1,1))-AVERAGE(OFFSET($H$3,0,0,'Données projet'!$E$13+1,1))</f>
        <v>210.03861149060413</v>
      </c>
      <c r="CZ4" s="59">
        <f>$CZ$3</f>
        <v>298.74602928001929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3.2373333333333334</v>
      </c>
      <c r="DO4" s="12">
        <f>IF('Données projet'!$A$166&gt;35,DO3+DN4-DW3,IF(A4&lt;'Données projet'!$A$166,$DL$205^A4,IF(A4='Données projet'!$A$166,'Données projet'!$B$166,DO3+DN4-DW3)))</f>
        <v>1.2954438051451196</v>
      </c>
      <c r="DP4" s="17">
        <f>DO4*VLOOKUP('Données projet'!$B$14,Paramètres!$A$1:$I$89,3,0)*VLOOKUP('Données projet'!$B$14,Paramètres!$A$1:$I$89,5,0)</f>
        <v>0.77467539547678155</v>
      </c>
      <c r="DQ4" s="13">
        <f>EXP(-1.0587+0.8836*LN(DP4)+0.284)</f>
        <v>0.36777168287054751</v>
      </c>
      <c r="DR4" s="20">
        <f t="shared" ref="DR4:DR67" si="16">(DP4+DQ4)*0.475*44/12</f>
        <v>1.9897619947882648</v>
      </c>
      <c r="DS4" s="59">
        <f t="shared" ref="DS4:DS67" si="17">DR4+(DJ4+DK4)*44/12</f>
        <v>259.8786508836771</v>
      </c>
      <c r="DT4" s="59">
        <f ca="1">AVERAGE(OFFSET($DS$3,0,0,'Données projet'!$E$14+1,1))-AVERAGE(OFFSET($H$3,0,0,'Données projet'!$E$14+1,1))</f>
        <v>402.28353929315114</v>
      </c>
      <c r="DU4" s="59">
        <f>$DU$3</f>
        <v>376.94419168335463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7</v>
      </c>
      <c r="EJ4" s="12">
        <f>IF('Données projet'!$A$192&gt;35,EJ3+EI4-ER3,IF(A4&lt;'Données projet'!$A$192,$EG$205^A4,IF(A4='Données projet'!$A$192,'Données projet'!$B$192,EJ3+EI4-ER3)))</f>
        <v>1.2802842468510145</v>
      </c>
      <c r="EK4" s="17">
        <f>EJ4*VLOOKUP('Données projet'!$B$15,Paramètres!$A$1:$I$89,3,0)*VLOOKUP('Données projet'!$B$15,Paramètres!$A$1:$I$89,5,0)</f>
        <v>0.59917302752627477</v>
      </c>
      <c r="EL4" s="13">
        <f>EXP(-1.0587+0.8836*LN(EK4)+0.284)</f>
        <v>0.29308746006107994</v>
      </c>
      <c r="EM4" s="20">
        <f t="shared" ref="EM4:EM67" si="19">(EK4+EL4)*0.475*44/12</f>
        <v>1.5540203492146427</v>
      </c>
      <c r="EN4" s="59">
        <f t="shared" ref="EN4:EN67" si="20">EM4+(EE4+EF4)*44/12</f>
        <v>259.44290923810348</v>
      </c>
      <c r="EO4" s="59">
        <f ca="1">AVERAGE(OFFSET($EN$3,0,0,'Données projet'!$E$15+1,1))-AVERAGE(OFFSET($H$3,0,0,'Données projet'!$E$15+1,1))</f>
        <v>273.3012268683454</v>
      </c>
      <c r="EP4" s="59">
        <f>$EP$3</f>
        <v>254.08208375594052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3.65</v>
      </c>
      <c r="N5" s="13">
        <f>IF('Données projet'!$A$36&gt;35,N4+M5-V4,IF(A5&lt;'Données projet'!$A$36,$K$205^A5,IF(A5='Données projet'!$A$36,'Données projet'!$B$36,N4+M5-V4)))</f>
        <v>1.5357915933617867</v>
      </c>
      <c r="O5" s="13">
        <f>N5*VLOOKUP('Données projet'!$B$9,Paramètres!$A$1:$I$89,3,0)*VLOOKUP('Données projet'!$B$9,Paramètres!$A$1:$I$89,5,0)</f>
        <v>1.3895842336737447</v>
      </c>
      <c r="P5" s="13">
        <f t="shared" ref="P5:P68" si="33">EXP(-1.0587+0.8836*LN(O5)+0.284)</f>
        <v>0.61631841327304715</v>
      </c>
      <c r="Q5" s="20">
        <f t="shared" si="2"/>
        <v>3.4936137767656628</v>
      </c>
      <c r="R5" s="59">
        <f t="shared" si="0"/>
        <v>262.60472488787678</v>
      </c>
      <c r="S5" s="59">
        <f ca="1">AVERAGE(OFFSET($R$3,0,0,'Données projet'!$E$9+1,1))-AVERAGE(OFFSET($H$3,0,0,'Données projet'!$E$9+1,1))</f>
        <v>453.52760163325451</v>
      </c>
      <c r="T5" s="59">
        <f t="shared" ref="T5:T68" si="34">$T$3</f>
        <v>344.23959526427001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1.6</v>
      </c>
      <c r="AI5" s="13">
        <f>IF('Données projet'!$A$62&gt;35,AI4+AH5-AQ4,IF(A5&lt;'Données projet'!$A$62,$AF$205^A5,IF(A5='Données projet'!$A$62,'Données projet'!$B$62,AI4+AH5-AQ4)))</f>
        <v>1.4142135623730949</v>
      </c>
      <c r="AJ5" s="13">
        <f>AI5*VLOOKUP('Données projet'!$B$10,Paramètres!$A$1:$I$89,3,0)*VLOOKUP('Données projet'!$B$10,Paramètres!$A$1:$I$89,5,0)</f>
        <v>1.2133952365161156</v>
      </c>
      <c r="AK5" s="13">
        <f t="shared" ref="AK5:AK68" si="35">EXP(-1.0587+0.8836*LN(AJ5)+0.284)</f>
        <v>0.54673450619692521</v>
      </c>
      <c r="AL5" s="20">
        <f t="shared" si="4"/>
        <v>3.0655593018918794</v>
      </c>
      <c r="AM5" s="59">
        <f t="shared" si="5"/>
        <v>262.17667041300302</v>
      </c>
      <c r="AN5" s="59">
        <f ca="1">AVERAGE(OFFSET($AM$3,0,0,'Données projet'!$E$10+1,1))-AVERAGE(OFFSET($H$3,0,0,'Données projet'!$E$10+1,1))</f>
        <v>397.45670821030774</v>
      </c>
      <c r="AO5" s="59">
        <f t="shared" ref="AO5:AO68" si="36">$AO$3</f>
        <v>256.77417912163997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2.6666666666666665</v>
      </c>
      <c r="BD5" s="12">
        <f>IF('Données projet'!$A$88&gt;35,BD4+BC5-BL4,IF(A5&lt;'Données projet'!$A$88,$BA$205^A5,IF(A5='Données projet'!$A$88,'Données projet'!$B$88,BD4+BC5-BL4)))</f>
        <v>1.6353397711850939</v>
      </c>
      <c r="BE5" s="13">
        <f>BD5*VLOOKUP('Données projet'!$B$11,Paramètres!$A$1:$I$89,3,0)*VLOOKUP('Données projet'!$B$11,Paramètres!$A$1:$I$89,5,0)</f>
        <v>1.2755650215243732</v>
      </c>
      <c r="BF5" s="13">
        <f t="shared" ref="BF5:BF68" si="37">EXP(-1.0587+0.8836*LN(BE5)+0.284)</f>
        <v>0.57141400910743001</v>
      </c>
      <c r="BG5" s="20">
        <f t="shared" si="7"/>
        <v>3.2168218116837237</v>
      </c>
      <c r="BH5" s="59">
        <f t="shared" si="8"/>
        <v>262.32793292279484</v>
      </c>
      <c r="BI5" s="59">
        <f ca="1">AVERAGE(OFFSET($BH$3,0,0,'Données projet'!$E$11+1,1))-AVERAGE(OFFSET($H$3,0,0,'Données projet'!$E$11+1,1))</f>
        <v>293.20194140252903</v>
      </c>
      <c r="BJ5" s="59">
        <f t="shared" ref="BJ5:BJ68" si="38">$BJ$3</f>
        <v>280.69048279989266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2.4666666666666668</v>
      </c>
      <c r="BY5" s="12">
        <f>IF('Données projet'!$A$114&gt;35,BY4+BX5-CG4,IF(A5&lt;'Données projet'!$A$114,$BV$205^A5,IF(A5='Données projet'!$A$114,'Données projet'!$B$114,BY4+BX5-CG4)))</f>
        <v>1.6184286699097237</v>
      </c>
      <c r="BZ5" s="13">
        <f>BY5*VLOOKUP('Données projet'!$B$12,Paramètres!$A$1:$I$89,3,0)*VLOOKUP('Données projet'!$B$12,Paramètres!$A$1:$I$89,5,0)</f>
        <v>1.2876218497801761</v>
      </c>
      <c r="CA5" s="13">
        <f t="shared" ref="CA5:CA68" si="39">EXP(-1.0587+0.8836*LN(BZ5)+0.284)</f>
        <v>0.57618379541883336</v>
      </c>
      <c r="CB5" s="20">
        <f t="shared" si="10"/>
        <v>3.2461281653882743</v>
      </c>
      <c r="CC5" s="59">
        <f t="shared" si="11"/>
        <v>262.3572392764994</v>
      </c>
      <c r="CD5" s="59">
        <f ca="1">AVERAGE(OFFSET($CC$3,0,0,'Données projet'!$E$12+1,1))-AVERAGE(OFFSET($H$3,0,0,'Données projet'!$E$12+1,1))</f>
        <v>271.25628946149067</v>
      </c>
      <c r="CE5" s="59">
        <f t="shared" ref="CE5:CE68" si="40">$CE$3</f>
        <v>292.57799203101769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3.6</v>
      </c>
      <c r="CT5" s="12">
        <f>IF('Données projet'!$A$140&gt;35,CT4+CS5-DB4,IF(A5&lt;'Données projet'!$A$140,$CQ$205^A5,IF(A5='Données projet'!$A$140,'Données projet'!$B$140,CT4+CS5-DB4)))</f>
        <v>2.0476725110792193</v>
      </c>
      <c r="CU5" s="17">
        <f>CT5*VLOOKUP('Données projet'!$B$13,Paramètres!$A$1:$I$89,3,0)*VLOOKUP('Données projet'!$B$13,Paramètres!$A$1:$I$89,5,0)</f>
        <v>1.1180291910492537</v>
      </c>
      <c r="CV5" s="13">
        <f t="shared" ref="CV5:CV68" si="41">EXP(-1.0587+0.8836*LN(CU5)+0.284)</f>
        <v>0.50858700810998547</v>
      </c>
      <c r="CW5" s="20">
        <f t="shared" si="13"/>
        <v>2.8330232135356752</v>
      </c>
      <c r="CX5" s="59">
        <f t="shared" si="14"/>
        <v>261.94413432464683</v>
      </c>
      <c r="CY5" s="59">
        <f ca="1">AVERAGE(OFFSET($CX$3,0,0,'Données projet'!$E$13+1,1))-AVERAGE(OFFSET($H$3,0,0,'Données projet'!$E$13+1,1))</f>
        <v>210.03861149060413</v>
      </c>
      <c r="CZ5" s="59">
        <f t="shared" ref="CZ5:CZ68" si="42">$CZ$3</f>
        <v>298.74602928001929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3.2373333333333334</v>
      </c>
      <c r="DO5" s="12">
        <f>IF('Données projet'!$A$166&gt;35,DO4+DN5-DW4,IF(A5&lt;'Données projet'!$A$166,$DL$205^A5,IF(A5='Données projet'!$A$166,'Données projet'!$B$166,DO4+DN5-DW4)))</f>
        <v>1.6781746522888665</v>
      </c>
      <c r="DP5" s="17">
        <f>DO5*VLOOKUP('Données projet'!$B$14,Paramètres!$A$1:$I$89,3,0)*VLOOKUP('Données projet'!$B$14,Paramètres!$A$1:$I$89,5,0)</f>
        <v>1.0035484420687422</v>
      </c>
      <c r="DQ5" s="13">
        <f t="shared" ref="DQ5:DQ68" si="43">EXP(-1.0587+0.8836*LN(DP5)+0.284)</f>
        <v>0.46228664047475304</v>
      </c>
      <c r="DR5" s="20">
        <f t="shared" si="16"/>
        <v>2.552996102096587</v>
      </c>
      <c r="DS5" s="59">
        <f t="shared" si="17"/>
        <v>261.66410721320773</v>
      </c>
      <c r="DT5" s="59">
        <f ca="1">AVERAGE(OFFSET($DS$3,0,0,'Données projet'!$E$14+1,1))-AVERAGE(OFFSET($H$3,0,0,'Données projet'!$E$14+1,1))</f>
        <v>402.28353929315114</v>
      </c>
      <c r="DU5" s="59">
        <f t="shared" ref="DU5:DU68" si="44">$DU$3</f>
        <v>376.94419168335463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7</v>
      </c>
      <c r="EJ5" s="12">
        <f>IF('Données projet'!$A$192&gt;35,EJ4+EI5-ER4,IF(A5&lt;'Données projet'!$A$192,$EG$205^A5,IF(A5='Données projet'!$A$192,'Données projet'!$B$192,EJ4+EI5-ER4)))</f>
        <v>1.6391277527348693</v>
      </c>
      <c r="EK5" s="17">
        <f>EJ5*VLOOKUP('Données projet'!$B$15,Paramètres!$A$1:$I$89,3,0)*VLOOKUP('Données projet'!$B$15,Paramètres!$A$1:$I$89,5,0)</f>
        <v>0.76711178827991888</v>
      </c>
      <c r="EL5" s="13">
        <f t="shared" ref="EL5:EL68" si="45">EXP(-1.0587+0.8836*LN(EK5)+0.284)</f>
        <v>0.36459706970828532</v>
      </c>
      <c r="EM5" s="20">
        <f t="shared" si="19"/>
        <v>1.9710595943294553</v>
      </c>
      <c r="EN5" s="59">
        <f t="shared" si="20"/>
        <v>261.0821707054406</v>
      </c>
      <c r="EO5" s="59">
        <f ca="1">AVERAGE(OFFSET($EN$3,0,0,'Données projet'!$E$15+1,1))-AVERAGE(OFFSET($H$3,0,0,'Données projet'!$E$15+1,1))</f>
        <v>273.3012268683454</v>
      </c>
      <c r="EP5" s="59">
        <f t="shared" ref="EP5:EP68" si="46">$EP$3</f>
        <v>254.08208375594052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3.65</v>
      </c>
      <c r="N6" s="13">
        <f>IF('Données projet'!$A$36&gt;35,N5+M6-V5,IF(A6&lt;'Données projet'!$A$36,$K$205^A6,IF(A6='Données projet'!$A$36,'Données projet'!$B$36,N5+M6-V5)))</f>
        <v>1.9032613528593461</v>
      </c>
      <c r="O6" s="13">
        <f>N6*VLOOKUP('Données projet'!$B$9,Paramètres!$A$1:$I$89,3,0)*VLOOKUP('Données projet'!$B$9,Paramètres!$A$1:$I$89,5,0)</f>
        <v>1.7220708720671365</v>
      </c>
      <c r="P6" s="13">
        <f t="shared" si="33"/>
        <v>0.74494935243383209</v>
      </c>
      <c r="Q6" s="20">
        <f t="shared" si="2"/>
        <v>4.2967268910058536</v>
      </c>
      <c r="R6" s="59">
        <f t="shared" si="0"/>
        <v>264.63006022433916</v>
      </c>
      <c r="S6" s="59">
        <f ca="1">AVERAGE(OFFSET($R$3,0,0,'Données projet'!$E$9+1,1))-AVERAGE(OFFSET($H$3,0,0,'Données projet'!$E$9+1,1))</f>
        <v>453.52760163325451</v>
      </c>
      <c r="T6" s="59">
        <f t="shared" si="34"/>
        <v>344.23959526427001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1.6</v>
      </c>
      <c r="AI6" s="13">
        <f>IF('Données projet'!$A$62&gt;35,AI5+AH6-AQ5,IF(A6&lt;'Données projet'!$A$62,$AF$205^A6,IF(A6='Données projet'!$A$62,'Données projet'!$B$62,AI5+AH6-AQ5)))</f>
        <v>1.6817928305074288</v>
      </c>
      <c r="AJ6" s="13">
        <f>AI6*VLOOKUP('Données projet'!$B$10,Paramètres!$A$1:$I$89,3,0)*VLOOKUP('Données projet'!$B$10,Paramètres!$A$1:$I$89,5,0)</f>
        <v>1.4429782485753739</v>
      </c>
      <c r="AK6" s="13">
        <f t="shared" si="35"/>
        <v>0.6371974227238163</v>
      </c>
      <c r="AL6" s="20">
        <f t="shared" si="4"/>
        <v>3.6229726275127558</v>
      </c>
      <c r="AM6" s="59">
        <f t="shared" si="5"/>
        <v>263.95630596084607</v>
      </c>
      <c r="AN6" s="59">
        <f ca="1">AVERAGE(OFFSET($AM$3,0,0,'Données projet'!$E$10+1,1))-AVERAGE(OFFSET($H$3,0,0,'Données projet'!$E$10+1,1))</f>
        <v>397.45670821030774</v>
      </c>
      <c r="AO6" s="59">
        <f t="shared" si="36"/>
        <v>256.77417912163997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2.6666666666666665</v>
      </c>
      <c r="BD6" s="12">
        <f>IF('Données projet'!$A$88&gt;35,BD5+BC6-BL5,IF(A6&lt;'Données projet'!$A$88,$BA$205^A6,IF(A6='Données projet'!$A$88,'Données projet'!$B$88,BD5+BC6-BL5)))</f>
        <v>2.0912791051825459</v>
      </c>
      <c r="BE6" s="13">
        <f>BD6*VLOOKUP('Données projet'!$B$11,Paramètres!$A$1:$I$89,3,0)*VLOOKUP('Données projet'!$B$11,Paramètres!$A$1:$I$89,5,0)</f>
        <v>1.6311977020423858</v>
      </c>
      <c r="BF6" s="13">
        <f t="shared" si="37"/>
        <v>0.71010553443370616</v>
      </c>
      <c r="BG6" s="20">
        <f t="shared" si="7"/>
        <v>4.0777698035291934</v>
      </c>
      <c r="BH6" s="59">
        <f t="shared" si="8"/>
        <v>264.41110313686249</v>
      </c>
      <c r="BI6" s="59">
        <f ca="1">AVERAGE(OFFSET($BH$3,0,0,'Données projet'!$E$11+1,1))-AVERAGE(OFFSET($H$3,0,0,'Données projet'!$E$11+1,1))</f>
        <v>293.20194140252903</v>
      </c>
      <c r="BJ6" s="59">
        <f t="shared" si="38"/>
        <v>280.69048279989266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2.4666666666666668</v>
      </c>
      <c r="BY6" s="12">
        <f>IF('Données projet'!$A$114&gt;35,BY5+BX6-CG5,IF(A6&lt;'Données projet'!$A$114,$BV$205^A6,IF(A6='Données projet'!$A$114,'Données projet'!$B$114,BY5+BX6-CG5)))</f>
        <v>2.0589241364785171</v>
      </c>
      <c r="BZ6" s="13">
        <f>BY6*VLOOKUP('Données projet'!$B$12,Paramètres!$A$1:$I$89,3,0)*VLOOKUP('Données projet'!$B$12,Paramètres!$A$1:$I$89,5,0)</f>
        <v>1.6380800429823084</v>
      </c>
      <c r="CA6" s="13">
        <f t="shared" si="39"/>
        <v>0.71275221602487127</v>
      </c>
      <c r="CB6" s="20">
        <f t="shared" si="10"/>
        <v>4.0943661844375043</v>
      </c>
      <c r="CC6" s="59">
        <f t="shared" si="11"/>
        <v>264.4276995177708</v>
      </c>
      <c r="CD6" s="59">
        <f ca="1">AVERAGE(OFFSET($CC$3,0,0,'Données projet'!$E$12+1,1))-AVERAGE(OFFSET($H$3,0,0,'Données projet'!$E$12+1,1))</f>
        <v>271.25628946149067</v>
      </c>
      <c r="CE6" s="59">
        <f t="shared" si="40"/>
        <v>292.57799203101769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3.6</v>
      </c>
      <c r="CT6" s="12">
        <f>IF('Données projet'!$A$140&gt;35,CT5+CS6-DB5,IF(A6&lt;'Données projet'!$A$140,$CQ$205^A6,IF(A6='Données projet'!$A$140,'Données projet'!$B$140,CT5+CS6-DB5)))</f>
        <v>2.9301560515835217</v>
      </c>
      <c r="CU6" s="17">
        <f>CT6*VLOOKUP('Données projet'!$B$13,Paramètres!$A$1:$I$89,3,0)*VLOOKUP('Données projet'!$B$13,Paramètres!$A$1:$I$89,5,0)</f>
        <v>1.5998652041646029</v>
      </c>
      <c r="CV6" s="13">
        <f t="shared" si="41"/>
        <v>0.6980397444734262</v>
      </c>
      <c r="CW6" s="20">
        <f t="shared" si="13"/>
        <v>4.0021844522112344</v>
      </c>
      <c r="CX6" s="59">
        <f t="shared" si="14"/>
        <v>264.33551778554454</v>
      </c>
      <c r="CY6" s="59">
        <f ca="1">AVERAGE(OFFSET($CX$3,0,0,'Données projet'!$E$13+1,1))-AVERAGE(OFFSET($H$3,0,0,'Données projet'!$E$13+1,1))</f>
        <v>210.03861149060413</v>
      </c>
      <c r="CZ6" s="59">
        <f t="shared" si="42"/>
        <v>298.74602928001929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3.2373333333333334</v>
      </c>
      <c r="DO6" s="12">
        <f>IF('Données projet'!$A$166&gt;35,DO5+DN6-DW5,IF(A6&lt;'Données projet'!$A$166,$DL$205^A6,IF(A6='Données projet'!$A$166,'Données projet'!$B$166,DO5+DN6-DW5)))</f>
        <v>2.1739809572591771</v>
      </c>
      <c r="DP6" s="17">
        <f>DO6*VLOOKUP('Données projet'!$B$14,Paramètres!$A$1:$I$89,3,0)*VLOOKUP('Données projet'!$B$14,Paramètres!$A$1:$I$89,5,0)</f>
        <v>1.300040612440988</v>
      </c>
      <c r="DQ6" s="13">
        <f t="shared" si="43"/>
        <v>0.58109133442081051</v>
      </c>
      <c r="DR6" s="20">
        <f t="shared" si="16"/>
        <v>3.2763048074509658</v>
      </c>
      <c r="DS6" s="59">
        <f t="shared" si="17"/>
        <v>263.60963814078428</v>
      </c>
      <c r="DT6" s="59">
        <f ca="1">AVERAGE(OFFSET($DS$3,0,0,'Données projet'!$E$14+1,1))-AVERAGE(OFFSET($H$3,0,0,'Données projet'!$E$14+1,1))</f>
        <v>402.28353929315114</v>
      </c>
      <c r="DU6" s="59">
        <f t="shared" si="44"/>
        <v>376.94419168335463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7</v>
      </c>
      <c r="EJ6" s="12">
        <f>IF('Données projet'!$A$192&gt;35,EJ5+EI6-ER5,IF(A6&lt;'Données projet'!$A$192,$EG$205^A6,IF(A6='Données projet'!$A$192,'Données projet'!$B$192,EJ5+EI6-ER5)))</f>
        <v>2.098549440402758</v>
      </c>
      <c r="EK6" s="17">
        <f>EJ6*VLOOKUP('Données projet'!$B$15,Paramètres!$A$1:$I$89,3,0)*VLOOKUP('Données projet'!$B$15,Paramètres!$A$1:$I$89,5,0)</f>
        <v>0.98212113810849078</v>
      </c>
      <c r="EL6" s="13">
        <f t="shared" si="45"/>
        <v>0.453554113888616</v>
      </c>
      <c r="EM6" s="20">
        <f t="shared" si="19"/>
        <v>2.5004677305616276</v>
      </c>
      <c r="EN6" s="59">
        <f t="shared" si="20"/>
        <v>262.83380106389495</v>
      </c>
      <c r="EO6" s="59">
        <f ca="1">AVERAGE(OFFSET($EN$3,0,0,'Données projet'!$E$15+1,1))-AVERAGE(OFFSET($H$3,0,0,'Données projet'!$E$15+1,1))</f>
        <v>273.3012268683454</v>
      </c>
      <c r="EP6" s="59">
        <f t="shared" si="46"/>
        <v>254.08208375594052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3.65</v>
      </c>
      <c r="N7" s="13">
        <f>IF('Données projet'!$A$36&gt;35,N6+M7-V6,IF(A7&lt;'Données projet'!$A$36,$K$205^A7,IF(A7='Données projet'!$A$36,'Données projet'!$B$36,N6+M7-V6)))</f>
        <v>2.3586558182407358</v>
      </c>
      <c r="O7" s="13">
        <f>N7*VLOOKUP('Données projet'!$B$9,Paramètres!$A$1:$I$89,3,0)*VLOOKUP('Données projet'!$B$9,Paramètres!$A$1:$I$89,5,0)</f>
        <v>2.1341117843442179</v>
      </c>
      <c r="P7" s="13">
        <f t="shared" si="33"/>
        <v>0.90042667189585779</v>
      </c>
      <c r="Q7" s="20">
        <f t="shared" si="2"/>
        <v>5.2851544779514645</v>
      </c>
      <c r="R7" s="59">
        <f t="shared" si="0"/>
        <v>266.84071003350698</v>
      </c>
      <c r="S7" s="59">
        <f ca="1">AVERAGE(OFFSET($R$3,0,0,'Données projet'!$E$9+1,1))-AVERAGE(OFFSET($H$3,0,0,'Données projet'!$E$9+1,1))</f>
        <v>453.52760163325451</v>
      </c>
      <c r="T7" s="59">
        <f t="shared" si="34"/>
        <v>344.23959526427001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1.6</v>
      </c>
      <c r="AI7" s="13">
        <f>IF('Données projet'!$A$62&gt;35,AI6+AH7-AQ6,IF(A7&lt;'Données projet'!$A$62,$AF$205^A7,IF(A7='Données projet'!$A$62,'Données projet'!$B$62,AI6+AH7-AQ6)))</f>
        <v>1.9999999999999996</v>
      </c>
      <c r="AJ7" s="13">
        <f>AI7*VLOOKUP('Données projet'!$B$10,Paramètres!$A$1:$I$89,3,0)*VLOOKUP('Données projet'!$B$10,Paramètres!$A$1:$I$89,5,0)</f>
        <v>1.7159999999999997</v>
      </c>
      <c r="AK7" s="13">
        <f t="shared" si="35"/>
        <v>0.74262837066960552</v>
      </c>
      <c r="AL7" s="20">
        <f t="shared" si="4"/>
        <v>4.2821110789162296</v>
      </c>
      <c r="AM7" s="59">
        <f t="shared" si="5"/>
        <v>265.83766663447176</v>
      </c>
      <c r="AN7" s="59">
        <f ca="1">AVERAGE(OFFSET($AM$3,0,0,'Données projet'!$E$10+1,1))-AVERAGE(OFFSET($H$3,0,0,'Données projet'!$E$10+1,1))</f>
        <v>397.45670821030774</v>
      </c>
      <c r="AO7" s="59">
        <f t="shared" si="36"/>
        <v>256.77417912163997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2.6666666666666665</v>
      </c>
      <c r="BD7" s="12">
        <f>IF('Données projet'!$A$88&gt;35,BD6+BC7-BL6,IF(A7&lt;'Données projet'!$A$88,$BA$205^A7,IF(A7='Données projet'!$A$88,'Données projet'!$B$88,BD6+BC7-BL6)))</f>
        <v>2.6743361672197152</v>
      </c>
      <c r="BE7" s="13">
        <f>BD7*VLOOKUP('Données projet'!$B$11,Paramètres!$A$1:$I$89,3,0)*VLOOKUP('Données projet'!$B$11,Paramètres!$A$1:$I$89,5,0)</f>
        <v>2.0859822104313781</v>
      </c>
      <c r="BF7" s="13">
        <f t="shared" si="37"/>
        <v>0.88245976121767966</v>
      </c>
      <c r="BG7" s="20">
        <f t="shared" si="7"/>
        <v>5.1700364339554419</v>
      </c>
      <c r="BH7" s="59">
        <f t="shared" si="8"/>
        <v>266.72559198951097</v>
      </c>
      <c r="BI7" s="59">
        <f ca="1">AVERAGE(OFFSET($BH$3,0,0,'Données projet'!$E$11+1,1))-AVERAGE(OFFSET($H$3,0,0,'Données projet'!$E$11+1,1))</f>
        <v>293.20194140252903</v>
      </c>
      <c r="BJ7" s="59">
        <f t="shared" si="38"/>
        <v>280.69048279989266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2.4666666666666668</v>
      </c>
      <c r="BY7" s="12">
        <f>IF('Données projet'!$A$114&gt;35,BY6+BX7-CG6,IF(A7&lt;'Données projet'!$A$114,$BV$205^A7,IF(A7='Données projet'!$A$114,'Données projet'!$B$114,BY6+BX7-CG6)))</f>
        <v>2.6193113595857573</v>
      </c>
      <c r="BZ7" s="13">
        <f>BY7*VLOOKUP('Données projet'!$B$12,Paramètres!$A$1:$I$89,3,0)*VLOOKUP('Données projet'!$B$12,Paramètres!$A$1:$I$89,5,0)</f>
        <v>2.0839241176864287</v>
      </c>
      <c r="CA7" s="13">
        <f t="shared" si="39"/>
        <v>0.88169040068036508</v>
      </c>
      <c r="CB7" s="20">
        <f t="shared" si="10"/>
        <v>5.1651119528221656</v>
      </c>
      <c r="CC7" s="59">
        <f t="shared" si="11"/>
        <v>266.72066750837769</v>
      </c>
      <c r="CD7" s="59">
        <f ca="1">AVERAGE(OFFSET($CC$3,0,0,'Données projet'!$E$12+1,1))-AVERAGE(OFFSET($H$3,0,0,'Données projet'!$E$12+1,1))</f>
        <v>271.25628946149067</v>
      </c>
      <c r="CE7" s="59">
        <f t="shared" si="40"/>
        <v>292.57799203101769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3.6</v>
      </c>
      <c r="CT7" s="12">
        <f>IF('Données projet'!$A$140&gt;35,CT6+CS7-DB6,IF(A7&lt;'Données projet'!$A$140,$CQ$205^A7,IF(A7='Données projet'!$A$140,'Données projet'!$B$140,CT6+CS7-DB6)))</f>
        <v>4.192962712629476</v>
      </c>
      <c r="CU7" s="17">
        <f>CT7*VLOOKUP('Données projet'!$B$13,Paramètres!$A$1:$I$89,3,0)*VLOOKUP('Données projet'!$B$13,Paramètres!$A$1:$I$89,5,0)</f>
        <v>2.2893576410956937</v>
      </c>
      <c r="CV7" s="13">
        <f t="shared" si="41"/>
        <v>0.95806514341623272</v>
      </c>
      <c r="CW7" s="20">
        <f t="shared" si="13"/>
        <v>5.6559280163582706</v>
      </c>
      <c r="CX7" s="59">
        <f t="shared" si="14"/>
        <v>267.21148357191379</v>
      </c>
      <c r="CY7" s="59">
        <f ca="1">AVERAGE(OFFSET($CX$3,0,0,'Données projet'!$E$13+1,1))-AVERAGE(OFFSET($H$3,0,0,'Données projet'!$E$13+1,1))</f>
        <v>210.03861149060413</v>
      </c>
      <c r="CZ7" s="59">
        <f t="shared" si="42"/>
        <v>298.74602928001929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3.2373333333333334</v>
      </c>
      <c r="DO7" s="12">
        <f>IF('Données projet'!$A$166&gt;35,DO6+DN7-DW6,IF(A7&lt;'Données projet'!$A$166,$DL$205^A7,IF(A7='Données projet'!$A$166,'Données projet'!$B$166,DO6+DN7-DW6)))</f>
        <v>2.8162701635848579</v>
      </c>
      <c r="DP7" s="17">
        <f>DO7*VLOOKUP('Données projet'!$B$14,Paramètres!$A$1:$I$89,3,0)*VLOOKUP('Données projet'!$B$14,Paramètres!$A$1:$I$89,5,0)</f>
        <v>1.6841295578237452</v>
      </c>
      <c r="DQ7" s="13">
        <f t="shared" si="43"/>
        <v>0.73042807075753979</v>
      </c>
      <c r="DR7" s="20">
        <f t="shared" si="16"/>
        <v>4.2053545364457383</v>
      </c>
      <c r="DS7" s="59">
        <f t="shared" si="17"/>
        <v>265.76091009200127</v>
      </c>
      <c r="DT7" s="59">
        <f ca="1">AVERAGE(OFFSET($DS$3,0,0,'Données projet'!$E$14+1,1))-AVERAGE(OFFSET($H$3,0,0,'Données projet'!$E$14+1,1))</f>
        <v>402.28353929315114</v>
      </c>
      <c r="DU7" s="59">
        <f t="shared" si="44"/>
        <v>376.94419168335463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7</v>
      </c>
      <c r="EJ7" s="12">
        <f>IF('Données projet'!$A$192&gt;35,EJ6+EI7-ER6,IF(A7&lt;'Données projet'!$A$192,$EG$205^A7,IF(A7='Données projet'!$A$192,'Données projet'!$B$192,EJ6+EI7-ER6)))</f>
        <v>2.6867397897856629</v>
      </c>
      <c r="EK7" s="17">
        <f>EJ7*VLOOKUP('Données projet'!$B$15,Paramètres!$A$1:$I$89,3,0)*VLOOKUP('Données projet'!$B$15,Paramètres!$A$1:$I$89,5,0)</f>
        <v>1.2573942216196903</v>
      </c>
      <c r="EL7" s="13">
        <f t="shared" si="45"/>
        <v>0.56421554454586698</v>
      </c>
      <c r="EM7" s="20">
        <f t="shared" si="19"/>
        <v>3.1726370094050123</v>
      </c>
      <c r="EN7" s="59">
        <f t="shared" si="20"/>
        <v>264.72819256496058</v>
      </c>
      <c r="EO7" s="59">
        <f ca="1">AVERAGE(OFFSET($EN$3,0,0,'Données projet'!$E$15+1,1))-AVERAGE(OFFSET($H$3,0,0,'Données projet'!$E$15+1,1))</f>
        <v>273.3012268683454</v>
      </c>
      <c r="EP7" s="59">
        <f t="shared" si="46"/>
        <v>254.08208375594052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3.65</v>
      </c>
      <c r="N8" s="13">
        <f>IF('Données projet'!$A$36&gt;35,N7+M8-V7,IF(A8&lt;'Données projet'!$A$36,$K$205^A8,IF(A8='Données projet'!$A$36,'Données projet'!$B$36,N7+M8-V7)))</f>
        <v>2.9230127856917649</v>
      </c>
      <c r="O8" s="13">
        <f>N8*VLOOKUP('Données projet'!$B$9,Paramètres!$A$1:$I$89,3,0)*VLOOKUP('Données projet'!$B$9,Paramètres!$A$1:$I$89,5,0)</f>
        <v>2.6447419684939089</v>
      </c>
      <c r="P8" s="13">
        <f t="shared" si="33"/>
        <v>1.0883534414958294</v>
      </c>
      <c r="Q8" s="20">
        <f t="shared" si="2"/>
        <v>6.5018078390654601</v>
      </c>
      <c r="R8" s="59">
        <f t="shared" si="0"/>
        <v>269.27958561684324</v>
      </c>
      <c r="S8" s="59">
        <f ca="1">AVERAGE(OFFSET($R$3,0,0,'Données projet'!$E$9+1,1))-AVERAGE(OFFSET($H$3,0,0,'Données projet'!$E$9+1,1))</f>
        <v>453.52760163325451</v>
      </c>
      <c r="T8" s="59">
        <f t="shared" si="34"/>
        <v>344.23959526427001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1.6</v>
      </c>
      <c r="AI8" s="13">
        <f>IF('Données projet'!$A$62&gt;35,AI7+AH8-AQ7,IF(A8&lt;'Données projet'!$A$62,$AF$205^A8,IF(A8='Données projet'!$A$62,'Données projet'!$B$62,AI7+AH8-AQ7)))</f>
        <v>2.3784142300054416</v>
      </c>
      <c r="AJ8" s="13">
        <f>AI8*VLOOKUP('Données projet'!$B$10,Paramètres!$A$1:$I$89,3,0)*VLOOKUP('Données projet'!$B$10,Paramètres!$A$1:$I$89,5,0)</f>
        <v>2.0406794093446692</v>
      </c>
      <c r="AK8" s="13">
        <f t="shared" si="35"/>
        <v>0.86550396667632346</v>
      </c>
      <c r="AL8" s="20">
        <f t="shared" si="4"/>
        <v>5.061602713236562</v>
      </c>
      <c r="AM8" s="59">
        <f t="shared" si="5"/>
        <v>267.83938049101431</v>
      </c>
      <c r="AN8" s="59">
        <f ca="1">AVERAGE(OFFSET($AM$3,0,0,'Données projet'!$E$10+1,1))-AVERAGE(OFFSET($H$3,0,0,'Données projet'!$E$10+1,1))</f>
        <v>397.45670821030774</v>
      </c>
      <c r="AO8" s="59">
        <f t="shared" si="36"/>
        <v>256.77417912163997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2.6666666666666665</v>
      </c>
      <c r="BD8" s="12">
        <f>IF('Données projet'!$A$88&gt;35,BD7+BC8-BL7,IF(A8&lt;'Données projet'!$A$88,$BA$205^A8,IF(A8='Données projet'!$A$88,'Données projet'!$B$88,BD7+BC8-BL7)))</f>
        <v>3.4199518933533928</v>
      </c>
      <c r="BE8" s="13">
        <f>BD8*VLOOKUP('Données projet'!$B$11,Paramètres!$A$1:$I$89,3,0)*VLOOKUP('Données projet'!$B$11,Paramètres!$A$1:$I$89,5,0)</f>
        <v>2.6675624768156463</v>
      </c>
      <c r="BF8" s="13">
        <f t="shared" si="37"/>
        <v>1.0966471776471767</v>
      </c>
      <c r="BG8" s="20">
        <f t="shared" si="7"/>
        <v>6.5559984815227494</v>
      </c>
      <c r="BH8" s="59">
        <f t="shared" si="8"/>
        <v>269.33377625930052</v>
      </c>
      <c r="BI8" s="59">
        <f ca="1">AVERAGE(OFFSET($BH$3,0,0,'Données projet'!$E$11+1,1))-AVERAGE(OFFSET($H$3,0,0,'Données projet'!$E$11+1,1))</f>
        <v>293.20194140252903</v>
      </c>
      <c r="BJ8" s="59">
        <f t="shared" si="38"/>
        <v>280.69048279989266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2.4666666666666668</v>
      </c>
      <c r="BY8" s="12">
        <f>IF('Données projet'!$A$114&gt;35,BY7+BX8-CG7,IF(A8&lt;'Données projet'!$A$114,$BV$205^A8,IF(A8='Données projet'!$A$114,'Données projet'!$B$114,BY7+BX8-CG7)))</f>
        <v>3.332221851645953</v>
      </c>
      <c r="BZ8" s="13">
        <f>BY8*VLOOKUP('Données projet'!$B$12,Paramètres!$A$1:$I$89,3,0)*VLOOKUP('Données projet'!$B$12,Paramètres!$A$1:$I$89,5,0)</f>
        <v>2.6511157051695204</v>
      </c>
      <c r="CA8" s="13">
        <f t="shared" si="39"/>
        <v>1.0906707059957799</v>
      </c>
      <c r="CB8" s="20">
        <f t="shared" si="10"/>
        <v>6.5169446661128978</v>
      </c>
      <c r="CC8" s="59">
        <f t="shared" si="11"/>
        <v>269.29472244389069</v>
      </c>
      <c r="CD8" s="59">
        <f ca="1">AVERAGE(OFFSET($CC$3,0,0,'Données projet'!$E$12+1,1))-AVERAGE(OFFSET($H$3,0,0,'Données projet'!$E$12+1,1))</f>
        <v>271.25628946149067</v>
      </c>
      <c r="CE8" s="59">
        <f t="shared" si="40"/>
        <v>292.57799203101769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3.6</v>
      </c>
      <c r="CT8" s="12">
        <f>IF('Données projet'!$A$140&gt;35,CT7+CS8-DB7,IF(A8&lt;'Données projet'!$A$140,$CQ$205^A8,IF(A8='Données projet'!$A$140,'Données projet'!$B$140,CT7+CS8-DB7)))</f>
        <v>6.0000000000000009</v>
      </c>
      <c r="CU8" s="17">
        <f>CT8*VLOOKUP('Données projet'!$B$13,Paramètres!$A$1:$I$89,3,0)*VLOOKUP('Données projet'!$B$13,Paramètres!$A$1:$I$89,5,0)</f>
        <v>3.2760000000000007</v>
      </c>
      <c r="CV8" s="13">
        <f t="shared" si="41"/>
        <v>1.3149520873221716</v>
      </c>
      <c r="CW8" s="20">
        <f t="shared" si="13"/>
        <v>7.9959082187527839</v>
      </c>
      <c r="CX8" s="59">
        <f t="shared" si="14"/>
        <v>270.77368599653056</v>
      </c>
      <c r="CY8" s="59">
        <f ca="1">AVERAGE(OFFSET($CX$3,0,0,'Données projet'!$E$13+1,1))-AVERAGE(OFFSET($H$3,0,0,'Données projet'!$E$13+1,1))</f>
        <v>210.03861149060413</v>
      </c>
      <c r="CZ8" s="59">
        <f t="shared" si="42"/>
        <v>298.74602928001929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3.2373333333333334</v>
      </c>
      <c r="DO8" s="12">
        <f>IF('Données projet'!$A$166&gt;35,DO7+DN8-DW7,IF(A8&lt;'Données projet'!$A$166,$DL$205^A8,IF(A8='Données projet'!$A$166,'Données projet'!$B$166,DO7+DN8-DW7)))</f>
        <v>3.648319737031037</v>
      </c>
      <c r="DP8" s="17">
        <f>DO8*VLOOKUP('Données projet'!$B$14,Paramètres!$A$1:$I$89,3,0)*VLOOKUP('Données projet'!$B$14,Paramètres!$A$1:$I$89,5,0)</f>
        <v>2.1816952027445602</v>
      </c>
      <c r="DQ8" s="13">
        <f t="shared" si="43"/>
        <v>0.91814338804821549</v>
      </c>
      <c r="DR8" s="20">
        <f t="shared" si="16"/>
        <v>5.3988855456307512</v>
      </c>
      <c r="DS8" s="59">
        <f t="shared" si="17"/>
        <v>268.17666332340855</v>
      </c>
      <c r="DT8" s="59">
        <f ca="1">AVERAGE(OFFSET($DS$3,0,0,'Données projet'!$E$14+1,1))-AVERAGE(OFFSET($H$3,0,0,'Données projet'!$E$14+1,1))</f>
        <v>402.28353929315114</v>
      </c>
      <c r="DU8" s="59">
        <f t="shared" si="44"/>
        <v>376.94419168335463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7</v>
      </c>
      <c r="EJ8" s="12">
        <f>IF('Données projet'!$A$192&gt;35,EJ7+EI8-ER7,IF(A8&lt;'Données projet'!$A$192,$EG$205^A8,IF(A8='Données projet'!$A$192,'Données projet'!$B$192,EJ7+EI8-ER7)))</f>
        <v>3.4397906282503903</v>
      </c>
      <c r="EK8" s="17">
        <f>EJ8*VLOOKUP('Données projet'!$B$15,Paramètres!$A$1:$I$89,3,0)*VLOOKUP('Données projet'!$B$15,Paramètres!$A$1:$I$89,5,0)</f>
        <v>1.6098220140211825</v>
      </c>
      <c r="EL8" s="13">
        <f t="shared" si="45"/>
        <v>0.70187695571286812</v>
      </c>
      <c r="EM8" s="20">
        <f t="shared" si="19"/>
        <v>4.0262090389534713</v>
      </c>
      <c r="EN8" s="59">
        <f t="shared" si="20"/>
        <v>266.80398681673125</v>
      </c>
      <c r="EO8" s="59">
        <f ca="1">AVERAGE(OFFSET($EN$3,0,0,'Données projet'!$E$15+1,1))-AVERAGE(OFFSET($H$3,0,0,'Données projet'!$E$15+1,1))</f>
        <v>273.3012268683454</v>
      </c>
      <c r="EP8" s="59">
        <f t="shared" si="46"/>
        <v>254.08208375594052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3.65</v>
      </c>
      <c r="N9" s="13">
        <f>IF('Données projet'!$A$36&gt;35,N8+M9-V8,IF(A9&lt;'Données projet'!$A$36,$K$205^A9,IF(A9='Données projet'!$A$36,'Données projet'!$B$36,N8+M9-V8)))</f>
        <v>3.6224037772879885</v>
      </c>
      <c r="O9" s="13">
        <f>N9*VLOOKUP('Données projet'!$B$9,Paramètres!$A$1:$I$89,3,0)*VLOOKUP('Données projet'!$B$9,Paramètres!$A$1:$I$89,5,0)</f>
        <v>3.2775509376901719</v>
      </c>
      <c r="P9" s="13">
        <f t="shared" si="33"/>
        <v>1.315502139804245</v>
      </c>
      <c r="Q9" s="20">
        <f t="shared" si="2"/>
        <v>7.9995674433027766</v>
      </c>
      <c r="R9" s="59">
        <f t="shared" si="0"/>
        <v>271.99956744330279</v>
      </c>
      <c r="S9" s="59">
        <f ca="1">AVERAGE(OFFSET($R$3,0,0,'Données projet'!$E$9+1,1))-AVERAGE(OFFSET($H$3,0,0,'Données projet'!$E$9+1,1))</f>
        <v>453.52760163325451</v>
      </c>
      <c r="T9" s="59">
        <f t="shared" si="34"/>
        <v>344.23959526427001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1.6</v>
      </c>
      <c r="AI9" s="13">
        <f>IF('Données projet'!$A$62&gt;35,AI8+AH9-AQ8,IF(A9&lt;'Données projet'!$A$62,$AF$205^A9,IF(A9='Données projet'!$A$62,'Données projet'!$B$62,AI8+AH9-AQ8)))</f>
        <v>2.8284271247461894</v>
      </c>
      <c r="AJ9" s="13">
        <f>AI9*VLOOKUP('Données projet'!$B$10,Paramètres!$A$1:$I$89,3,0)*VLOOKUP('Données projet'!$B$10,Paramètres!$A$1:$I$89,5,0)</f>
        <v>2.4267904730322307</v>
      </c>
      <c r="AK9" s="13">
        <f t="shared" si="35"/>
        <v>1.0087106093953995</v>
      </c>
      <c r="AL9" s="20">
        <f t="shared" si="4"/>
        <v>5.9834977185614555</v>
      </c>
      <c r="AM9" s="59">
        <f t="shared" si="5"/>
        <v>269.98349771856147</v>
      </c>
      <c r="AN9" s="59">
        <f ca="1">AVERAGE(OFFSET($AM$3,0,0,'Données projet'!$E$10+1,1))-AVERAGE(OFFSET($H$3,0,0,'Données projet'!$E$10+1,1))</f>
        <v>397.45670821030774</v>
      </c>
      <c r="AO9" s="59">
        <f t="shared" si="36"/>
        <v>256.77417912163997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2.6666666666666665</v>
      </c>
      <c r="BD9" s="12">
        <f>IF('Données projet'!$A$88&gt;35,BD8+BC9-BL8,IF(A9&lt;'Données projet'!$A$88,$BA$205^A9,IF(A9='Données projet'!$A$88,'Données projet'!$B$88,BD8+BC9-BL8)))</f>
        <v>4.3734482957731098</v>
      </c>
      <c r="BE9" s="13">
        <f>BD9*VLOOKUP('Données projet'!$B$11,Paramètres!$A$1:$I$89,3,0)*VLOOKUP('Données projet'!$B$11,Paramètres!$A$1:$I$89,5,0)</f>
        <v>3.4112896707030256</v>
      </c>
      <c r="BF9" s="13">
        <f t="shared" si="37"/>
        <v>1.3628213830192535</v>
      </c>
      <c r="BG9" s="20">
        <f t="shared" si="7"/>
        <v>8.3149100852329703</v>
      </c>
      <c r="BH9" s="59">
        <f t="shared" si="8"/>
        <v>272.31491008523295</v>
      </c>
      <c r="BI9" s="59">
        <f ca="1">AVERAGE(OFFSET($BH$3,0,0,'Données projet'!$E$11+1,1))-AVERAGE(OFFSET($H$3,0,0,'Données projet'!$E$11+1,1))</f>
        <v>293.20194140252903</v>
      </c>
      <c r="BJ9" s="59">
        <f t="shared" si="38"/>
        <v>280.69048279989266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2.4666666666666668</v>
      </c>
      <c r="BY9" s="12">
        <f>IF('Données projet'!$A$114&gt;35,BY8+BX9-CG8,IF(A9&lt;'Données projet'!$A$114,$BV$205^A9,IF(A9='Données projet'!$A$114,'Données projet'!$B$114,BY8+BX9-CG8)))</f>
        <v>4.2391685997738069</v>
      </c>
      <c r="BZ9" s="13">
        <f>BY9*VLOOKUP('Données projet'!$B$12,Paramètres!$A$1:$I$89,3,0)*VLOOKUP('Données projet'!$B$12,Paramètres!$A$1:$I$89,5,0)</f>
        <v>3.3726825379800407</v>
      </c>
      <c r="CA9" s="13">
        <f t="shared" si="39"/>
        <v>1.3491840083541735</v>
      </c>
      <c r="CB9" s="20">
        <f t="shared" si="10"/>
        <v>8.2239175681987557</v>
      </c>
      <c r="CC9" s="59">
        <f t="shared" si="11"/>
        <v>272.22391756819877</v>
      </c>
      <c r="CD9" s="59">
        <f ca="1">AVERAGE(OFFSET($CC$3,0,0,'Données projet'!$E$12+1,1))-AVERAGE(OFFSET($H$3,0,0,'Données projet'!$E$12+1,1))</f>
        <v>271.25628946149067</v>
      </c>
      <c r="CE9" s="59">
        <f t="shared" si="40"/>
        <v>292.57799203101769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3.6</v>
      </c>
      <c r="CT9" s="12">
        <f>IF('Données projet'!$A$140&gt;35,CT8+CS9-DB8,IF(A9&lt;'Données projet'!$A$140,$CQ$205^A9,IF(A9='Données projet'!$A$140,'Données projet'!$B$140,CT8+CS9-DB8)))</f>
        <v>8.5858144866315342</v>
      </c>
      <c r="CU9" s="17">
        <f>CT9*VLOOKUP('Données projet'!$B$13,Paramètres!$A$1:$I$89,3,0)*VLOOKUP('Données projet'!$B$13,Paramètres!$A$1:$I$89,5,0)</f>
        <v>4.6878547097008179</v>
      </c>
      <c r="CV9" s="13">
        <f t="shared" si="41"/>
        <v>1.8047822779434171</v>
      </c>
      <c r="CW9" s="20">
        <f t="shared" si="13"/>
        <v>11.308009420147043</v>
      </c>
      <c r="CX9" s="59">
        <f t="shared" si="14"/>
        <v>275.30800942014702</v>
      </c>
      <c r="CY9" s="59">
        <f ca="1">AVERAGE(OFFSET($CX$3,0,0,'Données projet'!$E$13+1,1))-AVERAGE(OFFSET($H$3,0,0,'Données projet'!$E$13+1,1))</f>
        <v>210.03861149060413</v>
      </c>
      <c r="CZ9" s="59">
        <f t="shared" si="42"/>
        <v>298.74602928001929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3.2373333333333334</v>
      </c>
      <c r="DO9" s="12">
        <f>IF('Données projet'!$A$166&gt;35,DO8+DN9-DW8,IF(A9&lt;'Données projet'!$A$166,$DL$205^A9,IF(A9='Données projet'!$A$166,'Données projet'!$B$166,DO8+DN9-DW8)))</f>
        <v>4.7261932025255282</v>
      </c>
      <c r="DP9" s="17">
        <f>DO9*VLOOKUP('Données projet'!$B$14,Paramètres!$A$1:$I$89,3,0)*VLOOKUP('Données projet'!$B$14,Paramètres!$A$1:$I$89,5,0)</f>
        <v>2.8262635351102658</v>
      </c>
      <c r="DQ9" s="13">
        <f t="shared" si="43"/>
        <v>1.1541003348110361</v>
      </c>
      <c r="DR9" s="20">
        <f t="shared" si="16"/>
        <v>6.9324670734462677</v>
      </c>
      <c r="DS9" s="59">
        <f t="shared" si="17"/>
        <v>270.93246707344628</v>
      </c>
      <c r="DT9" s="59">
        <f ca="1">AVERAGE(OFFSET($DS$3,0,0,'Données projet'!$E$14+1,1))-AVERAGE(OFFSET($H$3,0,0,'Données projet'!$E$14+1,1))</f>
        <v>402.28353929315114</v>
      </c>
      <c r="DU9" s="59">
        <f t="shared" si="44"/>
        <v>376.94419168335463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7</v>
      </c>
      <c r="EJ9" s="12">
        <f>IF('Données projet'!$A$192&gt;35,EJ8+EI9-ER8,IF(A9&lt;'Données projet'!$A$192,$EG$205^A9,IF(A9='Données projet'!$A$192,'Données projet'!$B$192,EJ8+EI9-ER8)))</f>
        <v>4.4039097538147285</v>
      </c>
      <c r="EK9" s="17">
        <f>EJ9*VLOOKUP('Données projet'!$B$15,Paramètres!$A$1:$I$89,3,0)*VLOOKUP('Données projet'!$B$15,Paramètres!$A$1:$I$89,5,0)</f>
        <v>2.0610297647852929</v>
      </c>
      <c r="EL9" s="13">
        <f t="shared" si="45"/>
        <v>0.87312599896069631</v>
      </c>
      <c r="EM9" s="20">
        <f t="shared" si="19"/>
        <v>5.1103212885242639</v>
      </c>
      <c r="EN9" s="59">
        <f t="shared" si="20"/>
        <v>269.11032128852429</v>
      </c>
      <c r="EO9" s="59">
        <f ca="1">AVERAGE(OFFSET($EN$3,0,0,'Données projet'!$E$15+1,1))-AVERAGE(OFFSET($H$3,0,0,'Données projet'!$E$15+1,1))</f>
        <v>273.3012268683454</v>
      </c>
      <c r="EP9" s="59">
        <f t="shared" si="46"/>
        <v>254.08208375594052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3.65</v>
      </c>
      <c r="N10" s="13">
        <f>IF('Données projet'!$A$36&gt;35,N9+M10-V9,IF(A10&lt;'Données projet'!$A$36,$K$205^A10,IF(A10='Données projet'!$A$36,'Données projet'!$B$36,N9+M10-V9)))</f>
        <v>4.4891384635544309</v>
      </c>
      <c r="O10" s="13">
        <f>N10*VLOOKUP('Données projet'!$B$9,Paramètres!$A$1:$I$89,3,0)*VLOOKUP('Données projet'!$B$9,Paramètres!$A$1:$I$89,5,0)</f>
        <v>4.0617724818240486</v>
      </c>
      <c r="P10" s="13">
        <f t="shared" si="33"/>
        <v>1.590058719758437</v>
      </c>
      <c r="Q10" s="20">
        <f t="shared" si="2"/>
        <v>9.8436060094228282</v>
      </c>
      <c r="R10" s="59">
        <f t="shared" si="0"/>
        <v>275.06582823164507</v>
      </c>
      <c r="S10" s="59">
        <f ca="1">AVERAGE(OFFSET($R$3,0,0,'Données projet'!$E$9+1,1))-AVERAGE(OFFSET($H$3,0,0,'Données projet'!$E$9+1,1))</f>
        <v>453.52760163325451</v>
      </c>
      <c r="T10" s="59">
        <f t="shared" si="34"/>
        <v>344.23959526427001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1.6</v>
      </c>
      <c r="AI10" s="13">
        <f>IF('Données projet'!$A$62&gt;35,AI9+AH10-AQ9,IF(A10&lt;'Données projet'!$A$62,$AF$205^A10,IF(A10='Données projet'!$A$62,'Données projet'!$B$62,AI9+AH10-AQ9)))</f>
        <v>3.3635856610148567</v>
      </c>
      <c r="AJ10" s="13">
        <f>AI10*VLOOKUP('Données projet'!$B$10,Paramètres!$A$1:$I$89,3,0)*VLOOKUP('Données projet'!$B$10,Paramètres!$A$1:$I$89,5,0)</f>
        <v>2.8859564971507474</v>
      </c>
      <c r="AK10" s="13">
        <f t="shared" si="35"/>
        <v>1.1756122821876749</v>
      </c>
      <c r="AL10" s="20">
        <f t="shared" si="4"/>
        <v>7.073898957347752</v>
      </c>
      <c r="AM10" s="59">
        <f t="shared" si="5"/>
        <v>272.29612117956998</v>
      </c>
      <c r="AN10" s="59">
        <f ca="1">AVERAGE(OFFSET($AM$3,0,0,'Données projet'!$E$10+1,1))-AVERAGE(OFFSET($H$3,0,0,'Données projet'!$E$10+1,1))</f>
        <v>397.45670821030774</v>
      </c>
      <c r="AO10" s="59">
        <f t="shared" si="36"/>
        <v>256.77417912163997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2.6666666666666665</v>
      </c>
      <c r="BD10" s="12">
        <f>IF('Données projet'!$A$88&gt;35,BD9+BC10-BL9,IF(A10&lt;'Données projet'!$A$88,$BA$205^A10,IF(A10='Données projet'!$A$88,'Données projet'!$B$88,BD9+BC10-BL9)))</f>
        <v>5.5927833467405659</v>
      </c>
      <c r="BE10" s="13">
        <f>BD10*VLOOKUP('Données projet'!$B$11,Paramètres!$A$1:$I$89,3,0)*VLOOKUP('Données projet'!$B$11,Paramètres!$A$1:$I$89,5,0)</f>
        <v>4.3623710104576414</v>
      </c>
      <c r="BF10" s="13">
        <f t="shared" si="37"/>
        <v>1.6936004212396314</v>
      </c>
      <c r="BG10" s="20">
        <f t="shared" si="7"/>
        <v>10.54748357687275</v>
      </c>
      <c r="BH10" s="59">
        <f t="shared" si="8"/>
        <v>275.76970579909499</v>
      </c>
      <c r="BI10" s="59">
        <f ca="1">AVERAGE(OFFSET($BH$3,0,0,'Données projet'!$E$11+1,1))-AVERAGE(OFFSET($H$3,0,0,'Données projet'!$E$11+1,1))</f>
        <v>293.20194140252903</v>
      </c>
      <c r="BJ10" s="59">
        <f t="shared" si="38"/>
        <v>280.69048279989266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2.4666666666666668</v>
      </c>
      <c r="BY10" s="12">
        <f>IF('Données projet'!$A$114&gt;35,BY9+BX10-CG9,IF(A10&lt;'Données projet'!$A$114,$BV$205^A10,IF(A10='Données projet'!$A$114,'Données projet'!$B$114,BY9+BX10-CG9)))</f>
        <v>5.3929633792034757</v>
      </c>
      <c r="BZ10" s="13">
        <f>BY10*VLOOKUP('Données projet'!$B$12,Paramètres!$A$1:$I$89,3,0)*VLOOKUP('Données projet'!$B$12,Paramètres!$A$1:$I$89,5,0)</f>
        <v>4.2906416644942853</v>
      </c>
      <c r="CA10" s="13">
        <f t="shared" si="39"/>
        <v>1.6689707336887791</v>
      </c>
      <c r="CB10" s="20">
        <f t="shared" si="10"/>
        <v>10.379658260168837</v>
      </c>
      <c r="CC10" s="59">
        <f t="shared" si="11"/>
        <v>275.60188048239104</v>
      </c>
      <c r="CD10" s="59">
        <f ca="1">AVERAGE(OFFSET($CC$3,0,0,'Données projet'!$E$12+1,1))-AVERAGE(OFFSET($H$3,0,0,'Données projet'!$E$12+1,1))</f>
        <v>271.25628946149067</v>
      </c>
      <c r="CE10" s="59">
        <f t="shared" si="40"/>
        <v>292.57799203101769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3.6</v>
      </c>
      <c r="CT10" s="12">
        <f>IF('Données projet'!$A$140&gt;35,CT9+CS10-DB9,IF(A10&lt;'Données projet'!$A$140,$CQ$205^A10,IF(A10='Données projet'!$A$140,'Données projet'!$B$140,CT9+CS10-DB9)))</f>
        <v>12.286035066475318</v>
      </c>
      <c r="CU10" s="17">
        <f>CT10*VLOOKUP('Données projet'!$B$13,Paramètres!$A$1:$I$89,3,0)*VLOOKUP('Données projet'!$B$13,Paramètres!$A$1:$I$89,5,0)</f>
        <v>6.708175146295523</v>
      </c>
      <c r="CV10" s="13">
        <f t="shared" si="41"/>
        <v>2.4770781400954469</v>
      </c>
      <c r="CW10" s="20">
        <f t="shared" si="13"/>
        <v>15.997649473797606</v>
      </c>
      <c r="CX10" s="59">
        <f t="shared" si="14"/>
        <v>281.21987169601982</v>
      </c>
      <c r="CY10" s="59">
        <f ca="1">AVERAGE(OFFSET($CX$3,0,0,'Données projet'!$E$13+1,1))-AVERAGE(OFFSET($H$3,0,0,'Données projet'!$E$13+1,1))</f>
        <v>210.03861149060413</v>
      </c>
      <c r="CZ10" s="59">
        <f t="shared" si="42"/>
        <v>298.74602928001929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3.2373333333333334</v>
      </c>
      <c r="DO10" s="12">
        <f>IF('Données projet'!$A$166&gt;35,DO9+DN10-DW9,IF(A10&lt;'Données projet'!$A$166,$DL$205^A10,IF(A10='Données projet'!$A$166,'Données projet'!$B$166,DO9+DN10-DW9)))</f>
        <v>6.1225177061306688</v>
      </c>
      <c r="DP10" s="17">
        <f>DO10*VLOOKUP('Données projet'!$B$14,Paramètres!$A$1:$I$89,3,0)*VLOOKUP('Données projet'!$B$14,Paramètres!$A$1:$I$89,5,0)</f>
        <v>3.66126558826614</v>
      </c>
      <c r="DQ10" s="13">
        <f t="shared" si="43"/>
        <v>1.4506966996107142</v>
      </c>
      <c r="DR10" s="20">
        <f t="shared" si="16"/>
        <v>8.9033343180521864</v>
      </c>
      <c r="DS10" s="59">
        <f t="shared" si="17"/>
        <v>274.12555654027443</v>
      </c>
      <c r="DT10" s="59">
        <f ca="1">AVERAGE(OFFSET($DS$3,0,0,'Données projet'!$E$14+1,1))-AVERAGE(OFFSET($H$3,0,0,'Données projet'!$E$14+1,1))</f>
        <v>402.28353929315114</v>
      </c>
      <c r="DU10" s="59">
        <f t="shared" si="44"/>
        <v>376.94419168335463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7</v>
      </c>
      <c r="EJ10" s="12">
        <f>IF('Données projet'!$A$192&gt;35,EJ9+EI10-ER9,IF(A10&lt;'Données projet'!$A$192,$EG$205^A10,IF(A10='Données projet'!$A$192,'Données projet'!$B$192,EJ9+EI10-ER9)))</f>
        <v>5.6382562823625264</v>
      </c>
      <c r="EK10" s="17">
        <f>EJ10*VLOOKUP('Données projet'!$B$15,Paramètres!$A$1:$I$89,3,0)*VLOOKUP('Données projet'!$B$15,Paramètres!$A$1:$I$89,5,0)</f>
        <v>2.6387039401456627</v>
      </c>
      <c r="EL10" s="13">
        <f t="shared" si="45"/>
        <v>1.0861576289918606</v>
      </c>
      <c r="EM10" s="20">
        <f t="shared" si="19"/>
        <v>6.4874672329145193</v>
      </c>
      <c r="EN10" s="59">
        <f t="shared" si="20"/>
        <v>271.70968945513675</v>
      </c>
      <c r="EO10" s="59">
        <f ca="1">AVERAGE(OFFSET($EN$3,0,0,'Données projet'!$E$15+1,1))-AVERAGE(OFFSET($H$3,0,0,'Données projet'!$E$15+1,1))</f>
        <v>273.3012268683454</v>
      </c>
      <c r="EP10" s="59">
        <f t="shared" si="46"/>
        <v>254.08208375594052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3.65</v>
      </c>
      <c r="N11" s="13">
        <f>IF('Données projet'!$A$36&gt;35,N10+M11-V10,IF(A11&lt;'Données projet'!$A$36,$K$205^A11,IF(A11='Données projet'!$A$36,'Données projet'!$B$36,N10+M11-V10)))</f>
        <v>5.563257268920875</v>
      </c>
      <c r="O11" s="13">
        <f>N11*VLOOKUP('Données projet'!$B$9,Paramètres!$A$1:$I$89,3,0)*VLOOKUP('Données projet'!$B$9,Paramètres!$A$1:$I$89,5,0)</f>
        <v>5.0336351769196082</v>
      </c>
      <c r="P11" s="13">
        <f t="shared" si="33"/>
        <v>1.9219176128866391</v>
      </c>
      <c r="Q11" s="20">
        <f t="shared" si="2"/>
        <v>12.11425444224588</v>
      </c>
      <c r="R11" s="59">
        <f t="shared" si="0"/>
        <v>278.55869888669031</v>
      </c>
      <c r="S11" s="59">
        <f ca="1">AVERAGE(OFFSET($R$3,0,0,'Données projet'!$E$9+1,1))-AVERAGE(OFFSET($H$3,0,0,'Données projet'!$E$9+1,1))</f>
        <v>453.52760163325451</v>
      </c>
      <c r="T11" s="59">
        <f t="shared" si="34"/>
        <v>344.23959526427001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1.6</v>
      </c>
      <c r="AI11" s="13">
        <f>IF('Données projet'!$A$62&gt;35,AI10+AH11-AQ10,IF(A11&lt;'Données projet'!$A$62,$AF$205^A11,IF(A11='Données projet'!$A$62,'Données projet'!$B$62,AI10+AH11-AQ10)))</f>
        <v>3.9999999999999982</v>
      </c>
      <c r="AJ11" s="13">
        <f>AI11*VLOOKUP('Données projet'!$B$10,Paramètres!$A$1:$I$89,3,0)*VLOOKUP('Données projet'!$B$10,Paramètres!$A$1:$I$89,5,0)</f>
        <v>3.4319999999999991</v>
      </c>
      <c r="AK11" s="13">
        <f t="shared" si="35"/>
        <v>1.3701295744860806</v>
      </c>
      <c r="AL11" s="20">
        <f t="shared" si="4"/>
        <v>8.3637090088965884</v>
      </c>
      <c r="AM11" s="59">
        <f t="shared" si="5"/>
        <v>274.80815345334105</v>
      </c>
      <c r="AN11" s="59">
        <f ca="1">AVERAGE(OFFSET($AM$3,0,0,'Données projet'!$E$10+1,1))-AVERAGE(OFFSET($H$3,0,0,'Données projet'!$E$10+1,1))</f>
        <v>397.45670821030774</v>
      </c>
      <c r="AO11" s="59">
        <f t="shared" si="36"/>
        <v>256.77417912163997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2.6666666666666665</v>
      </c>
      <c r="BD11" s="12">
        <f>IF('Données projet'!$A$88&gt;35,BD10+BC11-BL10,IF(A11&lt;'Données projet'!$A$88,$BA$205^A11,IF(A11='Données projet'!$A$88,'Données projet'!$B$88,BD10+BC11-BL10)))</f>
        <v>7.1520739352994367</v>
      </c>
      <c r="BE11" s="13">
        <f>BD11*VLOOKUP('Données projet'!$B$11,Paramètres!$A$1:$I$89,3,0)*VLOOKUP('Données projet'!$B$11,Paramètres!$A$1:$I$89,5,0)</f>
        <v>5.5786176695335605</v>
      </c>
      <c r="BF11" s="13">
        <f t="shared" si="37"/>
        <v>2.1046649418345189</v>
      </c>
      <c r="BG11" s="20">
        <f t="shared" si="7"/>
        <v>13.381717214799407</v>
      </c>
      <c r="BH11" s="59">
        <f t="shared" si="8"/>
        <v>279.82616165924384</v>
      </c>
      <c r="BI11" s="59">
        <f ca="1">AVERAGE(OFFSET($BH$3,0,0,'Données projet'!$E$11+1,1))-AVERAGE(OFFSET($H$3,0,0,'Données projet'!$E$11+1,1))</f>
        <v>293.20194140252903</v>
      </c>
      <c r="BJ11" s="59">
        <f t="shared" si="38"/>
        <v>280.69048279989266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2.4666666666666668</v>
      </c>
      <c r="BY11" s="12">
        <f>IF('Données projet'!$A$114&gt;35,BY10+BX11-CG10,IF(A11&lt;'Données projet'!$A$114,$BV$205^A11,IF(A11='Données projet'!$A$114,'Données projet'!$B$114,BY10+BX11-CG10)))</f>
        <v>6.8607919984549888</v>
      </c>
      <c r="BZ11" s="13">
        <f>BY11*VLOOKUP('Données projet'!$B$12,Paramètres!$A$1:$I$89,3,0)*VLOOKUP('Données projet'!$B$12,Paramètres!$A$1:$I$89,5,0)</f>
        <v>5.4584461139707896</v>
      </c>
      <c r="CA11" s="13">
        <f t="shared" si="39"/>
        <v>2.0645540509389519</v>
      </c>
      <c r="CB11" s="20">
        <f t="shared" si="10"/>
        <v>13.102558620551131</v>
      </c>
      <c r="CC11" s="59">
        <f t="shared" si="11"/>
        <v>279.54700306499558</v>
      </c>
      <c r="CD11" s="59">
        <f ca="1">AVERAGE(OFFSET($CC$3,0,0,'Données projet'!$E$12+1,1))-AVERAGE(OFFSET($H$3,0,0,'Données projet'!$E$12+1,1))</f>
        <v>271.25628946149067</v>
      </c>
      <c r="CE11" s="59">
        <f t="shared" si="40"/>
        <v>292.57799203101769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3.6</v>
      </c>
      <c r="CT11" s="12">
        <f>IF('Données projet'!$A$140&gt;35,CT10+CS11-DB10,IF(A11&lt;'Données projet'!$A$140,$CQ$205^A11,IF(A11='Données projet'!$A$140,'Données projet'!$B$140,CT10+CS11-DB10)))</f>
        <v>17.580936309501134</v>
      </c>
      <c r="CU11" s="17">
        <f>CT11*VLOOKUP('Données projet'!$B$13,Paramètres!$A$1:$I$89,3,0)*VLOOKUP('Données projet'!$B$13,Paramètres!$A$1:$I$89,5,0)</f>
        <v>9.599191224987619</v>
      </c>
      <c r="CV11" s="13">
        <f t="shared" si="41"/>
        <v>3.3998095987127641</v>
      </c>
      <c r="CW11" s="20">
        <f t="shared" si="13"/>
        <v>22.6399264346115</v>
      </c>
      <c r="CX11" s="59">
        <f t="shared" si="14"/>
        <v>289.08437087905594</v>
      </c>
      <c r="CY11" s="59">
        <f ca="1">AVERAGE(OFFSET($CX$3,0,0,'Données projet'!$E$13+1,1))-AVERAGE(OFFSET($H$3,0,0,'Données projet'!$E$13+1,1))</f>
        <v>210.03861149060413</v>
      </c>
      <c r="CZ11" s="59">
        <f t="shared" si="42"/>
        <v>298.74602928001929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3.2373333333333334</v>
      </c>
      <c r="DO11" s="12">
        <f>IF('Données projet'!$A$166&gt;35,DO10+DN11-DW10,IF(A11&lt;'Données projet'!$A$166,$DL$205^A11,IF(A11='Données projet'!$A$166,'Données projet'!$B$166,DO10+DN11-DW10)))</f>
        <v>7.9313776342982827</v>
      </c>
      <c r="DP11" s="17">
        <f>DO11*VLOOKUP('Données projet'!$B$14,Paramètres!$A$1:$I$89,3,0)*VLOOKUP('Données projet'!$B$14,Paramètres!$A$1:$I$89,5,0)</f>
        <v>4.7429638253103734</v>
      </c>
      <c r="DQ11" s="13">
        <f t="shared" si="43"/>
        <v>1.8235164229512146</v>
      </c>
      <c r="DR11" s="20">
        <f t="shared" si="16"/>
        <v>11.436619765722265</v>
      </c>
      <c r="DS11" s="59">
        <f t="shared" si="17"/>
        <v>277.8810642101667</v>
      </c>
      <c r="DT11" s="59">
        <f ca="1">AVERAGE(OFFSET($DS$3,0,0,'Données projet'!$E$14+1,1))-AVERAGE(OFFSET($H$3,0,0,'Données projet'!$E$14+1,1))</f>
        <v>402.28353929315114</v>
      </c>
      <c r="DU11" s="59">
        <f t="shared" si="44"/>
        <v>376.94419168335463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7</v>
      </c>
      <c r="EJ11" s="12">
        <f>IF('Données projet'!$A$192&gt;35,EJ10+EI11-ER10,IF(A11&lt;'Données projet'!$A$192,$EG$205^A11,IF(A11='Données projet'!$A$192,'Données projet'!$B$192,EJ10+EI11-ER10)))</f>
        <v>7.2185706980175075</v>
      </c>
      <c r="EK11" s="17">
        <f>EJ11*VLOOKUP('Données projet'!$B$15,Paramètres!$A$1:$I$89,3,0)*VLOOKUP('Données projet'!$B$15,Paramètres!$A$1:$I$89,5,0)</f>
        <v>3.3782910866721938</v>
      </c>
      <c r="EL11" s="13">
        <f t="shared" si="45"/>
        <v>1.3511662651455716</v>
      </c>
      <c r="EM11" s="20">
        <f t="shared" si="19"/>
        <v>8.2371382210826081</v>
      </c>
      <c r="EN11" s="59">
        <f t="shared" si="20"/>
        <v>274.68158266552706</v>
      </c>
      <c r="EO11" s="59">
        <f ca="1">AVERAGE(OFFSET($EN$3,0,0,'Données projet'!$E$15+1,1))-AVERAGE(OFFSET($H$3,0,0,'Données projet'!$E$15+1,1))</f>
        <v>273.3012268683454</v>
      </c>
      <c r="EP11" s="59">
        <f t="shared" si="46"/>
        <v>254.08208375594052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3.65</v>
      </c>
      <c r="N12" s="13">
        <f>IF('Données projet'!$A$36&gt;35,N11+M12-V11,IF(A12&lt;'Données projet'!$A$36,$K$205^A12,IF(A12='Données projet'!$A$36,'Données projet'!$B$36,N11+M12-V11)))</f>
        <v>6.8943811137639424</v>
      </c>
      <c r="O12" s="13">
        <f>N12*VLOOKUP('Données projet'!$B$9,Paramètres!$A$1:$I$89,3,0)*VLOOKUP('Données projet'!$B$9,Paramètres!$A$1:$I$89,5,0)</f>
        <v>6.2380360317336141</v>
      </c>
      <c r="P12" s="13">
        <f t="shared" si="33"/>
        <v>2.3230383034439352</v>
      </c>
      <c r="Q12" s="20">
        <f t="shared" si="2"/>
        <v>14.910537800434229</v>
      </c>
      <c r="R12" s="59">
        <f t="shared" si="0"/>
        <v>282.5772044671009</v>
      </c>
      <c r="S12" s="59">
        <f ca="1">AVERAGE(OFFSET($R$3,0,0,'Données projet'!$E$9+1,1))-AVERAGE(OFFSET($H$3,0,0,'Données projet'!$E$9+1,1))</f>
        <v>453.52760163325451</v>
      </c>
      <c r="T12" s="59">
        <f t="shared" si="34"/>
        <v>344.23959526427001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1.6</v>
      </c>
      <c r="AI12" s="13">
        <f>IF('Données projet'!$A$62&gt;35,AI11+AH12-AQ11,IF(A12&lt;'Données projet'!$A$62,$AF$205^A12,IF(A12='Données projet'!$A$62,'Données projet'!$B$62,AI11+AH12-AQ11)))</f>
        <v>4.7568284600108823</v>
      </c>
      <c r="AJ12" s="13">
        <f>AI12*VLOOKUP('Données projet'!$B$10,Paramètres!$A$1:$I$89,3,0)*VLOOKUP('Données projet'!$B$10,Paramètres!$A$1:$I$89,5,0)</f>
        <v>4.0813588186893375</v>
      </c>
      <c r="AK12" s="13">
        <f t="shared" si="35"/>
        <v>1.5968317780655192</v>
      </c>
      <c r="AL12" s="20">
        <f t="shared" si="4"/>
        <v>9.8895152893480418</v>
      </c>
      <c r="AM12" s="59">
        <f t="shared" si="5"/>
        <v>277.55618195601471</v>
      </c>
      <c r="AN12" s="59">
        <f ca="1">AVERAGE(OFFSET($AM$3,0,0,'Données projet'!$E$10+1,1))-AVERAGE(OFFSET($H$3,0,0,'Données projet'!$E$10+1,1))</f>
        <v>397.45670821030774</v>
      </c>
      <c r="AO12" s="59">
        <f t="shared" si="36"/>
        <v>256.77417912163997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2.6666666666666665</v>
      </c>
      <c r="BD12" s="12">
        <f>IF('Données projet'!$A$88&gt;35,BD11+BC12-BL11,IF(A12&lt;'Données projet'!$A$88,$BA$205^A12,IF(A12='Données projet'!$A$88,'Données projet'!$B$88,BD11+BC12-BL11)))</f>
        <v>9.1461010385465205</v>
      </c>
      <c r="BE12" s="13">
        <f>BD12*VLOOKUP('Données projet'!$B$11,Paramètres!$A$1:$I$89,3,0)*VLOOKUP('Données projet'!$B$11,Paramètres!$A$1:$I$89,5,0)</f>
        <v>7.1339588100662858</v>
      </c>
      <c r="BF12" s="13">
        <f t="shared" si="37"/>
        <v>2.6155015444227643</v>
      </c>
      <c r="BG12" s="20">
        <f t="shared" si="7"/>
        <v>16.980310117401761</v>
      </c>
      <c r="BH12" s="59">
        <f t="shared" si="8"/>
        <v>284.64697678406844</v>
      </c>
      <c r="BI12" s="59">
        <f ca="1">AVERAGE(OFFSET($BH$3,0,0,'Données projet'!$E$11+1,1))-AVERAGE(OFFSET($H$3,0,0,'Données projet'!$E$11+1,1))</f>
        <v>293.20194140252903</v>
      </c>
      <c r="BJ12" s="59">
        <f t="shared" si="38"/>
        <v>280.69048279989266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2.4666666666666668</v>
      </c>
      <c r="BY12" s="12">
        <f>IF('Données projet'!$A$114&gt;35,BY11+BX12-CG11,IF(A12&lt;'Données projet'!$A$114,$BV$205^A12,IF(A12='Données projet'!$A$114,'Données projet'!$B$114,BY11+BX12-CG11)))</f>
        <v>8.7281265486761299</v>
      </c>
      <c r="BZ12" s="13">
        <f>BY12*VLOOKUP('Données projet'!$B$12,Paramètres!$A$1:$I$89,3,0)*VLOOKUP('Données projet'!$B$12,Paramètres!$A$1:$I$89,5,0)</f>
        <v>6.9440974821267289</v>
      </c>
      <c r="CA12" s="13">
        <f t="shared" si="39"/>
        <v>2.5538994442566798</v>
      </c>
      <c r="CB12" s="20">
        <f t="shared" si="10"/>
        <v>16.542344646784436</v>
      </c>
      <c r="CC12" s="59">
        <f t="shared" si="11"/>
        <v>284.20901131345113</v>
      </c>
      <c r="CD12" s="59">
        <f ca="1">AVERAGE(OFFSET($CC$3,0,0,'Données projet'!$E$12+1,1))-AVERAGE(OFFSET($H$3,0,0,'Données projet'!$E$12+1,1))</f>
        <v>271.25628946149067</v>
      </c>
      <c r="CE12" s="59">
        <f t="shared" si="40"/>
        <v>292.57799203101769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3.6</v>
      </c>
      <c r="CT12" s="12">
        <f>IF('Données projet'!$A$140&gt;35,CT11+CS12-DB11,IF(A12&lt;'Données projet'!$A$140,$CQ$205^A12,IF(A12='Données projet'!$A$140,'Données projet'!$B$140,CT11+CS12-DB11)))</f>
        <v>25.157776275776861</v>
      </c>
      <c r="CU12" s="17">
        <f>CT12*VLOOKUP('Données projet'!$B$13,Paramètres!$A$1:$I$89,3,0)*VLOOKUP('Données projet'!$B$13,Paramètres!$A$1:$I$89,5,0)</f>
        <v>13.736145846574166</v>
      </c>
      <c r="CV12" s="13">
        <f t="shared" si="41"/>
        <v>4.6662659204824557</v>
      </c>
      <c r="CW12" s="20">
        <f t="shared" si="13"/>
        <v>32.050867160956948</v>
      </c>
      <c r="CX12" s="59">
        <f t="shared" si="14"/>
        <v>299.71753382762364</v>
      </c>
      <c r="CY12" s="59">
        <f ca="1">AVERAGE(OFFSET($CX$3,0,0,'Données projet'!$E$13+1,1))-AVERAGE(OFFSET($H$3,0,0,'Données projet'!$E$13+1,1))</f>
        <v>210.03861149060413</v>
      </c>
      <c r="CZ12" s="59">
        <f t="shared" si="42"/>
        <v>298.74602928001929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3.2373333333333334</v>
      </c>
      <c r="DO12" s="12">
        <f>IF('Données projet'!$A$166&gt;35,DO11+DN12-DW11,IF(A12&lt;'Données projet'!$A$166,$DL$205^A12,IF(A12='Données projet'!$A$166,'Données projet'!$B$166,DO11+DN12-DW11)))</f>
        <v>10.274654022618265</v>
      </c>
      <c r="DP12" s="17">
        <f>DO12*VLOOKUP('Données projet'!$B$14,Paramètres!$A$1:$I$89,3,0)*VLOOKUP('Données projet'!$B$14,Paramètres!$A$1:$I$89,5,0)</f>
        <v>6.1442431055257218</v>
      </c>
      <c r="DQ12" s="13">
        <f t="shared" si="43"/>
        <v>2.2921484178361289</v>
      </c>
      <c r="DR12" s="20">
        <f t="shared" si="16"/>
        <v>14.693381903188557</v>
      </c>
      <c r="DS12" s="59">
        <f t="shared" si="17"/>
        <v>282.36004856985522</v>
      </c>
      <c r="DT12" s="59">
        <f ca="1">AVERAGE(OFFSET($DS$3,0,0,'Données projet'!$E$14+1,1))-AVERAGE(OFFSET($H$3,0,0,'Données projet'!$E$14+1,1))</f>
        <v>402.28353929315114</v>
      </c>
      <c r="DU12" s="59">
        <f t="shared" si="44"/>
        <v>376.94419168335463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7</v>
      </c>
      <c r="EJ12" s="12">
        <f>IF('Données projet'!$A$192&gt;35,EJ11+EI12-ER11,IF(A12&lt;'Données projet'!$A$192,$EG$205^A12,IF(A12='Données projet'!$A$192,'Données projet'!$B$192,EJ11+EI12-ER11)))</f>
        <v>9.2418223494521463</v>
      </c>
      <c r="EK12" s="17">
        <f>EJ12*VLOOKUP('Données projet'!$B$15,Paramètres!$A$1:$I$89,3,0)*VLOOKUP('Données projet'!$B$15,Paramètres!$A$1:$I$89,5,0)</f>
        <v>4.3251728595436045</v>
      </c>
      <c r="EL12" s="13">
        <f t="shared" si="45"/>
        <v>1.6808336353186117</v>
      </c>
      <c r="EM12" s="20">
        <f t="shared" si="19"/>
        <v>10.460461311885025</v>
      </c>
      <c r="EN12" s="59">
        <f t="shared" si="20"/>
        <v>278.1271279785517</v>
      </c>
      <c r="EO12" s="59">
        <f ca="1">AVERAGE(OFFSET($EN$3,0,0,'Données projet'!$E$15+1,1))-AVERAGE(OFFSET($H$3,0,0,'Données projet'!$E$15+1,1))</f>
        <v>273.3012268683454</v>
      </c>
      <c r="EP12" s="59">
        <f t="shared" si="46"/>
        <v>254.08208375594052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3.65</v>
      </c>
      <c r="N13" s="13">
        <f>IF('Données projet'!$A$36&gt;35,N12+M13-V12,IF(A13&lt;'Données projet'!$A$36,$K$205^A13,IF(A13='Données projet'!$A$36,'Données projet'!$B$36,N12+M13-V12)))</f>
        <v>8.5440037453175322</v>
      </c>
      <c r="O13" s="13">
        <f>N13*VLOOKUP('Données projet'!$B$9,Paramètres!$A$1:$I$89,3,0)*VLOOKUP('Données projet'!$B$9,Paramètres!$A$1:$I$89,5,0)</f>
        <v>7.7306145887633031</v>
      </c>
      <c r="P13" s="13">
        <f t="shared" si="33"/>
        <v>2.8078763226288115</v>
      </c>
      <c r="Q13" s="20">
        <f t="shared" si="2"/>
        <v>18.354538337341264</v>
      </c>
      <c r="R13" s="59">
        <f t="shared" si="0"/>
        <v>287.2434272262301</v>
      </c>
      <c r="S13" s="59">
        <f ca="1">AVERAGE(OFFSET($R$3,0,0,'Données projet'!$E$9+1,1))-AVERAGE(OFFSET($H$3,0,0,'Données projet'!$E$9+1,1))</f>
        <v>453.52760163325451</v>
      </c>
      <c r="T13" s="59">
        <f t="shared" si="34"/>
        <v>344.23959526427001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1.6</v>
      </c>
      <c r="AI13" s="13">
        <f>IF('Données projet'!$A$62&gt;35,AI12+AH13-AQ12,IF(A13&lt;'Données projet'!$A$62,$AF$205^A13,IF(A13='Données projet'!$A$62,'Données projet'!$B$62,AI12+AH13-AQ12)))</f>
        <v>5.656854249492377</v>
      </c>
      <c r="AJ13" s="13">
        <f>AI13*VLOOKUP('Données projet'!$B$10,Paramètres!$A$1:$I$89,3,0)*VLOOKUP('Données projet'!$B$10,Paramètres!$A$1:$I$89,5,0)</f>
        <v>4.8535809460644597</v>
      </c>
      <c r="AK13" s="13">
        <f t="shared" si="35"/>
        <v>1.8610442215994896</v>
      </c>
      <c r="AL13" s="20">
        <f t="shared" si="4"/>
        <v>11.694638833681379</v>
      </c>
      <c r="AM13" s="59">
        <f t="shared" si="5"/>
        <v>280.58352772257024</v>
      </c>
      <c r="AN13" s="59">
        <f ca="1">AVERAGE(OFFSET($AM$3,0,0,'Données projet'!$E$10+1,1))-AVERAGE(OFFSET($H$3,0,0,'Données projet'!$E$10+1,1))</f>
        <v>397.45670821030774</v>
      </c>
      <c r="AO13" s="59">
        <f t="shared" si="36"/>
        <v>256.77417912163997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2.6666666666666665</v>
      </c>
      <c r="BD13" s="12">
        <f>IF('Données projet'!$A$88&gt;35,BD12+BC13-BL12,IF(A13&lt;'Données projet'!$A$88,$BA$205^A13,IF(A13='Données projet'!$A$88,'Données projet'!$B$88,BD12+BC13-BL12)))</f>
        <v>11.696070952851455</v>
      </c>
      <c r="BE13" s="13">
        <f>BD13*VLOOKUP('Données projet'!$B$11,Paramètres!$A$1:$I$89,3,0)*VLOOKUP('Données projet'!$B$11,Paramètres!$A$1:$I$89,5,0)</f>
        <v>9.1229353432241354</v>
      </c>
      <c r="BF13" s="13">
        <f t="shared" si="37"/>
        <v>3.2503265450485803</v>
      </c>
      <c r="BG13" s="20">
        <f t="shared" si="7"/>
        <v>21.550097788741649</v>
      </c>
      <c r="BH13" s="59">
        <f t="shared" si="8"/>
        <v>290.43898667763051</v>
      </c>
      <c r="BI13" s="59">
        <f ca="1">AVERAGE(OFFSET($BH$3,0,0,'Données projet'!$E$11+1,1))-AVERAGE(OFFSET($H$3,0,0,'Données projet'!$E$11+1,1))</f>
        <v>293.20194140252903</v>
      </c>
      <c r="BJ13" s="59">
        <f t="shared" si="38"/>
        <v>280.69048279989266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2.4666666666666668</v>
      </c>
      <c r="BY13" s="12">
        <f>IF('Données projet'!$A$114&gt;35,BY12+BX13-CG12,IF(A13&lt;'Données projet'!$A$114,$BV$205^A13,IF(A13='Données projet'!$A$114,'Données projet'!$B$114,BY12+BX13-CG12)))</f>
        <v>11.103702468586782</v>
      </c>
      <c r="BZ13" s="13">
        <f>BY13*VLOOKUP('Données projet'!$B$12,Paramètres!$A$1:$I$89,3,0)*VLOOKUP('Données projet'!$B$12,Paramètres!$A$1:$I$89,5,0)</f>
        <v>8.8341056840076444</v>
      </c>
      <c r="CA13" s="13">
        <f t="shared" si="39"/>
        <v>3.1592306185484516</v>
      </c>
      <c r="CB13" s="20">
        <f t="shared" si="10"/>
        <v>20.888394060285197</v>
      </c>
      <c r="CC13" s="59">
        <f t="shared" si="11"/>
        <v>289.77728294917404</v>
      </c>
      <c r="CD13" s="59">
        <f ca="1">AVERAGE(OFFSET($CC$3,0,0,'Données projet'!$E$12+1,1))-AVERAGE(OFFSET($H$3,0,0,'Données projet'!$E$12+1,1))</f>
        <v>271.25628946149067</v>
      </c>
      <c r="CE13" s="59">
        <f t="shared" si="40"/>
        <v>292.57799203101769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>
        <f>VLOOKUP(A13,'Données projet'!$A$139:$I$159,2,0)</f>
        <v>36</v>
      </c>
      <c r="CR13" s="12">
        <f>VLOOKUP(A13,'Données projet'!$A$139:$I$159,9,0)</f>
        <v>3.6</v>
      </c>
      <c r="CS13" s="12">
        <f t="array" ref="CS13">INDEX(CR:CR,MIN(IF(ISNUMBER(CR13:CR209),ROW(CR13:CR209),"")))</f>
        <v>3.6</v>
      </c>
      <c r="CT13" s="12">
        <f>IF('Données projet'!$A$140&gt;35,CT12+CS13-DB12,IF(A13&lt;'Données projet'!$A$140,$CQ$205^A13,IF(A13='Données projet'!$A$140,'Données projet'!$B$140,CT12+CS13-DB12)))</f>
        <v>36</v>
      </c>
      <c r="CU13" s="17">
        <f>CT13*VLOOKUP('Données projet'!$B$13,Paramètres!$A$1:$I$89,3,0)*VLOOKUP('Données projet'!$B$13,Paramètres!$A$1:$I$89,5,0)</f>
        <v>19.655999999999999</v>
      </c>
      <c r="CV13" s="13">
        <f t="shared" si="41"/>
        <v>6.4044873715575275</v>
      </c>
      <c r="CW13" s="20">
        <f t="shared" si="13"/>
        <v>45.388682172129364</v>
      </c>
      <c r="CX13" s="59">
        <f t="shared" si="14"/>
        <v>314.27757106101819</v>
      </c>
      <c r="CY13" s="59">
        <f ca="1">AVERAGE(OFFSET($CX$3,0,0,'Données projet'!$E$13+1,1))-AVERAGE(OFFSET($H$3,0,0,'Données projet'!$E$13+1,1))</f>
        <v>210.03861149060413</v>
      </c>
      <c r="CZ13" s="59">
        <f t="shared" si="42"/>
        <v>298.74602928001929</v>
      </c>
      <c r="DA13" s="15">
        <f>IF(ISNA(VLOOKUP(A13,'Données projet'!$A$139:$I$159,3,0)),0,VLOOKUP(A13,'Données projet'!$A$139:$I$159,3,0))</f>
        <v>1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0.12</v>
      </c>
      <c r="DD13" s="16">
        <f>IF(ISNA(VLOOKUP(A13,'Données projet'!$A$139:$I$159,6,0)),0%,VLOOKUP(A13,'Données projet'!$A$139:$I$159,6,0)*VLOOKUP('Données projet'!$B$13,Paramètres!$A$1:$I$89,7,0))</f>
        <v>0.27</v>
      </c>
      <c r="DE13" s="16">
        <f>IF(ISNA(VLOOKUP(A13,'Données projet'!$A$139:$I$159,7,0)),0%,VLOOKUP(A13,'Données projet'!$A$139:$I$159,7,0))</f>
        <v>0.35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3.2373333333333334</v>
      </c>
      <c r="DO13" s="12">
        <f>IF('Données projet'!$A$166&gt;35,DO12+DN13-DW12,IF(A13&lt;'Données projet'!$A$166,$DL$205^A13,IF(A13='Données projet'!$A$166,'Données projet'!$B$166,DO12+DN13-DW12)))</f>
        <v>13.310236903610214</v>
      </c>
      <c r="DP13" s="17">
        <f>DO13*VLOOKUP('Données projet'!$B$14,Paramètres!$A$1:$I$89,3,0)*VLOOKUP('Données projet'!$B$14,Paramètres!$A$1:$I$89,5,0)</f>
        <v>7.9595216683589083</v>
      </c>
      <c r="DQ13" s="13">
        <f t="shared" si="43"/>
        <v>2.8812158219477846</v>
      </c>
      <c r="DR13" s="20">
        <f t="shared" si="16"/>
        <v>18.880951128950827</v>
      </c>
      <c r="DS13" s="59">
        <f t="shared" si="17"/>
        <v>287.76984001783967</v>
      </c>
      <c r="DT13" s="59">
        <f ca="1">AVERAGE(OFFSET($DS$3,0,0,'Données projet'!$E$14+1,1))-AVERAGE(OFFSET($H$3,0,0,'Données projet'!$E$14+1,1))</f>
        <v>402.28353929315114</v>
      </c>
      <c r="DU13" s="59">
        <f t="shared" si="44"/>
        <v>376.94419168335463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7</v>
      </c>
      <c r="EJ13" s="12">
        <f>IF('Données projet'!$A$192&gt;35,EJ12+EI13-ER12,IF(A13&lt;'Données projet'!$A$192,$EG$205^A13,IF(A13='Données projet'!$A$192,'Données projet'!$B$192,EJ12+EI13-ER12)))</f>
        <v>11.832159566199214</v>
      </c>
      <c r="EK13" s="17">
        <f>EJ13*VLOOKUP('Données projet'!$B$15,Paramètres!$A$1:$I$89,3,0)*VLOOKUP('Données projet'!$B$15,Paramètres!$A$1:$I$89,5,0)</f>
        <v>5.5374506769812326</v>
      </c>
      <c r="EL13" s="13">
        <f t="shared" si="45"/>
        <v>2.090935647593303</v>
      </c>
      <c r="EM13" s="20">
        <f t="shared" si="19"/>
        <v>13.286106181967314</v>
      </c>
      <c r="EN13" s="59">
        <f t="shared" si="20"/>
        <v>282.1749950708562</v>
      </c>
      <c r="EO13" s="59">
        <f ca="1">AVERAGE(OFFSET($EN$3,0,0,'Données projet'!$E$15+1,1))-AVERAGE(OFFSET($H$3,0,0,'Données projet'!$E$15+1,1))</f>
        <v>273.3012268683454</v>
      </c>
      <c r="EP13" s="59">
        <f t="shared" si="46"/>
        <v>254.08208375594052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3.65</v>
      </c>
      <c r="N14" s="13">
        <f>IF('Données projet'!$A$36&gt;35,N13+M14-V13,IF(A14&lt;'Données projet'!$A$36,$K$205^A14,IF(A14='Données projet'!$A$36,'Données projet'!$B$36,N13+M14-V13)))</f>
        <v>10.588332555950936</v>
      </c>
      <c r="O14" s="13">
        <f>N14*VLOOKUP('Données projet'!$B$9,Paramètres!$A$1:$I$89,3,0)*VLOOKUP('Données projet'!$B$9,Paramètres!$A$1:$I$89,5,0)</f>
        <v>9.5803232966244067</v>
      </c>
      <c r="P14" s="13">
        <f t="shared" si="33"/>
        <v>3.3939041949894282</v>
      </c>
      <c r="Q14" s="20">
        <f t="shared" si="2"/>
        <v>22.596779547894098</v>
      </c>
      <c r="R14" s="59">
        <f t="shared" si="0"/>
        <v>292.70789065900522</v>
      </c>
      <c r="S14" s="59">
        <f ca="1">AVERAGE(OFFSET($R$3,0,0,'Données projet'!$E$9+1,1))-AVERAGE(OFFSET($H$3,0,0,'Données projet'!$E$9+1,1))</f>
        <v>453.52760163325451</v>
      </c>
      <c r="T14" s="59">
        <f t="shared" si="34"/>
        <v>344.23959526427001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1.6</v>
      </c>
      <c r="AI14" s="13">
        <f>IF('Données projet'!$A$62&gt;35,AI13+AH14-AQ13,IF(A14&lt;'Données projet'!$A$62,$AF$205^A14,IF(A14='Données projet'!$A$62,'Données projet'!$B$62,AI13+AH14-AQ13)))</f>
        <v>6.7271713220297125</v>
      </c>
      <c r="AJ14" s="13">
        <f>AI14*VLOOKUP('Données projet'!$B$10,Paramètres!$A$1:$I$89,3,0)*VLOOKUP('Données projet'!$B$10,Paramètres!$A$1:$I$89,5,0)</f>
        <v>5.771912994301494</v>
      </c>
      <c r="AK14" s="13">
        <f t="shared" si="35"/>
        <v>2.1689733648366443</v>
      </c>
      <c r="AL14" s="20">
        <f t="shared" si="4"/>
        <v>13.830377075498925</v>
      </c>
      <c r="AM14" s="59">
        <f t="shared" si="5"/>
        <v>283.94148818661006</v>
      </c>
      <c r="AN14" s="59">
        <f ca="1">AVERAGE(OFFSET($AM$3,0,0,'Données projet'!$E$10+1,1))-AVERAGE(OFFSET($H$3,0,0,'Données projet'!$E$10+1,1))</f>
        <v>397.45670821030774</v>
      </c>
      <c r="AO14" s="59">
        <f t="shared" si="36"/>
        <v>256.77417912163997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2.6666666666666665</v>
      </c>
      <c r="BD14" s="12">
        <f>IF('Données projet'!$A$88&gt;35,BD13+BC14-BL13,IF(A14&lt;'Données projet'!$A$88,$BA$205^A14,IF(A14='Données projet'!$A$88,'Données projet'!$B$88,BD13+BC14-BL13)))</f>
        <v>14.956982779612416</v>
      </c>
      <c r="BE14" s="13">
        <f>BD14*VLOOKUP('Données projet'!$B$11,Paramètres!$A$1:$I$89,3,0)*VLOOKUP('Données projet'!$B$11,Paramètres!$A$1:$I$89,5,0)</f>
        <v>11.666446568097685</v>
      </c>
      <c r="BF14" s="13">
        <f t="shared" si="37"/>
        <v>4.0392339557111736</v>
      </c>
      <c r="BG14" s="20">
        <f t="shared" si="7"/>
        <v>27.354060245633761</v>
      </c>
      <c r="BH14" s="59">
        <f t="shared" si="8"/>
        <v>297.46517135674492</v>
      </c>
      <c r="BI14" s="59">
        <f ca="1">AVERAGE(OFFSET($BH$3,0,0,'Données projet'!$E$11+1,1))-AVERAGE(OFFSET($H$3,0,0,'Données projet'!$E$11+1,1))</f>
        <v>293.20194140252903</v>
      </c>
      <c r="BJ14" s="59">
        <f t="shared" si="38"/>
        <v>280.69048279989266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2.4666666666666668</v>
      </c>
      <c r="BY14" s="12">
        <f>IF('Données projet'!$A$114&gt;35,BY13+BX14-CG13,IF(A14&lt;'Données projet'!$A$114,$BV$205^A14,IF(A14='Données projet'!$A$114,'Données projet'!$B$114,BY13+BX14-CG13)))</f>
        <v>14.125850240977657</v>
      </c>
      <c r="BZ14" s="13">
        <f>BY14*VLOOKUP('Données projet'!$B$12,Paramètres!$A$1:$I$89,3,0)*VLOOKUP('Données projet'!$B$12,Paramètres!$A$1:$I$89,5,0)</f>
        <v>11.238526451721825</v>
      </c>
      <c r="CA14" s="13">
        <f t="shared" si="39"/>
        <v>3.9080387928425129</v>
      </c>
      <c r="CB14" s="20">
        <f t="shared" si="10"/>
        <v>26.380267800949554</v>
      </c>
      <c r="CC14" s="59">
        <f t="shared" si="11"/>
        <v>296.49137891206067</v>
      </c>
      <c r="CD14" s="59">
        <f ca="1">AVERAGE(OFFSET($CC$3,0,0,'Données projet'!$E$12+1,1))-AVERAGE(OFFSET($H$3,0,0,'Données projet'!$E$12+1,1))</f>
        <v>271.25628946149067</v>
      </c>
      <c r="CE14" s="59">
        <f t="shared" si="40"/>
        <v>292.57799203101769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12.4</v>
      </c>
      <c r="CT14" s="12">
        <f>IF('Données projet'!$A$140&gt;35,CT13+CS14-DB13,IF(A14&lt;'Données projet'!$A$140,$CQ$205^A14,IF(A14='Données projet'!$A$140,'Données projet'!$B$140,CT13+CS14-DB13)))</f>
        <v>48.4</v>
      </c>
      <c r="CU14" s="17">
        <f>CT14*VLOOKUP('Données projet'!$B$13,Paramètres!$A$1:$I$89,3,0)*VLOOKUP('Données projet'!$B$13,Paramètres!$A$1:$I$89,5,0)</f>
        <v>26.426400000000001</v>
      </c>
      <c r="CV14" s="13">
        <f t="shared" si="41"/>
        <v>8.3188797294519006</v>
      </c>
      <c r="CW14" s="20">
        <f t="shared" si="13"/>
        <v>60.514695528795386</v>
      </c>
      <c r="CX14" s="59">
        <f t="shared" si="14"/>
        <v>330.6258066399065</v>
      </c>
      <c r="CY14" s="59">
        <f ca="1">AVERAGE(OFFSET($CX$3,0,0,'Données projet'!$E$13+1,1))-AVERAGE(OFFSET($H$3,0,0,'Données projet'!$E$13+1,1))</f>
        <v>210.03861149060413</v>
      </c>
      <c r="CZ14" s="59">
        <f t="shared" si="42"/>
        <v>298.74602928001929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3.2373333333333334</v>
      </c>
      <c r="DO14" s="12">
        <f>IF('Données projet'!$A$166&gt;35,DO13+DN14-DW13,IF(A14&lt;'Données projet'!$A$166,$DL$205^A14,IF(A14='Données projet'!$A$166,'Données projet'!$B$166,DO13+DN14-DW13)))</f>
        <v>17.242663941795808</v>
      </c>
      <c r="DP14" s="17">
        <f>DO14*VLOOKUP('Données projet'!$B$14,Paramètres!$A$1:$I$89,3,0)*VLOOKUP('Données projet'!$B$14,Paramètres!$A$1:$I$89,5,0)</f>
        <v>10.311113037193895</v>
      </c>
      <c r="DQ14" s="13">
        <f t="shared" si="43"/>
        <v>3.6216697610179529</v>
      </c>
      <c r="DR14" s="20">
        <f t="shared" si="16"/>
        <v>24.266263373552302</v>
      </c>
      <c r="DS14" s="59">
        <f t="shared" si="17"/>
        <v>294.37737448466345</v>
      </c>
      <c r="DT14" s="59">
        <f ca="1">AVERAGE(OFFSET($DS$3,0,0,'Données projet'!$E$14+1,1))-AVERAGE(OFFSET($H$3,0,0,'Données projet'!$E$14+1,1))</f>
        <v>402.28353929315114</v>
      </c>
      <c r="DU14" s="59">
        <f t="shared" si="44"/>
        <v>376.94419168335463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7</v>
      </c>
      <c r="EJ14" s="12">
        <f>IF('Données projet'!$A$192&gt;35,EJ13+EI14-ER13,IF(A14&lt;'Données projet'!$A$192,$EG$205^A14,IF(A14='Données projet'!$A$192,'Données projet'!$B$192,EJ13+EI14-ER13)))</f>
        <v>15.148527498832387</v>
      </c>
      <c r="EK14" s="17">
        <f>EJ14*VLOOKUP('Données projet'!$B$15,Paramètres!$A$1:$I$89,3,0)*VLOOKUP('Données projet'!$B$15,Paramètres!$A$1:$I$89,5,0)</f>
        <v>7.0895108694535569</v>
      </c>
      <c r="EL14" s="13">
        <f t="shared" si="45"/>
        <v>2.6010973308180407</v>
      </c>
      <c r="EM14" s="20">
        <f t="shared" si="19"/>
        <v>16.877809282139697</v>
      </c>
      <c r="EN14" s="59">
        <f t="shared" si="20"/>
        <v>286.98892039325085</v>
      </c>
      <c r="EO14" s="59">
        <f ca="1">AVERAGE(OFFSET($EN$3,0,0,'Données projet'!$E$15+1,1))-AVERAGE(OFFSET($H$3,0,0,'Données projet'!$E$15+1,1))</f>
        <v>273.3012268683454</v>
      </c>
      <c r="EP14" s="59">
        <f t="shared" si="46"/>
        <v>254.08208375594052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3.65</v>
      </c>
      <c r="N15" s="13">
        <f>IF('Données projet'!$A$36&gt;35,N14+M15-V14,IF(A15&lt;'Données projet'!$A$36,$K$205^A15,IF(A15='Données projet'!$A$36,'Données projet'!$B$36,N14+M15-V14)))</f>
        <v>13.121809125710287</v>
      </c>
      <c r="O15" s="13">
        <f>N15*VLOOKUP('Données projet'!$B$9,Paramètres!$A$1:$I$89,3,0)*VLOOKUP('Données projet'!$B$9,Paramètres!$A$1:$I$89,5,0)</f>
        <v>11.872612896942668</v>
      </c>
      <c r="P15" s="13">
        <f t="shared" si="33"/>
        <v>4.1022411108131784</v>
      </c>
      <c r="Q15" s="20">
        <f t="shared" si="2"/>
        <v>27.822870730174767</v>
      </c>
      <c r="R15" s="59">
        <f t="shared" si="0"/>
        <v>299.15620406350808</v>
      </c>
      <c r="S15" s="59">
        <f ca="1">AVERAGE(OFFSET($R$3,0,0,'Données projet'!$E$9+1,1))-AVERAGE(OFFSET($H$3,0,0,'Données projet'!$E$9+1,1))</f>
        <v>453.52760163325451</v>
      </c>
      <c r="T15" s="59">
        <f t="shared" si="34"/>
        <v>344.23959526427001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1.6</v>
      </c>
      <c r="AI15" s="13">
        <f>IF('Données projet'!$A$62&gt;35,AI14+AH15-AQ14,IF(A15&lt;'Données projet'!$A$62,$AF$205^A15,IF(A15='Données projet'!$A$62,'Données projet'!$B$62,AI14+AH15-AQ14)))</f>
        <v>7.9999999999999947</v>
      </c>
      <c r="AJ15" s="13">
        <f>AI15*VLOOKUP('Données projet'!$B$10,Paramètres!$A$1:$I$89,3,0)*VLOOKUP('Données projet'!$B$10,Paramètres!$A$1:$I$89,5,0)</f>
        <v>6.8639999999999963</v>
      </c>
      <c r="AK15" s="13">
        <f t="shared" si="35"/>
        <v>2.5278525909113112</v>
      </c>
      <c r="AL15" s="20">
        <f t="shared" si="4"/>
        <v>16.357476595837191</v>
      </c>
      <c r="AM15" s="59">
        <f t="shared" si="5"/>
        <v>287.69080992917048</v>
      </c>
      <c r="AN15" s="59">
        <f ca="1">AVERAGE(OFFSET($AM$3,0,0,'Données projet'!$E$10+1,1))-AVERAGE(OFFSET($H$3,0,0,'Données projet'!$E$10+1,1))</f>
        <v>397.45670821030774</v>
      </c>
      <c r="AO15" s="59">
        <f t="shared" si="36"/>
        <v>256.77417912163997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2.6666666666666665</v>
      </c>
      <c r="BD15" s="12">
        <f>IF('Données projet'!$A$88&gt;35,BD14+BC15-BL14,IF(A15&lt;'Données projet'!$A$88,$BA$205^A15,IF(A15='Données projet'!$A$88,'Données projet'!$B$88,BD14+BC15-BL14)))</f>
        <v>19.127049995800721</v>
      </c>
      <c r="BE15" s="13">
        <f>BD15*VLOOKUP('Données projet'!$B$11,Paramètres!$A$1:$I$89,3,0)*VLOOKUP('Données projet'!$B$11,Paramètres!$A$1:$I$89,5,0)</f>
        <v>14.919098996724562</v>
      </c>
      <c r="BF15" s="13">
        <f t="shared" si="37"/>
        <v>5.019622097301081</v>
      </c>
      <c r="BG15" s="20">
        <f t="shared" si="7"/>
        <v>34.726605905427995</v>
      </c>
      <c r="BH15" s="59">
        <f t="shared" si="8"/>
        <v>306.05993923876133</v>
      </c>
      <c r="BI15" s="59">
        <f ca="1">AVERAGE(OFFSET($BH$3,0,0,'Données projet'!$E$11+1,1))-AVERAGE(OFFSET($H$3,0,0,'Données projet'!$E$11+1,1))</f>
        <v>293.20194140252903</v>
      </c>
      <c r="BJ15" s="59">
        <f t="shared" si="38"/>
        <v>280.69048279989266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2.4666666666666668</v>
      </c>
      <c r="BY15" s="12">
        <f>IF('Données projet'!$A$114&gt;35,BY14+BX15-CG14,IF(A15&lt;'Données projet'!$A$114,$BV$205^A15,IF(A15='Données projet'!$A$114,'Données projet'!$B$114,BY14+BX15-CG14)))</f>
        <v>17.970550417308221</v>
      </c>
      <c r="BZ15" s="13">
        <f>BY15*VLOOKUP('Données projet'!$B$12,Paramètres!$A$1:$I$89,3,0)*VLOOKUP('Données projet'!$B$12,Paramètres!$A$1:$I$89,5,0)</f>
        <v>14.297369912010421</v>
      </c>
      <c r="CA15" s="13">
        <f t="shared" si="39"/>
        <v>4.8343312187127445</v>
      </c>
      <c r="CB15" s="20">
        <f t="shared" si="10"/>
        <v>33.321046136009507</v>
      </c>
      <c r="CC15" s="59">
        <f t="shared" si="11"/>
        <v>304.65437946934281</v>
      </c>
      <c r="CD15" s="59">
        <f ca="1">AVERAGE(OFFSET($CC$3,0,0,'Données projet'!$E$12+1,1))-AVERAGE(OFFSET($H$3,0,0,'Données projet'!$E$12+1,1))</f>
        <v>271.25628946149067</v>
      </c>
      <c r="CE15" s="59">
        <f t="shared" si="40"/>
        <v>292.57799203101769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12.4</v>
      </c>
      <c r="CT15" s="12">
        <f>IF('Données projet'!$A$140&gt;35,CT14+CS15-DB14,IF(A15&lt;'Données projet'!$A$140,$CQ$205^A15,IF(A15='Données projet'!$A$140,'Données projet'!$B$140,CT14+CS15-DB14)))</f>
        <v>60.8</v>
      </c>
      <c r="CU15" s="17">
        <f>CT15*VLOOKUP('Données projet'!$B$13,Paramètres!$A$1:$I$89,3,0)*VLOOKUP('Données projet'!$B$13,Paramètres!$A$1:$I$89,5,0)</f>
        <v>33.196799999999996</v>
      </c>
      <c r="CV15" s="13">
        <f t="shared" si="41"/>
        <v>10.176365257768927</v>
      </c>
      <c r="CW15" s="20">
        <f t="shared" si="13"/>
        <v>75.541596157280864</v>
      </c>
      <c r="CX15" s="59">
        <f t="shared" si="14"/>
        <v>346.87492949061419</v>
      </c>
      <c r="CY15" s="59">
        <f ca="1">AVERAGE(OFFSET($CX$3,0,0,'Données projet'!$E$13+1,1))-AVERAGE(OFFSET($H$3,0,0,'Données projet'!$E$13+1,1))</f>
        <v>210.03861149060413</v>
      </c>
      <c r="CZ15" s="59">
        <f t="shared" si="42"/>
        <v>298.74602928001929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3.2373333333333334</v>
      </c>
      <c r="DO15" s="12">
        <f>IF('Données projet'!$A$166&gt;35,DO14+DN15-DW14,IF(A15&lt;'Données projet'!$A$166,$DL$205^A15,IF(A15='Données projet'!$A$166,'Données projet'!$B$166,DO14+DN15-DW14)))</f>
        <v>22.336902187598508</v>
      </c>
      <c r="DP15" s="17">
        <f>DO15*VLOOKUP('Données projet'!$B$14,Paramètres!$A$1:$I$89,3,0)*VLOOKUP('Données projet'!$B$14,Paramètres!$A$1:$I$89,5,0)</f>
        <v>13.357467508183909</v>
      </c>
      <c r="DQ15" s="13">
        <f t="shared" si="43"/>
        <v>4.5524156010654915</v>
      </c>
      <c r="DR15" s="20">
        <f t="shared" si="16"/>
        <v>31.193046415276033</v>
      </c>
      <c r="DS15" s="59">
        <f t="shared" si="17"/>
        <v>302.52637974860937</v>
      </c>
      <c r="DT15" s="59">
        <f ca="1">AVERAGE(OFFSET($DS$3,0,0,'Données projet'!$E$14+1,1))-AVERAGE(OFFSET($H$3,0,0,'Données projet'!$E$14+1,1))</f>
        <v>402.28353929315114</v>
      </c>
      <c r="DU15" s="59">
        <f t="shared" si="44"/>
        <v>376.94419168335463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7</v>
      </c>
      <c r="EJ15" s="12">
        <f>IF('Données projet'!$A$192&gt;35,EJ14+EI15-ER14,IF(A15&lt;'Données projet'!$A$192,$EG$205^A15,IF(A15='Données projet'!$A$192,'Données projet'!$B$192,EJ14+EI15-ER14)))</f>
        <v>19.394421119744504</v>
      </c>
      <c r="EK15" s="17">
        <f>EJ15*VLOOKUP('Données projet'!$B$15,Paramètres!$A$1:$I$89,3,0)*VLOOKUP('Données projet'!$B$15,Paramètres!$A$1:$I$89,5,0)</f>
        <v>9.0765890840404282</v>
      </c>
      <c r="EL15" s="13">
        <f t="shared" si="45"/>
        <v>3.2357319710801056</v>
      </c>
      <c r="EM15" s="20">
        <f t="shared" si="19"/>
        <v>21.443959171001595</v>
      </c>
      <c r="EN15" s="59">
        <f t="shared" si="20"/>
        <v>292.77729250433492</v>
      </c>
      <c r="EO15" s="59">
        <f ca="1">AVERAGE(OFFSET($EN$3,0,0,'Données projet'!$E$15+1,1))-AVERAGE(OFFSET($H$3,0,0,'Données projet'!$E$15+1,1))</f>
        <v>273.3012268683454</v>
      </c>
      <c r="EP15" s="59">
        <f t="shared" si="46"/>
        <v>254.08208375594052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3.65</v>
      </c>
      <c r="N16" s="13">
        <f>IF('Données projet'!$A$36&gt;35,N15+M16-V15,IF(A16&lt;'Données projet'!$A$36,$K$205^A16,IF(A16='Données projet'!$A$36,'Données projet'!$B$36,N15+M16-V15)))</f>
        <v>16.261472127148366</v>
      </c>
      <c r="O16" s="13">
        <f>N16*VLOOKUP('Données projet'!$B$9,Paramètres!$A$1:$I$89,3,0)*VLOOKUP('Données projet'!$B$9,Paramètres!$A$1:$I$89,5,0)</f>
        <v>14.713379980643843</v>
      </c>
      <c r="P16" s="13">
        <f t="shared" si="33"/>
        <v>4.9584140165447881</v>
      </c>
      <c r="Q16" s="20">
        <f t="shared" si="2"/>
        <v>34.261707878436859</v>
      </c>
      <c r="R16" s="59">
        <f t="shared" si="0"/>
        <v>306.81726343399242</v>
      </c>
      <c r="S16" s="59">
        <f ca="1">AVERAGE(OFFSET($R$3,0,0,'Données projet'!$E$9+1,1))-AVERAGE(OFFSET($H$3,0,0,'Données projet'!$E$9+1,1))</f>
        <v>453.52760163325451</v>
      </c>
      <c r="T16" s="59">
        <f t="shared" si="34"/>
        <v>344.23959526427001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1.6</v>
      </c>
      <c r="AI16" s="13">
        <f>IF('Données projet'!$A$62&gt;35,AI15+AH16-AQ15,IF(A16&lt;'Données projet'!$A$62,$AF$205^A16,IF(A16='Données projet'!$A$62,'Données projet'!$B$62,AI15+AH16-AQ15)))</f>
        <v>9.5136569200217629</v>
      </c>
      <c r="AJ16" s="13">
        <f>AI16*VLOOKUP('Données projet'!$B$10,Paramètres!$A$1:$I$89,3,0)*VLOOKUP('Données projet'!$B$10,Paramètres!$A$1:$I$89,5,0)</f>
        <v>8.1627176373786732</v>
      </c>
      <c r="AK16" s="13">
        <f t="shared" si="35"/>
        <v>2.946112121509751</v>
      </c>
      <c r="AL16" s="20">
        <f t="shared" si="4"/>
        <v>19.347878496730672</v>
      </c>
      <c r="AM16" s="59">
        <f t="shared" si="5"/>
        <v>291.90343405228623</v>
      </c>
      <c r="AN16" s="59">
        <f ca="1">AVERAGE(OFFSET($AM$3,0,0,'Données projet'!$E$10+1,1))-AVERAGE(OFFSET($H$3,0,0,'Données projet'!$E$10+1,1))</f>
        <v>397.45670821030774</v>
      </c>
      <c r="AO16" s="59">
        <f t="shared" si="36"/>
        <v>256.77417912163997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2.6666666666666665</v>
      </c>
      <c r="BD16" s="12">
        <f>IF('Données projet'!$A$88&gt;35,BD15+BC16-BL15,IF(A16&lt;'Données projet'!$A$88,$BA$205^A16,IF(A16='Données projet'!$A$88,'Données projet'!$B$88,BD15+BC16-BL15)))</f>
        <v>24.459748796430759</v>
      </c>
      <c r="BE16" s="13">
        <f>BD16*VLOOKUP('Données projet'!$B$11,Paramètres!$A$1:$I$89,3,0)*VLOOKUP('Données projet'!$B$11,Paramètres!$A$1:$I$89,5,0)</f>
        <v>19.078604061215994</v>
      </c>
      <c r="BF16" s="13">
        <f t="shared" si="37"/>
        <v>6.2379664748280286</v>
      </c>
      <c r="BG16" s="20">
        <f t="shared" si="7"/>
        <v>44.093027016943331</v>
      </c>
      <c r="BH16" s="59">
        <f t="shared" si="8"/>
        <v>316.64858257249887</v>
      </c>
      <c r="BI16" s="59">
        <f ca="1">AVERAGE(OFFSET($BH$3,0,0,'Données projet'!$E$11+1,1))-AVERAGE(OFFSET($H$3,0,0,'Données projet'!$E$11+1,1))</f>
        <v>293.20194140252903</v>
      </c>
      <c r="BJ16" s="59">
        <f t="shared" si="38"/>
        <v>280.69048279989266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2.4666666666666668</v>
      </c>
      <c r="BY16" s="12">
        <f>IF('Données projet'!$A$114&gt;35,BY15+BX16-CG15,IF(A16&lt;'Données projet'!$A$114,$BV$205^A16,IF(A16='Données projet'!$A$114,'Données projet'!$B$114,BY15+BX16-CG15)))</f>
        <v>22.86168101684942</v>
      </c>
      <c r="BZ16" s="13">
        <f>BY16*VLOOKUP('Données projet'!$B$12,Paramètres!$A$1:$I$89,3,0)*VLOOKUP('Données projet'!$B$12,Paramètres!$A$1:$I$89,5,0)</f>
        <v>18.188753417005401</v>
      </c>
      <c r="CA16" s="13">
        <f t="shared" si="39"/>
        <v>5.9801756254374139</v>
      </c>
      <c r="CB16" s="20">
        <f t="shared" si="10"/>
        <v>42.094218082254564</v>
      </c>
      <c r="CC16" s="59">
        <f t="shared" si="11"/>
        <v>314.64977363781009</v>
      </c>
      <c r="CD16" s="59">
        <f ca="1">AVERAGE(OFFSET($CC$3,0,0,'Données projet'!$E$12+1,1))-AVERAGE(OFFSET($H$3,0,0,'Données projet'!$E$12+1,1))</f>
        <v>271.25628946149067</v>
      </c>
      <c r="CE16" s="59">
        <f t="shared" si="40"/>
        <v>292.57799203101769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12.4</v>
      </c>
      <c r="CT16" s="12">
        <f>IF('Données projet'!$A$140&gt;35,CT15+CS16-DB15,IF(A16&lt;'Données projet'!$A$140,$CQ$205^A16,IF(A16='Données projet'!$A$140,'Données projet'!$B$140,CT15+CS16-DB15)))</f>
        <v>73.2</v>
      </c>
      <c r="CU16" s="17">
        <f>CT16*VLOOKUP('Données projet'!$B$13,Paramètres!$A$1:$I$89,3,0)*VLOOKUP('Données projet'!$B$13,Paramètres!$A$1:$I$89,5,0)</f>
        <v>39.967199999999998</v>
      </c>
      <c r="CV16" s="13">
        <f t="shared" si="41"/>
        <v>11.989952848060867</v>
      </c>
      <c r="CW16" s="20">
        <f t="shared" si="13"/>
        <v>90.492041210372676</v>
      </c>
      <c r="CX16" s="59">
        <f t="shared" si="14"/>
        <v>363.04759676592823</v>
      </c>
      <c r="CY16" s="59">
        <f ca="1">AVERAGE(OFFSET($CX$3,0,0,'Données projet'!$E$13+1,1))-AVERAGE(OFFSET($H$3,0,0,'Données projet'!$E$13+1,1))</f>
        <v>210.03861149060413</v>
      </c>
      <c r="CZ16" s="59">
        <f t="shared" si="42"/>
        <v>298.74602928001929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3.2373333333333334</v>
      </c>
      <c r="DO16" s="12">
        <f>IF('Données projet'!$A$166&gt;35,DO15+DN16-DW15,IF(A16&lt;'Données projet'!$A$166,$DL$205^A16,IF(A16='Données projet'!$A$166,'Données projet'!$B$166,DO15+DN16-DW15)))</f>
        <v>28.936201565056958</v>
      </c>
      <c r="DP16" s="17">
        <f>DO16*VLOOKUP('Données projet'!$B$14,Paramètres!$A$1:$I$89,3,0)*VLOOKUP('Données projet'!$B$14,Paramètres!$A$1:$I$89,5,0)</f>
        <v>17.303848535904063</v>
      </c>
      <c r="DQ16" s="13">
        <f t="shared" si="43"/>
        <v>5.7223571370017456</v>
      </c>
      <c r="DR16" s="20">
        <f t="shared" si="16"/>
        <v>40.10397488031095</v>
      </c>
      <c r="DS16" s="59">
        <f t="shared" si="17"/>
        <v>312.65953043586649</v>
      </c>
      <c r="DT16" s="59">
        <f ca="1">AVERAGE(OFFSET($DS$3,0,0,'Données projet'!$E$14+1,1))-AVERAGE(OFFSET($H$3,0,0,'Données projet'!$E$14+1,1))</f>
        <v>402.28353929315114</v>
      </c>
      <c r="DU16" s="59">
        <f t="shared" si="44"/>
        <v>376.94419168335463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7</v>
      </c>
      <c r="EJ16" s="12">
        <f>IF('Données projet'!$A$192&gt;35,EJ15+EI16-ER15,IF(A16&lt;'Données projet'!$A$192,$EG$205^A16,IF(A16='Données projet'!$A$192,'Données projet'!$B$192,EJ15+EI16-ER15)))</f>
        <v>24.830371836403501</v>
      </c>
      <c r="EK16" s="17">
        <f>EJ16*VLOOKUP('Données projet'!$B$15,Paramètres!$A$1:$I$89,3,0)*VLOOKUP('Données projet'!$B$15,Paramètres!$A$1:$I$89,5,0)</f>
        <v>11.620614019436839</v>
      </c>
      <c r="EL16" s="13">
        <f t="shared" si="45"/>
        <v>4.0252093855239011</v>
      </c>
      <c r="EM16" s="20">
        <f t="shared" si="19"/>
        <v>27.249809096973291</v>
      </c>
      <c r="EN16" s="59">
        <f t="shared" si="20"/>
        <v>299.80536465252885</v>
      </c>
      <c r="EO16" s="59">
        <f ca="1">AVERAGE(OFFSET($EN$3,0,0,'Données projet'!$E$15+1,1))-AVERAGE(OFFSET($H$3,0,0,'Données projet'!$E$15+1,1))</f>
        <v>273.3012268683454</v>
      </c>
      <c r="EP16" s="59">
        <f t="shared" si="46"/>
        <v>254.08208375594052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3.65</v>
      </c>
      <c r="N17" s="13">
        <f>IF('Données projet'!$A$36&gt;35,N16+M17-V16,IF(A17&lt;'Données projet'!$A$36,$K$205^A17,IF(A17='Données projet'!$A$36,'Données projet'!$B$36,N16+M17-V16)))</f>
        <v>20.152364144963837</v>
      </c>
      <c r="O17" s="13">
        <f>N17*VLOOKUP('Données projet'!$B$9,Paramètres!$A$1:$I$89,3,0)*VLOOKUP('Données projet'!$B$9,Paramètres!$A$1:$I$89,5,0)</f>
        <v>18.233859078363277</v>
      </c>
      <c r="P17" s="13">
        <f t="shared" si="33"/>
        <v>5.9932775513027368</v>
      </c>
      <c r="Q17" s="20">
        <f t="shared" si="2"/>
        <v>42.195596296668306</v>
      </c>
      <c r="R17" s="59">
        <f t="shared" si="0"/>
        <v>315.9733740744461</v>
      </c>
      <c r="S17" s="59">
        <f ca="1">AVERAGE(OFFSET($R$3,0,0,'Données projet'!$E$9+1,1))-AVERAGE(OFFSET($H$3,0,0,'Données projet'!$E$9+1,1))</f>
        <v>453.52760163325451</v>
      </c>
      <c r="T17" s="59">
        <f t="shared" si="34"/>
        <v>344.23959526427001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1.6</v>
      </c>
      <c r="AI17" s="13">
        <f>IF('Données projet'!$A$62&gt;35,AI16+AH17-AQ16,IF(A17&lt;'Données projet'!$A$62,$AF$205^A17,IF(A17='Données projet'!$A$62,'Données projet'!$B$62,AI16+AH17-AQ16)))</f>
        <v>11.313708498984752</v>
      </c>
      <c r="AJ17" s="13">
        <f>AI17*VLOOKUP('Données projet'!$B$10,Paramètres!$A$1:$I$89,3,0)*VLOOKUP('Données projet'!$B$10,Paramètres!$A$1:$I$89,5,0)</f>
        <v>9.7071618921289176</v>
      </c>
      <c r="AK17" s="13">
        <f t="shared" si="35"/>
        <v>3.433577046269785</v>
      </c>
      <c r="AL17" s="20">
        <f t="shared" si="4"/>
        <v>22.886786984377736</v>
      </c>
      <c r="AM17" s="59">
        <f t="shared" si="5"/>
        <v>296.66456476215552</v>
      </c>
      <c r="AN17" s="59">
        <f ca="1">AVERAGE(OFFSET($AM$3,0,0,'Données projet'!$E$10+1,1))-AVERAGE(OFFSET($H$3,0,0,'Données projet'!$E$10+1,1))</f>
        <v>397.45670821030774</v>
      </c>
      <c r="AO17" s="59">
        <f t="shared" si="36"/>
        <v>256.77417912163997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2.6666666666666665</v>
      </c>
      <c r="BD17" s="12">
        <f>IF('Données projet'!$A$88&gt;35,BD16+BC17-BL16,IF(A17&lt;'Données projet'!$A$88,$BA$205^A17,IF(A17='Données projet'!$A$88,'Données projet'!$B$88,BD16+BC17-BL16)))</f>
        <v>31.279225563578599</v>
      </c>
      <c r="BE17" s="13">
        <f>BD17*VLOOKUP('Données projet'!$B$11,Paramètres!$A$1:$I$89,3,0)*VLOOKUP('Données projet'!$B$11,Paramètres!$A$1:$I$89,5,0)</f>
        <v>24.397795939591308</v>
      </c>
      <c r="BF17" s="13">
        <f t="shared" si="37"/>
        <v>7.75202295846145</v>
      </c>
      <c r="BG17" s="20">
        <f t="shared" si="7"/>
        <v>55.994267914108548</v>
      </c>
      <c r="BH17" s="59">
        <f t="shared" si="8"/>
        <v>329.77204569188632</v>
      </c>
      <c r="BI17" s="59">
        <f ca="1">AVERAGE(OFFSET($BH$3,0,0,'Données projet'!$E$11+1,1))-AVERAGE(OFFSET($H$3,0,0,'Données projet'!$E$11+1,1))</f>
        <v>293.20194140252903</v>
      </c>
      <c r="BJ17" s="59">
        <f t="shared" si="38"/>
        <v>280.69048279989266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2.4666666666666668</v>
      </c>
      <c r="BY17" s="12">
        <f>IF('Données projet'!$A$114&gt;35,BY16+BX17-CG16,IF(A17&lt;'Données projet'!$A$114,$BV$205^A17,IF(A17='Données projet'!$A$114,'Données projet'!$B$114,BY16+BX17-CG16)))</f>
        <v>29.084054009429774</v>
      </c>
      <c r="BZ17" s="13">
        <f>BY17*VLOOKUP('Données projet'!$B$12,Paramètres!$A$1:$I$89,3,0)*VLOOKUP('Données projet'!$B$12,Paramètres!$A$1:$I$89,5,0)</f>
        <v>23.13927336990233</v>
      </c>
      <c r="CA17" s="13">
        <f t="shared" si="39"/>
        <v>7.3976107331343286</v>
      </c>
      <c r="CB17" s="20">
        <f t="shared" si="10"/>
        <v>53.185073146122171</v>
      </c>
      <c r="CC17" s="59">
        <f t="shared" si="11"/>
        <v>326.96285092389996</v>
      </c>
      <c r="CD17" s="59">
        <f ca="1">AVERAGE(OFFSET($CC$3,0,0,'Données projet'!$E$12+1,1))-AVERAGE(OFFSET($H$3,0,0,'Données projet'!$E$12+1,1))</f>
        <v>271.25628946149067</v>
      </c>
      <c r="CE17" s="59">
        <f t="shared" si="40"/>
        <v>292.57799203101769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12.4</v>
      </c>
      <c r="CT17" s="12">
        <f>IF('Données projet'!$A$140&gt;35,CT16+CS17-DB16,IF(A17&lt;'Données projet'!$A$140,$CQ$205^A17,IF(A17='Données projet'!$A$140,'Données projet'!$B$140,CT16+CS17-DB16)))</f>
        <v>85.600000000000009</v>
      </c>
      <c r="CU17" s="17">
        <f>CT17*VLOOKUP('Données projet'!$B$13,Paramètres!$A$1:$I$89,3,0)*VLOOKUP('Données projet'!$B$13,Paramètres!$A$1:$I$89,5,0)</f>
        <v>46.737600000000008</v>
      </c>
      <c r="CV17" s="13">
        <f t="shared" si="41"/>
        <v>13.767950707063713</v>
      </c>
      <c r="CW17" s="20">
        <f t="shared" si="13"/>
        <v>105.38050081480264</v>
      </c>
      <c r="CX17" s="59">
        <f t="shared" si="14"/>
        <v>379.15827859258042</v>
      </c>
      <c r="CY17" s="59">
        <f ca="1">AVERAGE(OFFSET($CX$3,0,0,'Données projet'!$E$13+1,1))-AVERAGE(OFFSET($H$3,0,0,'Données projet'!$E$13+1,1))</f>
        <v>210.03861149060413</v>
      </c>
      <c r="CZ17" s="59">
        <f t="shared" si="42"/>
        <v>298.74602928001929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3.2373333333333334</v>
      </c>
      <c r="DO17" s="12">
        <f>IF('Données projet'!$A$166&gt;35,DO16+DN17-DW16,IF(A17&lt;'Données projet'!$A$166,$DL$205^A17,IF(A17='Données projet'!$A$166,'Données projet'!$B$166,DO16+DN17-DW16)))</f>
        <v>37.485223061883545</v>
      </c>
      <c r="DP17" s="17">
        <f>DO17*VLOOKUP('Données projet'!$B$14,Paramètres!$A$1:$I$89,3,0)*VLOOKUP('Données projet'!$B$14,Paramètres!$A$1:$I$89,5,0)</f>
        <v>22.416163391006364</v>
      </c>
      <c r="DQ17" s="13">
        <f t="shared" si="43"/>
        <v>7.1929661245626981</v>
      </c>
      <c r="DR17" s="20">
        <f t="shared" si="16"/>
        <v>51.569233906282783</v>
      </c>
      <c r="DS17" s="59">
        <f t="shared" si="17"/>
        <v>325.34701168406053</v>
      </c>
      <c r="DT17" s="59">
        <f ca="1">AVERAGE(OFFSET($DS$3,0,0,'Données projet'!$E$14+1,1))-AVERAGE(OFFSET($H$3,0,0,'Données projet'!$E$14+1,1))</f>
        <v>402.28353929315114</v>
      </c>
      <c r="DU17" s="59">
        <f t="shared" si="44"/>
        <v>376.94419168335463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7</v>
      </c>
      <c r="EJ17" s="12">
        <f>IF('Données projet'!$A$192&gt;35,EJ16+EI17-ER16,IF(A17&lt;'Données projet'!$A$192,$EG$205^A17,IF(A17='Données projet'!$A$192,'Données projet'!$B$192,EJ16+EI17-ER16)))</f>
        <v>31.789933905600495</v>
      </c>
      <c r="EK17" s="17">
        <f>EJ17*VLOOKUP('Données projet'!$B$15,Paramètres!$A$1:$I$89,3,0)*VLOOKUP('Données projet'!$B$15,Paramètres!$A$1:$I$89,5,0)</f>
        <v>14.877689067821033</v>
      </c>
      <c r="EL17" s="13">
        <f t="shared" si="45"/>
        <v>5.0073092401102919</v>
      </c>
      <c r="EM17" s="20">
        <f t="shared" si="19"/>
        <v>34.633038719647061</v>
      </c>
      <c r="EN17" s="59">
        <f t="shared" si="20"/>
        <v>308.41081649742483</v>
      </c>
      <c r="EO17" s="59">
        <f ca="1">AVERAGE(OFFSET($EN$3,0,0,'Données projet'!$E$15+1,1))-AVERAGE(OFFSET($H$3,0,0,'Données projet'!$E$15+1,1))</f>
        <v>273.3012268683454</v>
      </c>
      <c r="EP17" s="59">
        <f t="shared" si="46"/>
        <v>254.08208375594052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3.65</v>
      </c>
      <c r="N18" s="13">
        <f>IF('Données projet'!$A$36&gt;35,N17+M18-V17,IF(A18&lt;'Données projet'!$A$36,$K$205^A18,IF(A18='Données projet'!$A$36,'Données projet'!$B$36,N17+M18-V17)))</f>
        <v>24.974232188561476</v>
      </c>
      <c r="O18" s="13">
        <f>N18*VLOOKUP('Données projet'!$B$9,Paramètres!$A$1:$I$89,3,0)*VLOOKUP('Données projet'!$B$9,Paramètres!$A$1:$I$89,5,0)</f>
        <v>22.596685284210423</v>
      </c>
      <c r="P18" s="13">
        <f t="shared" si="33"/>
        <v>7.2441259820371586</v>
      </c>
      <c r="Q18" s="20">
        <f t="shared" si="2"/>
        <v>51.972746288714539</v>
      </c>
      <c r="R18" s="59">
        <f t="shared" si="0"/>
        <v>326.97274628871452</v>
      </c>
      <c r="S18" s="59">
        <f ca="1">AVERAGE(OFFSET($R$3,0,0,'Données projet'!$E$9+1,1))-AVERAGE(OFFSET($H$3,0,0,'Données projet'!$E$9+1,1))</f>
        <v>453.52760163325451</v>
      </c>
      <c r="T18" s="59">
        <f t="shared" si="34"/>
        <v>344.23959526427001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1.6</v>
      </c>
      <c r="AI18" s="13">
        <f>IF('Données projet'!$A$62&gt;35,AI17+AH18-AQ17,IF(A18&lt;'Données projet'!$A$62,$AF$205^A18,IF(A18='Données projet'!$A$62,'Données projet'!$B$62,AI17+AH18-AQ17)))</f>
        <v>13.454342644059421</v>
      </c>
      <c r="AJ18" s="13">
        <f>AI18*VLOOKUP('Données projet'!$B$10,Paramètres!$A$1:$I$89,3,0)*VLOOKUP('Données projet'!$B$10,Paramètres!$A$1:$I$89,5,0)</f>
        <v>11.543825988602984</v>
      </c>
      <c r="AK18" s="13">
        <f t="shared" si="35"/>
        <v>4.0016981182064377</v>
      </c>
      <c r="AL18" s="20">
        <f t="shared" si="4"/>
        <v>27.075121152693075</v>
      </c>
      <c r="AM18" s="59">
        <f t="shared" si="5"/>
        <v>302.0751211526931</v>
      </c>
      <c r="AN18" s="59">
        <f ca="1">AVERAGE(OFFSET($AM$3,0,0,'Données projet'!$E$10+1,1))-AVERAGE(OFFSET($H$3,0,0,'Données projet'!$E$10+1,1))</f>
        <v>397.45670821030774</v>
      </c>
      <c r="AO18" s="59">
        <f t="shared" si="36"/>
        <v>256.77417912163997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40</v>
      </c>
      <c r="BB18" s="12">
        <f>VLOOKUP(A18,'Données projet'!$A$87:$I$107,9,0)</f>
        <v>2.6666666666666665</v>
      </c>
      <c r="BC18" s="12">
        <f t="array" ref="BC18">INDEX(BB:BB,MIN(IF(ISNUMBER(BB18:BB214),ROW(BB18:BB214),"")))</f>
        <v>2.6666666666666665</v>
      </c>
      <c r="BD18" s="12">
        <f>IF('Données projet'!$A$88&gt;35,BD17+BC18-BL17,IF(A18&lt;'Données projet'!$A$88,$BA$205^A18,IF(A18='Données projet'!$A$88,'Données projet'!$B$88,BD17+BC18-BL17)))</f>
        <v>40</v>
      </c>
      <c r="BE18" s="13">
        <f>BD18*VLOOKUP('Données projet'!$B$11,Paramètres!$A$1:$I$89,3,0)*VLOOKUP('Données projet'!$B$11,Paramètres!$A$1:$I$89,5,0)</f>
        <v>31.200000000000003</v>
      </c>
      <c r="BF18" s="13">
        <f t="shared" si="37"/>
        <v>9.6335657126419925</v>
      </c>
      <c r="BG18" s="20">
        <f t="shared" si="7"/>
        <v>71.118460282851473</v>
      </c>
      <c r="BH18" s="59">
        <f t="shared" si="8"/>
        <v>346.11846028285146</v>
      </c>
      <c r="BI18" s="59">
        <f ca="1">AVERAGE(OFFSET($BH$3,0,0,'Données projet'!$E$11+1,1))-AVERAGE(OFFSET($H$3,0,0,'Données projet'!$E$11+1,1))</f>
        <v>293.20194140252903</v>
      </c>
      <c r="BJ18" s="59">
        <f t="shared" si="38"/>
        <v>280.69048279989266</v>
      </c>
      <c r="BK18" s="15">
        <f>IF(ISNA(VLOOKUP(A18,'Données projet'!$A$87:$I$107,3,0)),0,VLOOKUP(A18,'Données projet'!$A$87:$I$107,3,0))</f>
        <v>1</v>
      </c>
      <c r="BL18" s="15">
        <f>IF(ISNA(VLOOKUP(A18,'Données projet'!$A$87:$I$107,4,0)),0,VLOOKUP(A18,'Données projet'!$A$87:$I$107,4,0))</f>
        <v>3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37</v>
      </c>
      <c r="BW18" s="12">
        <f>VLOOKUP(A18,'Données projet'!$A$113:$I$133,9,0)</f>
        <v>2.4666666666666668</v>
      </c>
      <c r="BX18" s="12">
        <f t="array" ref="BX18">INDEX(BW:BW,MIN(IF(ISNUMBER(BW18:BW214),ROW(BW18:BW214),"")))</f>
        <v>2.4666666666666668</v>
      </c>
      <c r="BY18" s="12">
        <f>IF('Données projet'!$A$114&gt;35,BY17+BX18-CG17,IF(A18&lt;'Données projet'!$A$114,$BV$205^A18,IF(A18='Données projet'!$A$114,'Données projet'!$B$114,BY17+BX18-CG17)))</f>
        <v>37</v>
      </c>
      <c r="BZ18" s="13">
        <f>BY18*VLOOKUP('Données projet'!$B$12,Paramètres!$A$1:$I$89,3,0)*VLOOKUP('Données projet'!$B$12,Paramètres!$A$1:$I$89,5,0)</f>
        <v>29.437200000000004</v>
      </c>
      <c r="CA18" s="13">
        <f t="shared" si="39"/>
        <v>9.1510096001539196</v>
      </c>
      <c r="CB18" s="20">
        <f t="shared" si="10"/>
        <v>67.207798386934755</v>
      </c>
      <c r="CC18" s="59">
        <f t="shared" si="11"/>
        <v>342.20779838693477</v>
      </c>
      <c r="CD18" s="59">
        <f ca="1">AVERAGE(OFFSET($CC$3,0,0,'Données projet'!$E$12+1,1))-AVERAGE(OFFSET($H$3,0,0,'Données projet'!$E$12+1,1))</f>
        <v>271.25628946149067</v>
      </c>
      <c r="CE18" s="59">
        <f t="shared" si="40"/>
        <v>292.57799203101769</v>
      </c>
      <c r="CF18" s="15">
        <f>IF(ISNA(VLOOKUP(A18,'Données projet'!$A$113:$I$133,3,0)),0,VLOOKUP(A18,'Données projet'!$A$113:$I$133,3,0))</f>
        <v>1</v>
      </c>
      <c r="CG18" s="15">
        <f>IF(ISNA(VLOOKUP(A18,'Données projet'!$A$113:$I$133,4,0)),0,VLOOKUP(A18,'Données projet'!$A$113:$I$133,4,0))</f>
        <v>15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98</v>
      </c>
      <c r="CR18" s="12">
        <f>VLOOKUP(A18,'Données projet'!$A$139:$I$159,9,0)</f>
        <v>12.4</v>
      </c>
      <c r="CS18" s="12">
        <f t="array" ref="CS18">INDEX(CR:CR,MIN(IF(ISNUMBER(CR18:CR214),ROW(CR18:CR214),"")))</f>
        <v>12.4</v>
      </c>
      <c r="CT18" s="12">
        <f>IF('Données projet'!$A$140&gt;35,CT17+CS18-DB17,IF(A18&lt;'Données projet'!$A$140,$CQ$205^A18,IF(A18='Données projet'!$A$140,'Données projet'!$B$140,CT17+CS18-DB17)))</f>
        <v>98.000000000000014</v>
      </c>
      <c r="CU18" s="17">
        <f>CT18*VLOOKUP('Données projet'!$B$13,Paramètres!$A$1:$I$89,3,0)*VLOOKUP('Données projet'!$B$13,Paramètres!$A$1:$I$89,5,0)</f>
        <v>53.50800000000001</v>
      </c>
      <c r="CV18" s="13">
        <f t="shared" si="41"/>
        <v>15.516109807666385</v>
      </c>
      <c r="CW18" s="20">
        <f t="shared" si="13"/>
        <v>120.21699124835231</v>
      </c>
      <c r="CX18" s="59">
        <f t="shared" si="14"/>
        <v>395.21699124835231</v>
      </c>
      <c r="CY18" s="59">
        <f ca="1">AVERAGE(OFFSET($CX$3,0,0,'Données projet'!$E$13+1,1))-AVERAGE(OFFSET($H$3,0,0,'Données projet'!$E$13+1,1))</f>
        <v>210.03861149060413</v>
      </c>
      <c r="CZ18" s="59">
        <f t="shared" si="42"/>
        <v>298.74602928001929</v>
      </c>
      <c r="DA18" s="15">
        <f>IF(ISNA(VLOOKUP(A18,'Données projet'!$A$139:$I$159,3,0)),0,VLOOKUP(A18,'Données projet'!$A$139:$I$159,3,0))</f>
        <v>2</v>
      </c>
      <c r="DB18" s="15">
        <f>IF(ISNA(VLOOKUP(A18,'Données projet'!$A$139:$I$159,4,0)),0,VLOOKUP(A18,'Données projet'!$A$139:$I$159,4,0))</f>
        <v>39</v>
      </c>
      <c r="DC18" s="16">
        <f>IF(ISNA(VLOOKUP(A18,'Données projet'!$A$139:$I$159,5,0)),0%,VLOOKUP(A18,'Données projet'!$A$139:$I$159,5,0)*VLOOKUP('Données projet'!$B$13,Paramètres!$A$1:$I$89,7,0))</f>
        <v>0.12</v>
      </c>
      <c r="DD18" s="16">
        <f>IF(ISNA(VLOOKUP(A18,'Données projet'!$A$139:$I$159,6,0)),0%,VLOOKUP(A18,'Données projet'!$A$139:$I$159,6,0)*VLOOKUP('Données projet'!$B$13,Paramètres!$A$1:$I$89,7,0))</f>
        <v>0.27</v>
      </c>
      <c r="DE18" s="16">
        <f>IF(ISNA(VLOOKUP(A18,'Données projet'!$A$139:$I$159,7,0)),0%,VLOOKUP(A18,'Données projet'!$A$139:$I$159,7,0))</f>
        <v>0.35</v>
      </c>
      <c r="DF18" s="21">
        <f>EXP(-LN(2)/35)*DF17+(1-EXP(-LN(2)/35))/(LN(2)/35)*DB18*DC18*VLOOKUP('Données projet'!$B$13,Paramètres!$A$1:$I$89,3,0)*0.475*44/12</f>
        <v>3.3897436216955477</v>
      </c>
      <c r="DG18" s="21">
        <f>EXP(-LN(2)/25)*DG17+(1-EXP(-LN(2)/25))/(LN(2)/25)*Calculateur!DB18*Calculateur!DD18*VLOOKUP('Données projet'!$B$13,Paramètres!$A$1:$I$89,3,0)*0.475*44/12</f>
        <v>7.5968930462925472</v>
      </c>
      <c r="DH18" s="21">
        <f>EXP(-LN(2)/2)*DH17+(1-EXP(-LN(2)/2))/(LN(2)/2)*DB18*DE18*VLOOKUP('Données projet'!$B$13,Paramètres!$A$1:$I$89,3,0)*0.475*44/12</f>
        <v>8.438414090234998</v>
      </c>
      <c r="DI18" s="22">
        <f t="shared" si="15"/>
        <v>19.425050758223094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>
        <f>VLOOKUP(A18,'Données projet'!$A$165:$I$185,2,0)</f>
        <v>48.56</v>
      </c>
      <c r="DM18" s="12">
        <f>VLOOKUP(A18,'Données projet'!$A$165:$I$185,9,0)</f>
        <v>3.2373333333333334</v>
      </c>
      <c r="DN18" s="12">
        <f t="array" ref="DN18">INDEX(DM:DM,MIN(IF(ISNUMBER(DM18:DM214),ROW(DM18:DM214),"")))</f>
        <v>3.2373333333333334</v>
      </c>
      <c r="DO18" s="12">
        <f>IF('Données projet'!$A$166&gt;35,DO17+DN18-DW17,IF(A18&lt;'Données projet'!$A$166,$DL$205^A18,IF(A18='Données projet'!$A$166,'Données projet'!$B$166,DO17+DN18-DW17)))</f>
        <v>48.56</v>
      </c>
      <c r="DP18" s="17">
        <f>DO18*VLOOKUP('Données projet'!$B$14,Paramètres!$A$1:$I$89,3,0)*VLOOKUP('Données projet'!$B$14,Paramètres!$A$1:$I$89,5,0)</f>
        <v>29.038880000000002</v>
      </c>
      <c r="DQ18" s="13">
        <f t="shared" si="43"/>
        <v>9.0415121654247592</v>
      </c>
      <c r="DR18" s="20">
        <f t="shared" si="16"/>
        <v>66.323349688114789</v>
      </c>
      <c r="DS18" s="59">
        <f t="shared" si="17"/>
        <v>341.32334968811477</v>
      </c>
      <c r="DT18" s="59">
        <f ca="1">AVERAGE(OFFSET($DS$3,0,0,'Données projet'!$E$14+1,1))-AVERAGE(OFFSET($H$3,0,0,'Données projet'!$E$14+1,1))</f>
        <v>402.28353929315114</v>
      </c>
      <c r="DU18" s="59">
        <f t="shared" si="44"/>
        <v>376.94419168335463</v>
      </c>
      <c r="DV18" s="15">
        <f>IF(ISNA(VLOOKUP(A18,'Données projet'!$A$165:$I$185,3,0)),0,VLOOKUP(A18,'Données projet'!$A$165:$I$185,3,0))</f>
        <v>1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0.25200000000000006</v>
      </c>
      <c r="DZ18" s="16">
        <f>IF(ISNA(VLOOKUP(A18,'Données projet'!$A$165:$I$185,7,0)),0%,VLOOKUP(A18,'Données projet'!$A$165:$I$185,7,0))</f>
        <v>0.44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7</v>
      </c>
      <c r="EJ18" s="12">
        <f>IF('Données projet'!$A$192&gt;35,EJ17+EI18-ER17,IF(A18&lt;'Données projet'!$A$192,$EG$205^A18,IF(A18='Données projet'!$A$192,'Données projet'!$B$192,EJ17+EI18-ER17)))</f>
        <v>40.70015158777526</v>
      </c>
      <c r="EK18" s="17">
        <f>EJ18*VLOOKUP('Données projet'!$B$15,Paramètres!$A$1:$I$89,3,0)*VLOOKUP('Données projet'!$B$15,Paramètres!$A$1:$I$89,5,0)</f>
        <v>19.04767094307882</v>
      </c>
      <c r="EL18" s="13">
        <f t="shared" si="45"/>
        <v>6.2290289584104483</v>
      </c>
      <c r="EM18" s="20">
        <f t="shared" si="19"/>
        <v>44.023585661760478</v>
      </c>
      <c r="EN18" s="59">
        <f t="shared" si="20"/>
        <v>319.02358566176048</v>
      </c>
      <c r="EO18" s="59">
        <f ca="1">AVERAGE(OFFSET($EN$3,0,0,'Données projet'!$E$15+1,1))-AVERAGE(OFFSET($H$3,0,0,'Données projet'!$E$15+1,1))</f>
        <v>273.3012268683454</v>
      </c>
      <c r="EP18" s="59">
        <f t="shared" si="46"/>
        <v>254.08208375594052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3.65</v>
      </c>
      <c r="N19" s="13">
        <f>IF('Données projet'!$A$36&gt;35,N18+M19-V18,IF(A19&lt;'Données projet'!$A$36,$K$205^A19,IF(A19='Données projet'!$A$36,'Données projet'!$B$36,N18+M19-V18)))</f>
        <v>30.949831440200953</v>
      </c>
      <c r="O19" s="13">
        <f>N19*VLOOKUP('Données projet'!$B$9,Paramètres!$A$1:$I$89,3,0)*VLOOKUP('Données projet'!$B$9,Paramètres!$A$1:$I$89,5,0)</f>
        <v>28.003407487093821</v>
      </c>
      <c r="P19" s="13">
        <f t="shared" si="33"/>
        <v>8.7560372090925433</v>
      </c>
      <c r="Q19" s="20">
        <f t="shared" si="2"/>
        <v>64.022699512524582</v>
      </c>
      <c r="R19" s="59">
        <f t="shared" si="0"/>
        <v>340.24492173474681</v>
      </c>
      <c r="S19" s="59">
        <f ca="1">AVERAGE(OFFSET($R$3,0,0,'Données projet'!$E$9+1,1))-AVERAGE(OFFSET($H$3,0,0,'Données projet'!$E$9+1,1))</f>
        <v>453.52760163325451</v>
      </c>
      <c r="T19" s="59">
        <f t="shared" si="34"/>
        <v>344.23959526427001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1.6</v>
      </c>
      <c r="AI19" s="13">
        <f>IF('Données projet'!$A$62&gt;35,AI18+AH19-AQ18,IF(A19&lt;'Données projet'!$A$62,$AF$205^A19,IF(A19='Données projet'!$A$62,'Données projet'!$B$62,AI18+AH19-AQ18)))</f>
        <v>15.999999999999986</v>
      </c>
      <c r="AJ19" s="13">
        <f>AI19*VLOOKUP('Données projet'!$B$10,Paramètres!$A$1:$I$89,3,0)*VLOOKUP('Données projet'!$B$10,Paramètres!$A$1:$I$89,5,0)</f>
        <v>13.727999999999991</v>
      </c>
      <c r="AK19" s="13">
        <f t="shared" si="35"/>
        <v>4.6638207366437268</v>
      </c>
      <c r="AL19" s="20">
        <f t="shared" si="4"/>
        <v>32.032421116321139</v>
      </c>
      <c r="AM19" s="59">
        <f t="shared" si="5"/>
        <v>308.25464333854336</v>
      </c>
      <c r="AN19" s="59">
        <f ca="1">AVERAGE(OFFSET($AM$3,0,0,'Données projet'!$E$10+1,1))-AVERAGE(OFFSET($H$3,0,0,'Données projet'!$E$10+1,1))</f>
        <v>397.45670821030774</v>
      </c>
      <c r="AO19" s="59">
        <f t="shared" si="36"/>
        <v>256.77417912163997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9.6</v>
      </c>
      <c r="BD19" s="12">
        <f>IF('Données projet'!$A$88&gt;35,BD18+BC19-BL18,IF(A19&lt;'Données projet'!$A$88,$BA$205^A19,IF(A19='Données projet'!$A$88,'Données projet'!$B$88,BD18+BC19-BL18)))</f>
        <v>46.6</v>
      </c>
      <c r="BE19" s="13">
        <f>BD19*VLOOKUP('Données projet'!$B$11,Paramètres!$A$1:$I$89,3,0)*VLOOKUP('Données projet'!$B$11,Paramètres!$A$1:$I$89,5,0)</f>
        <v>36.347999999999999</v>
      </c>
      <c r="BF19" s="13">
        <f t="shared" si="37"/>
        <v>11.025356771848859</v>
      </c>
      <c r="BG19" s="20">
        <f t="shared" si="7"/>
        <v>82.508596377636763</v>
      </c>
      <c r="BH19" s="59">
        <f t="shared" si="8"/>
        <v>358.73081859985899</v>
      </c>
      <c r="BI19" s="59">
        <f ca="1">AVERAGE(OFFSET($BH$3,0,0,'Données projet'!$E$11+1,1))-AVERAGE(OFFSET($H$3,0,0,'Données projet'!$E$11+1,1))</f>
        <v>293.20194140252903</v>
      </c>
      <c r="BJ19" s="59">
        <f t="shared" si="38"/>
        <v>280.69048279989266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11.6</v>
      </c>
      <c r="BY19" s="12">
        <f>IF('Données projet'!$A$114&gt;35,BY18+BX19-CG18,IF(A19&lt;'Données projet'!$A$114,$BV$205^A19,IF(A19='Données projet'!$A$114,'Données projet'!$B$114,BY18+BX19-CG18)))</f>
        <v>33.6</v>
      </c>
      <c r="BZ19" s="13">
        <f>BY19*VLOOKUP('Données projet'!$B$12,Paramètres!$A$1:$I$89,3,0)*VLOOKUP('Données projet'!$B$12,Paramètres!$A$1:$I$89,5,0)</f>
        <v>26.732160000000004</v>
      </c>
      <c r="CA19" s="13">
        <f t="shared" si="39"/>
        <v>8.4038705306032053</v>
      </c>
      <c r="CB19" s="20">
        <f t="shared" si="10"/>
        <v>61.195253174133917</v>
      </c>
      <c r="CC19" s="59">
        <f t="shared" si="11"/>
        <v>337.41747539635617</v>
      </c>
      <c r="CD19" s="59">
        <f ca="1">AVERAGE(OFFSET($CC$3,0,0,'Données projet'!$E$12+1,1))-AVERAGE(OFFSET($H$3,0,0,'Données projet'!$E$12+1,1))</f>
        <v>271.25628946149067</v>
      </c>
      <c r="CE19" s="59">
        <f t="shared" si="40"/>
        <v>292.57799203101769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15.8</v>
      </c>
      <c r="CT19" s="12">
        <f>IF('Données projet'!$A$140&gt;35,CT18+CS19-DB18,IF(A19&lt;'Données projet'!$A$140,$CQ$205^A19,IF(A19='Données projet'!$A$140,'Données projet'!$B$140,CT18+CS19-DB18)))</f>
        <v>74.800000000000011</v>
      </c>
      <c r="CU19" s="17">
        <f>CT19*VLOOKUP('Données projet'!$B$13,Paramètres!$A$1:$I$89,3,0)*VLOOKUP('Données projet'!$B$13,Paramètres!$A$1:$I$89,5,0)</f>
        <v>40.840800000000009</v>
      </c>
      <c r="CV19" s="13">
        <f t="shared" si="41"/>
        <v>12.221230516783256</v>
      </c>
      <c r="CW19" s="20">
        <f t="shared" si="13"/>
        <v>92.416369816730835</v>
      </c>
      <c r="CX19" s="59">
        <f t="shared" si="14"/>
        <v>368.63859203895305</v>
      </c>
      <c r="CY19" s="59">
        <f ca="1">AVERAGE(OFFSET($CX$3,0,0,'Données projet'!$E$13+1,1))-AVERAGE(OFFSET($H$3,0,0,'Données projet'!$E$13+1,1))</f>
        <v>210.03861149060413</v>
      </c>
      <c r="CZ19" s="59">
        <f t="shared" si="42"/>
        <v>298.74602928001929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3.3232728168135548</v>
      </c>
      <c r="DG19" s="21">
        <f>EXP(-LN(2)/25)*DG18+(1-EXP(-LN(2)/25))/(LN(2)/25)*Calculateur!DB19*Calculateur!DD19*VLOOKUP('Données projet'!$B$13,Paramètres!$A$1:$I$89,3,0)*0.475*44/12</f>
        <v>7.3891556064384352</v>
      </c>
      <c r="DH19" s="21">
        <f>EXP(-LN(2)/2)*DH18+(1-EXP(-LN(2)/2))/(LN(2)/2)*DB19*DE19*VLOOKUP('Données projet'!$B$13,Paramètres!$A$1:$I$89,3,0)*0.475*44/12</f>
        <v>5.9668598256652787</v>
      </c>
      <c r="DI19" s="22">
        <f t="shared" si="15"/>
        <v>16.679288248917267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19.814999999999998</v>
      </c>
      <c r="DO19" s="12">
        <f>IF('Données projet'!$A$166&gt;35,DO18+DN19-DW18,IF(A19&lt;'Données projet'!$A$166,$DL$205^A19,IF(A19='Données projet'!$A$166,'Données projet'!$B$166,DO18+DN19-DW18)))</f>
        <v>68.375</v>
      </c>
      <c r="DP19" s="17">
        <f>DO19*VLOOKUP('Données projet'!$B$14,Paramètres!$A$1:$I$89,3,0)*VLOOKUP('Données projet'!$B$14,Paramètres!$A$1:$I$89,5,0)</f>
        <v>40.888249999999999</v>
      </c>
      <c r="DQ19" s="13">
        <f t="shared" si="43"/>
        <v>12.233775880721598</v>
      </c>
      <c r="DR19" s="20">
        <f t="shared" si="16"/>
        <v>92.52086174225677</v>
      </c>
      <c r="DS19" s="59">
        <f t="shared" si="17"/>
        <v>368.74308396447901</v>
      </c>
      <c r="DT19" s="59">
        <f ca="1">AVERAGE(OFFSET($DS$3,0,0,'Données projet'!$E$14+1,1))-AVERAGE(OFFSET($H$3,0,0,'Données projet'!$E$14+1,1))</f>
        <v>402.28353929315114</v>
      </c>
      <c r="DU19" s="59">
        <f t="shared" si="44"/>
        <v>376.94419168335463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7</v>
      </c>
      <c r="EJ19" s="12">
        <f>IF('Données projet'!$A$192&gt;35,EJ18+EI19-ER18,IF(A19&lt;'Données projet'!$A$192,$EG$205^A19,IF(A19='Données projet'!$A$192,'Données projet'!$B$192,EJ18+EI19-ER18)))</f>
        <v>52.107762922276969</v>
      </c>
      <c r="EK19" s="17">
        <f>EJ19*VLOOKUP('Données projet'!$B$15,Paramètres!$A$1:$I$89,3,0)*VLOOKUP('Données projet'!$B$15,Paramètres!$A$1:$I$89,5,0)</f>
        <v>24.386433047625623</v>
      </c>
      <c r="EL19" s="13">
        <f t="shared" si="45"/>
        <v>7.7488327371331547</v>
      </c>
      <c r="EM19" s="20">
        <f t="shared" si="19"/>
        <v>55.968921241788202</v>
      </c>
      <c r="EN19" s="59">
        <f t="shared" si="20"/>
        <v>332.19114346401045</v>
      </c>
      <c r="EO19" s="59">
        <f ca="1">AVERAGE(OFFSET($EN$3,0,0,'Données projet'!$E$15+1,1))-AVERAGE(OFFSET($H$3,0,0,'Données projet'!$E$15+1,1))</f>
        <v>273.3012268683454</v>
      </c>
      <c r="EP19" s="59">
        <f t="shared" si="46"/>
        <v>254.08208375594052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3.65</v>
      </c>
      <c r="N20" s="13">
        <f>IF('Données projet'!$A$36&gt;35,N19+M20-V19,IF(A20&lt;'Données projet'!$A$36,$K$205^A20,IF(A20='Données projet'!$A$36,'Données projet'!$B$36,N19+M20-V19)))</f>
        <v>38.355215845858055</v>
      </c>
      <c r="O20" s="13">
        <f>N20*VLOOKUP('Données projet'!$B$9,Paramètres!$A$1:$I$89,3,0)*VLOOKUP('Données projet'!$B$9,Paramètres!$A$1:$I$89,5,0)</f>
        <v>34.703799297332367</v>
      </c>
      <c r="P20" s="13">
        <f t="shared" si="33"/>
        <v>10.583497277259243</v>
      </c>
      <c r="Q20" s="20">
        <f t="shared" si="2"/>
        <v>78.875374867413711</v>
      </c>
      <c r="R20" s="59">
        <f t="shared" si="0"/>
        <v>356.31981931185817</v>
      </c>
      <c r="S20" s="59">
        <f ca="1">AVERAGE(OFFSET($R$3,0,0,'Données projet'!$E$9+1,1))-AVERAGE(OFFSET($H$3,0,0,'Données projet'!$E$9+1,1))</f>
        <v>453.52760163325451</v>
      </c>
      <c r="T20" s="59">
        <f t="shared" si="34"/>
        <v>344.23959526427001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1.6</v>
      </c>
      <c r="AI20" s="13">
        <f>IF('Données projet'!$A$62&gt;35,AI19+AH20-AQ19,IF(A20&lt;'Données projet'!$A$62,$AF$205^A20,IF(A20='Données projet'!$A$62,'Données projet'!$B$62,AI19+AH20-AQ19)))</f>
        <v>19.027313840043519</v>
      </c>
      <c r="AJ20" s="13">
        <f>AI20*VLOOKUP('Données projet'!$B$10,Paramètres!$A$1:$I$89,3,0)*VLOOKUP('Données projet'!$B$10,Paramètres!$A$1:$I$89,5,0)</f>
        <v>16.325435274757343</v>
      </c>
      <c r="AK20" s="13">
        <f t="shared" si="35"/>
        <v>5.4354984361731269</v>
      </c>
      <c r="AL20" s="20">
        <f t="shared" si="4"/>
        <v>37.90029287987057</v>
      </c>
      <c r="AM20" s="59">
        <f t="shared" si="5"/>
        <v>315.34473732431502</v>
      </c>
      <c r="AN20" s="59">
        <f ca="1">AVERAGE(OFFSET($AM$3,0,0,'Données projet'!$E$10+1,1))-AVERAGE(OFFSET($H$3,0,0,'Données projet'!$E$10+1,1))</f>
        <v>397.45670821030774</v>
      </c>
      <c r="AO20" s="59">
        <f t="shared" si="36"/>
        <v>256.77417912163997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9.6</v>
      </c>
      <c r="BD20" s="12">
        <f>IF('Données projet'!$A$88&gt;35,BD19+BC20-BL19,IF(A20&lt;'Données projet'!$A$88,$BA$205^A20,IF(A20='Données projet'!$A$88,'Données projet'!$B$88,BD19+BC20-BL19)))</f>
        <v>56.2</v>
      </c>
      <c r="BE20" s="13">
        <f>BD20*VLOOKUP('Données projet'!$B$11,Paramètres!$A$1:$I$89,3,0)*VLOOKUP('Données projet'!$B$11,Paramètres!$A$1:$I$89,5,0)</f>
        <v>43.836000000000006</v>
      </c>
      <c r="BF20" s="13">
        <f t="shared" si="37"/>
        <v>13.009897179721728</v>
      </c>
      <c r="BG20" s="20">
        <f t="shared" si="7"/>
        <v>99.006604254682017</v>
      </c>
      <c r="BH20" s="59">
        <f t="shared" si="8"/>
        <v>376.45104869912649</v>
      </c>
      <c r="BI20" s="59">
        <f ca="1">AVERAGE(OFFSET($BH$3,0,0,'Données projet'!$E$11+1,1))-AVERAGE(OFFSET($H$3,0,0,'Données projet'!$E$11+1,1))</f>
        <v>293.20194140252903</v>
      </c>
      <c r="BJ20" s="59">
        <f t="shared" si="38"/>
        <v>280.69048279989266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11.6</v>
      </c>
      <c r="BY20" s="12">
        <f>IF('Données projet'!$A$114&gt;35,BY19+BX20-CG19,IF(A20&lt;'Données projet'!$A$114,$BV$205^A20,IF(A20='Données projet'!$A$114,'Données projet'!$B$114,BY19+BX20-CG19)))</f>
        <v>45.2</v>
      </c>
      <c r="BZ20" s="13">
        <f>BY20*VLOOKUP('Données projet'!$B$12,Paramètres!$A$1:$I$89,3,0)*VLOOKUP('Données projet'!$B$12,Paramètres!$A$1:$I$89,5,0)</f>
        <v>35.961120000000008</v>
      </c>
      <c r="CA20" s="13">
        <f t="shared" si="39"/>
        <v>10.921600552662685</v>
      </c>
      <c r="CB20" s="20">
        <f t="shared" si="10"/>
        <v>81.654071629220851</v>
      </c>
      <c r="CC20" s="59">
        <f t="shared" si="11"/>
        <v>359.09851607366534</v>
      </c>
      <c r="CD20" s="59">
        <f ca="1">AVERAGE(OFFSET($CC$3,0,0,'Données projet'!$E$12+1,1))-AVERAGE(OFFSET($H$3,0,0,'Données projet'!$E$12+1,1))</f>
        <v>271.25628946149067</v>
      </c>
      <c r="CE20" s="59">
        <f t="shared" si="40"/>
        <v>292.57799203101769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15.8</v>
      </c>
      <c r="CT20" s="12">
        <f>IF('Données projet'!$A$140&gt;35,CT19+CS20-DB19,IF(A20&lt;'Données projet'!$A$140,$CQ$205^A20,IF(A20='Données projet'!$A$140,'Données projet'!$B$140,CT19+CS20-DB19)))</f>
        <v>90.600000000000009</v>
      </c>
      <c r="CU20" s="17">
        <f>CT20*VLOOKUP('Données projet'!$B$13,Paramètres!$A$1:$I$89,3,0)*VLOOKUP('Données projet'!$B$13,Paramètres!$A$1:$I$89,5,0)</f>
        <v>49.467600000000004</v>
      </c>
      <c r="CV20" s="13">
        <f t="shared" si="41"/>
        <v>14.476179494944809</v>
      </c>
      <c r="CW20" s="20">
        <f t="shared" si="13"/>
        <v>111.36874928702889</v>
      </c>
      <c r="CX20" s="59">
        <f t="shared" si="14"/>
        <v>388.81319373147335</v>
      </c>
      <c r="CY20" s="59">
        <f ca="1">AVERAGE(OFFSET($CX$3,0,0,'Données projet'!$E$13+1,1))-AVERAGE(OFFSET($H$3,0,0,'Données projet'!$E$13+1,1))</f>
        <v>210.03861149060413</v>
      </c>
      <c r="CZ20" s="59">
        <f t="shared" si="42"/>
        <v>298.74602928001929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3.2581054638721101</v>
      </c>
      <c r="DG20" s="21">
        <f>EXP(-LN(2)/25)*DG19+(1-EXP(-LN(2)/25))/(LN(2)/25)*Calculateur!DB20*Calculateur!DD20*VLOOKUP('Données projet'!$B$13,Paramètres!$A$1:$I$89,3,0)*0.475*44/12</f>
        <v>7.1870987578015706</v>
      </c>
      <c r="DH20" s="21">
        <f>EXP(-LN(2)/2)*DH19+(1-EXP(-LN(2)/2))/(LN(2)/2)*DB20*DE20*VLOOKUP('Données projet'!$B$13,Paramètres!$A$1:$I$89,3,0)*0.475*44/12</f>
        <v>4.2192070451174999</v>
      </c>
      <c r="DI20" s="22">
        <f t="shared" si="15"/>
        <v>14.664411266791181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19.814999999999998</v>
      </c>
      <c r="DO20" s="12">
        <f>IF('Données projet'!$A$166&gt;35,DO19+DN20-DW19,IF(A20&lt;'Données projet'!$A$166,$DL$205^A20,IF(A20='Données projet'!$A$166,'Données projet'!$B$166,DO19+DN20-DW19)))</f>
        <v>88.19</v>
      </c>
      <c r="DP20" s="17">
        <f>DO20*VLOOKUP('Données projet'!$B$14,Paramètres!$A$1:$I$89,3,0)*VLOOKUP('Données projet'!$B$14,Paramètres!$A$1:$I$89,5,0)</f>
        <v>52.73762</v>
      </c>
      <c r="DQ20" s="13">
        <f t="shared" si="43"/>
        <v>15.318553658088213</v>
      </c>
      <c r="DR20" s="20">
        <f t="shared" si="16"/>
        <v>118.53116912117031</v>
      </c>
      <c r="DS20" s="59">
        <f t="shared" si="17"/>
        <v>395.97561356561476</v>
      </c>
      <c r="DT20" s="59">
        <f ca="1">AVERAGE(OFFSET($DS$3,0,0,'Données projet'!$E$14+1,1))-AVERAGE(OFFSET($H$3,0,0,'Données projet'!$E$14+1,1))</f>
        <v>402.28353929315114</v>
      </c>
      <c r="DU20" s="59">
        <f t="shared" si="44"/>
        <v>376.94419168335463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7</v>
      </c>
      <c r="EJ20" s="12">
        <f>IF('Données projet'!$A$192&gt;35,EJ19+EI20-ER19,IF(A20&lt;'Données projet'!$A$192,$EG$205^A20,IF(A20='Données projet'!$A$192,'Données projet'!$B$192,EJ19+EI20-ER19)))</f>
        <v>66.712748008038588</v>
      </c>
      <c r="EK20" s="17">
        <f>EJ20*VLOOKUP('Données projet'!$B$15,Paramètres!$A$1:$I$89,3,0)*VLOOKUP('Données projet'!$B$15,Paramètres!$A$1:$I$89,5,0)</f>
        <v>31.221566067762058</v>
      </c>
      <c r="EL20" s="13">
        <f t="shared" si="45"/>
        <v>9.6394492928138327</v>
      </c>
      <c r="EM20" s="20">
        <f t="shared" si="19"/>
        <v>71.166268419669663</v>
      </c>
      <c r="EN20" s="59">
        <f t="shared" si="20"/>
        <v>348.61071286411413</v>
      </c>
      <c r="EO20" s="59">
        <f ca="1">AVERAGE(OFFSET($EN$3,0,0,'Données projet'!$E$15+1,1))-AVERAGE(OFFSET($H$3,0,0,'Données projet'!$E$15+1,1))</f>
        <v>273.3012268683454</v>
      </c>
      <c r="EP20" s="59">
        <f t="shared" si="46"/>
        <v>254.08208375594052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3.65</v>
      </c>
      <c r="N21" s="13">
        <f>IF('Données projet'!$A$36&gt;35,N20+M21-V20,IF(A21&lt;'Données projet'!$A$36,$K$205^A21,IF(A21='Données projet'!$A$36,'Données projet'!$B$36,N20+M21-V20)))</f>
        <v>47.532490941824946</v>
      </c>
      <c r="O21" s="13">
        <f>N21*VLOOKUP('Données projet'!$B$9,Paramètres!$A$1:$I$89,3,0)*VLOOKUP('Données projet'!$B$9,Paramètres!$A$1:$I$89,5,0)</f>
        <v>43.007397804163212</v>
      </c>
      <c r="P21" s="13">
        <f t="shared" si="33"/>
        <v>12.792363936215189</v>
      </c>
      <c r="Q21" s="20">
        <f t="shared" si="2"/>
        <v>97.184585031159045</v>
      </c>
      <c r="R21" s="59">
        <f t="shared" si="0"/>
        <v>375.85125169782572</v>
      </c>
      <c r="S21" s="59">
        <f ca="1">AVERAGE(OFFSET($R$3,0,0,'Données projet'!$E$9+1,1))-AVERAGE(OFFSET($H$3,0,0,'Données projet'!$E$9+1,1))</f>
        <v>453.52760163325451</v>
      </c>
      <c r="T21" s="59">
        <f t="shared" si="34"/>
        <v>344.23959526427001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1.6</v>
      </c>
      <c r="AI21" s="13">
        <f>IF('Données projet'!$A$62&gt;35,AI20+AH21-AQ20,IF(A21&lt;'Données projet'!$A$62,$AF$205^A21,IF(A21='Données projet'!$A$62,'Données projet'!$B$62,AI20+AH21-AQ20)))</f>
        <v>22.627416997969497</v>
      </c>
      <c r="AJ21" s="13">
        <f>AI21*VLOOKUP('Données projet'!$B$10,Paramètres!$A$1:$I$89,3,0)*VLOOKUP('Données projet'!$B$10,Paramètres!$A$1:$I$89,5,0)</f>
        <v>19.414323784257832</v>
      </c>
      <c r="AK21" s="13">
        <f t="shared" si="35"/>
        <v>6.3348582456241713</v>
      </c>
      <c r="AL21" s="20">
        <f t="shared" si="4"/>
        <v>44.846492035377821</v>
      </c>
      <c r="AM21" s="59">
        <f t="shared" si="5"/>
        <v>323.51315870204451</v>
      </c>
      <c r="AN21" s="59">
        <f ca="1">AVERAGE(OFFSET($AM$3,0,0,'Données projet'!$E$10+1,1))-AVERAGE(OFFSET($H$3,0,0,'Données projet'!$E$10+1,1))</f>
        <v>397.45670821030774</v>
      </c>
      <c r="AO21" s="59">
        <f t="shared" si="36"/>
        <v>256.77417912163997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9.6</v>
      </c>
      <c r="BD21" s="12">
        <f>IF('Données projet'!$A$88&gt;35,BD20+BC21-BL20,IF(A21&lt;'Données projet'!$A$88,$BA$205^A21,IF(A21='Données projet'!$A$88,'Données projet'!$B$88,BD20+BC21-BL20)))</f>
        <v>65.8</v>
      </c>
      <c r="BE21" s="13">
        <f>BD21*VLOOKUP('Données projet'!$B$11,Paramètres!$A$1:$I$89,3,0)*VLOOKUP('Données projet'!$B$11,Paramètres!$A$1:$I$89,5,0)</f>
        <v>51.323999999999998</v>
      </c>
      <c r="BF21" s="13">
        <f t="shared" si="37"/>
        <v>14.95516659950003</v>
      </c>
      <c r="BG21" s="20">
        <f t="shared" si="7"/>
        <v>115.43621516079588</v>
      </c>
      <c r="BH21" s="59">
        <f t="shared" si="8"/>
        <v>394.10288182746257</v>
      </c>
      <c r="BI21" s="59">
        <f ca="1">AVERAGE(OFFSET($BH$3,0,0,'Données projet'!$E$11+1,1))-AVERAGE(OFFSET($H$3,0,0,'Données projet'!$E$11+1,1))</f>
        <v>293.20194140252903</v>
      </c>
      <c r="BJ21" s="59">
        <f t="shared" si="38"/>
        <v>280.69048279989266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11.6</v>
      </c>
      <c r="BY21" s="12">
        <f>IF('Données projet'!$A$114&gt;35,BY20+BX21-CG20,IF(A21&lt;'Données projet'!$A$114,$BV$205^A21,IF(A21='Données projet'!$A$114,'Données projet'!$B$114,BY20+BX21-CG20)))</f>
        <v>56.800000000000004</v>
      </c>
      <c r="BZ21" s="13">
        <f>BY21*VLOOKUP('Données projet'!$B$12,Paramètres!$A$1:$I$89,3,0)*VLOOKUP('Données projet'!$B$12,Paramètres!$A$1:$I$89,5,0)</f>
        <v>45.190080000000009</v>
      </c>
      <c r="CA21" s="13">
        <f t="shared" si="39"/>
        <v>13.364359727915414</v>
      </c>
      <c r="CB21" s="20">
        <f t="shared" si="10"/>
        <v>101.98231585945268</v>
      </c>
      <c r="CC21" s="59">
        <f t="shared" si="11"/>
        <v>380.64898252611937</v>
      </c>
      <c r="CD21" s="59">
        <f ca="1">AVERAGE(OFFSET($CC$3,0,0,'Données projet'!$E$12+1,1))-AVERAGE(OFFSET($H$3,0,0,'Données projet'!$E$12+1,1))</f>
        <v>271.25628946149067</v>
      </c>
      <c r="CE21" s="59">
        <f t="shared" si="40"/>
        <v>292.57799203101769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15.8</v>
      </c>
      <c r="CT21" s="12">
        <f>IF('Données projet'!$A$140&gt;35,CT20+CS21-DB20,IF(A21&lt;'Données projet'!$A$140,$CQ$205^A21,IF(A21='Données projet'!$A$140,'Données projet'!$B$140,CT20+CS21-DB20)))</f>
        <v>106.4</v>
      </c>
      <c r="CU21" s="17">
        <f>CT21*VLOOKUP('Données projet'!$B$13,Paramètres!$A$1:$I$89,3,0)*VLOOKUP('Données projet'!$B$13,Paramètres!$A$1:$I$89,5,0)</f>
        <v>58.094400000000007</v>
      </c>
      <c r="CV21" s="13">
        <f t="shared" si="41"/>
        <v>16.6855722721399</v>
      </c>
      <c r="CW21" s="20">
        <f t="shared" si="13"/>
        <v>130.24178504064366</v>
      </c>
      <c r="CX21" s="59">
        <f t="shared" si="14"/>
        <v>408.90845170731035</v>
      </c>
      <c r="CY21" s="59">
        <f ca="1">AVERAGE(OFFSET($CX$3,0,0,'Données projet'!$E$13+1,1))-AVERAGE(OFFSET($H$3,0,0,'Données projet'!$E$13+1,1))</f>
        <v>210.03861149060413</v>
      </c>
      <c r="CZ21" s="59">
        <f t="shared" si="42"/>
        <v>298.74602928001929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3.1942160029736866</v>
      </c>
      <c r="DG21" s="21">
        <f>EXP(-LN(2)/25)*DG20+(1-EXP(-LN(2)/25))/(LN(2)/25)*Calculateur!DB21*Calculateur!DD21*VLOOKUP('Données projet'!$B$13,Paramètres!$A$1:$I$89,3,0)*0.475*44/12</f>
        <v>6.9905671643163894</v>
      </c>
      <c r="DH21" s="21">
        <f>EXP(-LN(2)/2)*DH20+(1-EXP(-LN(2)/2))/(LN(2)/2)*DB21*DE21*VLOOKUP('Données projet'!$B$13,Paramètres!$A$1:$I$89,3,0)*0.475*44/12</f>
        <v>2.9834299128326398</v>
      </c>
      <c r="DI21" s="22">
        <f t="shared" si="15"/>
        <v>13.168213080122715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19.814999999999998</v>
      </c>
      <c r="DO21" s="12">
        <f>IF('Données projet'!$A$166&gt;35,DO20+DN21-DW20,IF(A21&lt;'Données projet'!$A$166,$DL$205^A21,IF(A21='Données projet'!$A$166,'Données projet'!$B$166,DO20+DN21-DW20)))</f>
        <v>108.005</v>
      </c>
      <c r="DP21" s="17">
        <f>DO21*VLOOKUP('Données projet'!$B$14,Paramètres!$A$1:$I$89,3,0)*VLOOKUP('Données projet'!$B$14,Paramètres!$A$1:$I$89,5,0)</f>
        <v>64.58699</v>
      </c>
      <c r="DQ21" s="13">
        <f t="shared" si="43"/>
        <v>18.32298503252624</v>
      </c>
      <c r="DR21" s="20">
        <f t="shared" si="16"/>
        <v>144.4015398483165</v>
      </c>
      <c r="DS21" s="59">
        <f t="shared" si="17"/>
        <v>423.06820651498322</v>
      </c>
      <c r="DT21" s="59">
        <f ca="1">AVERAGE(OFFSET($DS$3,0,0,'Données projet'!$E$14+1,1))-AVERAGE(OFFSET($H$3,0,0,'Données projet'!$E$14+1,1))</f>
        <v>402.28353929315114</v>
      </c>
      <c r="DU21" s="59">
        <f t="shared" si="44"/>
        <v>376.94419168335463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7</v>
      </c>
      <c r="EJ21" s="12">
        <f>IF('Données projet'!$A$192&gt;35,EJ20+EI21-ER20,IF(A21&lt;'Données projet'!$A$192,$EG$205^A21,IF(A21='Données projet'!$A$192,'Données projet'!$B$192,EJ20+EI21-ER20)))</f>
        <v>85.411280338833194</v>
      </c>
      <c r="EK21" s="17">
        <f>EJ21*VLOOKUP('Données projet'!$B$15,Paramètres!$A$1:$I$89,3,0)*VLOOKUP('Données projet'!$B$15,Paramètres!$A$1:$I$89,5,0)</f>
        <v>39.972479198573936</v>
      </c>
      <c r="EL21" s="13">
        <f t="shared" si="45"/>
        <v>11.991352223084183</v>
      </c>
      <c r="EM21" s="20">
        <f t="shared" si="19"/>
        <v>90.503673059387893</v>
      </c>
      <c r="EN21" s="59">
        <f t="shared" si="20"/>
        <v>369.17033972605458</v>
      </c>
      <c r="EO21" s="59">
        <f ca="1">AVERAGE(OFFSET($EN$3,0,0,'Données projet'!$E$15+1,1))-AVERAGE(OFFSET($H$3,0,0,'Données projet'!$E$15+1,1))</f>
        <v>273.3012268683454</v>
      </c>
      <c r="EP21" s="59">
        <f t="shared" si="46"/>
        <v>254.08208375594052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3.65</v>
      </c>
      <c r="N22" s="13">
        <f>IF('Données projet'!$A$36&gt;35,N21+M22-V21,IF(A22&lt;'Données projet'!$A$36,$K$205^A22,IF(A22='Données projet'!$A$36,'Données projet'!$B$36,N21+M22-V21)))</f>
        <v>58.90561805764559</v>
      </c>
      <c r="O22" s="13">
        <f>N22*VLOOKUP('Données projet'!$B$9,Paramètres!$A$1:$I$89,3,0)*VLOOKUP('Données projet'!$B$9,Paramètres!$A$1:$I$89,5,0)</f>
        <v>53.297803218557732</v>
      </c>
      <c r="P22" s="13">
        <f t="shared" si="33"/>
        <v>15.462240012873817</v>
      </c>
      <c r="Q22" s="20">
        <f t="shared" si="2"/>
        <v>119.75707529474329</v>
      </c>
      <c r="R22" s="59">
        <f t="shared" si="0"/>
        <v>399.64596418363215</v>
      </c>
      <c r="S22" s="59">
        <f ca="1">AVERAGE(OFFSET($R$3,0,0,'Données projet'!$E$9+1,1))-AVERAGE(OFFSET($H$3,0,0,'Données projet'!$E$9+1,1))</f>
        <v>453.52760163325451</v>
      </c>
      <c r="T22" s="59">
        <f t="shared" si="34"/>
        <v>344.23959526427001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1.6</v>
      </c>
      <c r="AI22" s="13">
        <f>IF('Données projet'!$A$62&gt;35,AI21+AH22-AQ21,IF(A22&lt;'Données projet'!$A$62,$AF$205^A22,IF(A22='Données projet'!$A$62,'Données projet'!$B$62,AI21+AH22-AQ21)))</f>
        <v>26.908685288118836</v>
      </c>
      <c r="AJ22" s="13">
        <f>AI22*VLOOKUP('Données projet'!$B$10,Paramètres!$A$1:$I$89,3,0)*VLOOKUP('Données projet'!$B$10,Paramètres!$A$1:$I$89,5,0)</f>
        <v>23.087651977205965</v>
      </c>
      <c r="AK22" s="13">
        <f t="shared" si="35"/>
        <v>7.3830264994807839</v>
      </c>
      <c r="AL22" s="20">
        <f t="shared" si="4"/>
        <v>53.069765013562751</v>
      </c>
      <c r="AM22" s="59">
        <f t="shared" si="5"/>
        <v>332.9586539024516</v>
      </c>
      <c r="AN22" s="59">
        <f ca="1">AVERAGE(OFFSET($AM$3,0,0,'Données projet'!$E$10+1,1))-AVERAGE(OFFSET($H$3,0,0,'Données projet'!$E$10+1,1))</f>
        <v>397.45670821030774</v>
      </c>
      <c r="AO22" s="59">
        <f t="shared" si="36"/>
        <v>256.77417912163997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9.6</v>
      </c>
      <c r="BD22" s="12">
        <f>IF('Données projet'!$A$88&gt;35,BD21+BC22-BL21,IF(A22&lt;'Données projet'!$A$88,$BA$205^A22,IF(A22='Données projet'!$A$88,'Données projet'!$B$88,BD21+BC22-BL21)))</f>
        <v>75.399999999999991</v>
      </c>
      <c r="BE22" s="13">
        <f>BD22*VLOOKUP('Données projet'!$B$11,Paramètres!$A$1:$I$89,3,0)*VLOOKUP('Données projet'!$B$11,Paramètres!$A$1:$I$89,5,0)</f>
        <v>58.811999999999998</v>
      </c>
      <c r="BF22" s="13">
        <f t="shared" si="37"/>
        <v>16.86755663452599</v>
      </c>
      <c r="BG22" s="20">
        <f t="shared" si="7"/>
        <v>131.8085611384661</v>
      </c>
      <c r="BH22" s="59">
        <f t="shared" si="8"/>
        <v>411.69745002735499</v>
      </c>
      <c r="BI22" s="59">
        <f ca="1">AVERAGE(OFFSET($BH$3,0,0,'Données projet'!$E$11+1,1))-AVERAGE(OFFSET($H$3,0,0,'Données projet'!$E$11+1,1))</f>
        <v>293.20194140252903</v>
      </c>
      <c r="BJ22" s="59">
        <f t="shared" si="38"/>
        <v>280.69048279989266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11.6</v>
      </c>
      <c r="BY22" s="12">
        <f>IF('Données projet'!$A$114&gt;35,BY21+BX22-CG21,IF(A22&lt;'Données projet'!$A$114,$BV$205^A22,IF(A22='Données projet'!$A$114,'Données projet'!$B$114,BY21+BX22-CG21)))</f>
        <v>68.400000000000006</v>
      </c>
      <c r="BZ22" s="13">
        <f>BY22*VLOOKUP('Données projet'!$B$12,Paramètres!$A$1:$I$89,3,0)*VLOOKUP('Données projet'!$B$12,Paramètres!$A$1:$I$89,5,0)</f>
        <v>54.419040000000003</v>
      </c>
      <c r="CA22" s="13">
        <f t="shared" si="39"/>
        <v>15.749310274925152</v>
      </c>
      <c r="CB22" s="20">
        <f t="shared" si="10"/>
        <v>122.20987672882796</v>
      </c>
      <c r="CC22" s="59">
        <f t="shared" si="11"/>
        <v>402.09876561771682</v>
      </c>
      <c r="CD22" s="59">
        <f ca="1">AVERAGE(OFFSET($CC$3,0,0,'Données projet'!$E$12+1,1))-AVERAGE(OFFSET($H$3,0,0,'Données projet'!$E$12+1,1))</f>
        <v>271.25628946149067</v>
      </c>
      <c r="CE22" s="59">
        <f t="shared" si="40"/>
        <v>292.57799203101769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15.8</v>
      </c>
      <c r="CT22" s="12">
        <f>IF('Données projet'!$A$140&gt;35,CT21+CS22-DB21,IF(A22&lt;'Données projet'!$A$140,$CQ$205^A22,IF(A22='Données projet'!$A$140,'Données projet'!$B$140,CT21+CS22-DB21)))</f>
        <v>122.2</v>
      </c>
      <c r="CU22" s="17">
        <f>CT22*VLOOKUP('Données projet'!$B$13,Paramètres!$A$1:$I$89,3,0)*VLOOKUP('Données projet'!$B$13,Paramètres!$A$1:$I$89,5,0)</f>
        <v>66.721199999999996</v>
      </c>
      <c r="CV22" s="13">
        <f t="shared" si="41"/>
        <v>18.856956599005905</v>
      </c>
      <c r="CW22" s="20">
        <f t="shared" si="13"/>
        <v>149.0486227432686</v>
      </c>
      <c r="CX22" s="59">
        <f t="shared" si="14"/>
        <v>428.93751163215745</v>
      </c>
      <c r="CY22" s="59">
        <f ca="1">AVERAGE(OFFSET($CX$3,0,0,'Données projet'!$E$13+1,1))-AVERAGE(OFFSET($H$3,0,0,'Données projet'!$E$13+1,1))</f>
        <v>210.03861149060413</v>
      </c>
      <c r="CZ22" s="59">
        <f t="shared" si="42"/>
        <v>298.74602928001929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3.1315793754347578</v>
      </c>
      <c r="DG22" s="21">
        <f>EXP(-LN(2)/25)*DG21+(1-EXP(-LN(2)/25))/(LN(2)/25)*Calculateur!DB22*Calculateur!DD22*VLOOKUP('Données projet'!$B$13,Paramètres!$A$1:$I$89,3,0)*0.475*44/12</f>
        <v>6.7994097375902074</v>
      </c>
      <c r="DH22" s="21">
        <f>EXP(-LN(2)/2)*DH21+(1-EXP(-LN(2)/2))/(LN(2)/2)*DB22*DE22*VLOOKUP('Données projet'!$B$13,Paramètres!$A$1:$I$89,3,0)*0.475*44/12</f>
        <v>2.1096035225587499</v>
      </c>
      <c r="DI22" s="22">
        <f t="shared" si="15"/>
        <v>12.040592635583716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>
        <f>VLOOKUP(A22,'Données projet'!$A$165:$I$185,2,0)</f>
        <v>127.82</v>
      </c>
      <c r="DM22" s="12">
        <f>VLOOKUP(A22,'Données projet'!$A$165:$I$185,9,0)</f>
        <v>19.814999999999998</v>
      </c>
      <c r="DN22" s="12">
        <f t="array" ref="DN22">INDEX(DM:DM,MIN(IF(ISNUMBER(DM22:DM218),ROW(DM22:DM218),"")))</f>
        <v>19.814999999999998</v>
      </c>
      <c r="DO22" s="12">
        <f>IF('Données projet'!$A$166&gt;35,DO21+DN22-DW21,IF(A22&lt;'Données projet'!$A$166,$DL$205^A22,IF(A22='Données projet'!$A$166,'Données projet'!$B$166,DO21+DN22-DW21)))</f>
        <v>127.82</v>
      </c>
      <c r="DP22" s="17">
        <f>DO22*VLOOKUP('Données projet'!$B$14,Paramètres!$A$1:$I$89,3,0)*VLOOKUP('Données projet'!$B$14,Paramètres!$A$1:$I$89,5,0)</f>
        <v>76.436359999999993</v>
      </c>
      <c r="DQ22" s="13">
        <f t="shared" si="43"/>
        <v>21.263558306949722</v>
      </c>
      <c r="DR22" s="20">
        <f t="shared" si="16"/>
        <v>170.16069105127073</v>
      </c>
      <c r="DS22" s="59">
        <f t="shared" si="17"/>
        <v>450.04957994015956</v>
      </c>
      <c r="DT22" s="59">
        <f ca="1">AVERAGE(OFFSET($DS$3,0,0,'Données projet'!$E$14+1,1))-AVERAGE(OFFSET($H$3,0,0,'Données projet'!$E$14+1,1))</f>
        <v>402.28353929315114</v>
      </c>
      <c r="DU22" s="59">
        <f t="shared" si="44"/>
        <v>376.94419168335463</v>
      </c>
      <c r="DV22" s="15">
        <f>IF(ISNA(VLOOKUP(A22,'Données projet'!$A$165:$I$185,3,0)),0,VLOOKUP(A22,'Données projet'!$A$165:$I$185,3,0))</f>
        <v>2</v>
      </c>
      <c r="DW22" s="15">
        <f>IF(ISNA(VLOOKUP(A22,'Données projet'!$A$165:$I$185,4,0)),0,VLOOKUP(A22,'Données projet'!$A$165:$I$185,4,0))</f>
        <v>46.3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0.25200000000000006</v>
      </c>
      <c r="DZ22" s="16">
        <f>IF(ISNA(VLOOKUP(A22,'Données projet'!$A$165:$I$185,7,0)),0%,VLOOKUP(A22,'Données projet'!$A$165:$I$185,7,0))</f>
        <v>0.44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9.2192950484295544</v>
      </c>
      <c r="EC22" s="21">
        <f>EXP(-LN(2)/2)*EC21+(1-EXP(-LN(2)/2))/(LN(2)/2)*DW22*DZ22*VLOOKUP('Données projet'!$B$14,Paramètres!$A$1:$I$89,3,0)*0.475*44/12</f>
        <v>13.793370146395079</v>
      </c>
      <c r="ED22" s="22">
        <f t="shared" si="18"/>
        <v>23.012665194824635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7</v>
      </c>
      <c r="EJ22" s="12">
        <f>IF('Données projet'!$A$192&gt;35,EJ21+EI22-ER21,IF(A22&lt;'Données projet'!$A$192,$EG$205^A22,IF(A22='Données projet'!$A$192,'Données projet'!$B$192,EJ21+EI22-ER21)))</f>
        <v>109.35071672118391</v>
      </c>
      <c r="EK22" s="17">
        <f>EJ22*VLOOKUP('Données projet'!$B$15,Paramètres!$A$1:$I$89,3,0)*VLOOKUP('Données projet'!$B$15,Paramètres!$A$1:$I$89,5,0)</f>
        <v>51.176135425514076</v>
      </c>
      <c r="EL22" s="13">
        <f t="shared" si="45"/>
        <v>14.917089531791261</v>
      </c>
      <c r="EM22" s="20">
        <f t="shared" si="19"/>
        <v>115.11236680064013</v>
      </c>
      <c r="EN22" s="59">
        <f t="shared" si="20"/>
        <v>395.00125568952899</v>
      </c>
      <c r="EO22" s="59">
        <f ca="1">AVERAGE(OFFSET($EN$3,0,0,'Données projet'!$E$15+1,1))-AVERAGE(OFFSET($H$3,0,0,'Données projet'!$E$15+1,1))</f>
        <v>273.3012268683454</v>
      </c>
      <c r="EP22" s="59">
        <f t="shared" si="46"/>
        <v>254.08208375594052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73</v>
      </c>
      <c r="L23" s="12">
        <f>VLOOKUP(A23,'Données projet'!$A$35:$I$55,9,0)</f>
        <v>3.65</v>
      </c>
      <c r="M23" s="12">
        <f t="array" ref="M23">INDEX(L:L,MIN(IF(ISNUMBER(L23:L219),ROW(L23:L219),"")))</f>
        <v>3.65</v>
      </c>
      <c r="N23" s="13">
        <f>IF('Données projet'!$A$36&gt;35,N22+M23-V22,IF(A23&lt;'Données projet'!$A$36,$K$205^A23,IF(A23='Données projet'!$A$36,'Données projet'!$B$36,N22+M23-V22)))</f>
        <v>73</v>
      </c>
      <c r="O23" s="13">
        <f>N23*VLOOKUP('Données projet'!$B$9,Paramètres!$A$1:$I$89,3,0)*VLOOKUP('Données projet'!$B$9,Paramètres!$A$1:$I$89,5,0)</f>
        <v>66.050399999999996</v>
      </c>
      <c r="P23" s="13">
        <f t="shared" si="33"/>
        <v>18.689342126897891</v>
      </c>
      <c r="Q23" s="20">
        <f t="shared" si="2"/>
        <v>147.58838420434714</v>
      </c>
      <c r="R23" s="59">
        <f t="shared" si="0"/>
        <v>428.69949531545831</v>
      </c>
      <c r="S23" s="59">
        <f ca="1">AVERAGE(OFFSET($R$3,0,0,'Données projet'!$E$9+1,1))-AVERAGE(OFFSET($H$3,0,0,'Données projet'!$E$9+1,1))</f>
        <v>453.52760163325451</v>
      </c>
      <c r="T23" s="59">
        <f t="shared" si="34"/>
        <v>344.23959526427001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32</v>
      </c>
      <c r="AG23" s="12">
        <f>VLOOKUP(A23,'Données projet'!$A$61:$I$81,9,0)</f>
        <v>1.6</v>
      </c>
      <c r="AH23" s="12">
        <f t="array" ref="AH23">INDEX(AG:AG,MIN(IF(ISNUMBER(AG23:AG219),ROW(AG23:AG219),"")))</f>
        <v>1.6</v>
      </c>
      <c r="AI23" s="13">
        <f>IF('Données projet'!$A$62&gt;35,AI22+AH23-AQ22,IF(A23&lt;'Données projet'!$A$62,$AF$205^A23,IF(A23='Données projet'!$A$62,'Données projet'!$B$62,AI22+AH23-AQ22)))</f>
        <v>32</v>
      </c>
      <c r="AJ23" s="13">
        <f>AI23*VLOOKUP('Données projet'!$B$10,Paramètres!$A$1:$I$89,3,0)*VLOOKUP('Données projet'!$B$10,Paramètres!$A$1:$I$89,5,0)</f>
        <v>27.456000000000003</v>
      </c>
      <c r="AK23" s="13">
        <f t="shared" si="35"/>
        <v>8.604625104229898</v>
      </c>
      <c r="AL23" s="20">
        <f t="shared" si="4"/>
        <v>62.805588723200408</v>
      </c>
      <c r="AM23" s="59">
        <f t="shared" si="5"/>
        <v>343.91669983431154</v>
      </c>
      <c r="AN23" s="59">
        <f ca="1">AVERAGE(OFFSET($AM$3,0,0,'Données projet'!$E$10+1,1))-AVERAGE(OFFSET($H$3,0,0,'Données projet'!$E$10+1,1))</f>
        <v>397.45670821030774</v>
      </c>
      <c r="AO23" s="59">
        <f t="shared" si="36"/>
        <v>256.77417912163997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85</v>
      </c>
      <c r="BB23" s="12">
        <f>VLOOKUP(A23,'Données projet'!$A$87:$I$107,9,0)</f>
        <v>9.6</v>
      </c>
      <c r="BC23" s="12">
        <f t="array" ref="BC23">INDEX(BB:BB,MIN(IF(ISNUMBER(BB23:BB219),ROW(BB23:BB219),"")))</f>
        <v>9.6</v>
      </c>
      <c r="BD23" s="12">
        <f>IF('Données projet'!$A$88&gt;35,BD22+BC23-BL22,IF(A23&lt;'Données projet'!$A$88,$BA$205^A23,IF(A23='Données projet'!$A$88,'Données projet'!$B$88,BD22+BC23-BL22)))</f>
        <v>84.999999999999986</v>
      </c>
      <c r="BE23" s="13">
        <f>BD23*VLOOKUP('Données projet'!$B$11,Paramètres!$A$1:$I$89,3,0)*VLOOKUP('Données projet'!$B$11,Paramètres!$A$1:$I$89,5,0)</f>
        <v>66.3</v>
      </c>
      <c r="BF23" s="13">
        <f t="shared" si="37"/>
        <v>18.751733344032118</v>
      </c>
      <c r="BG23" s="20">
        <f t="shared" si="7"/>
        <v>148.13176890752257</v>
      </c>
      <c r="BH23" s="59">
        <f t="shared" si="8"/>
        <v>429.24288001863374</v>
      </c>
      <c r="BI23" s="59">
        <f ca="1">AVERAGE(OFFSET($BH$3,0,0,'Données projet'!$E$11+1,1))-AVERAGE(OFFSET($H$3,0,0,'Données projet'!$E$11+1,1))</f>
        <v>293.20194140252903</v>
      </c>
      <c r="BJ23" s="59">
        <f t="shared" si="38"/>
        <v>280.69048279989266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25</v>
      </c>
      <c r="BM23" s="16">
        <f>IF(ISNA(VLOOKUP(A23,'Données projet'!$A$87:$I$107,5,0)),0%,VLOOKUP(A23,'Données projet'!$A$87:$I$107,5,0)*VLOOKUP('Données projet'!$B$11,Paramètres!$A$1:$I$89,7,0))</f>
        <v>8.6000000000000007E-2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1.8538738264767576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1.8538738264767576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80</v>
      </c>
      <c r="BW23" s="12">
        <f>VLOOKUP(A23,'Données projet'!$A$113:$I$133,9,0)</f>
        <v>11.6</v>
      </c>
      <c r="BX23" s="12">
        <f t="array" ref="BX23">INDEX(BW:BW,MIN(IF(ISNUMBER(BW23:BW219),ROW(BW23:BW219),"")))</f>
        <v>11.6</v>
      </c>
      <c r="BY23" s="12">
        <f>IF('Données projet'!$A$114&gt;35,BY22+BX23-CG22,IF(A23&lt;'Données projet'!$A$114,$BV$205^A23,IF(A23='Données projet'!$A$114,'Données projet'!$B$114,BY22+BX23-CG22)))</f>
        <v>80</v>
      </c>
      <c r="BZ23" s="13">
        <f>BY23*VLOOKUP('Données projet'!$B$12,Paramètres!$A$1:$I$89,3,0)*VLOOKUP('Données projet'!$B$12,Paramètres!$A$1:$I$89,5,0)</f>
        <v>63.647999999999996</v>
      </c>
      <c r="CA23" s="13">
        <f t="shared" si="39"/>
        <v>18.087405707268363</v>
      </c>
      <c r="CB23" s="20">
        <f t="shared" si="10"/>
        <v>142.35583160682572</v>
      </c>
      <c r="CC23" s="59">
        <f t="shared" si="11"/>
        <v>423.46694271793683</v>
      </c>
      <c r="CD23" s="59">
        <f ca="1">AVERAGE(OFFSET($CC$3,0,0,'Données projet'!$E$12+1,1))-AVERAGE(OFFSET($H$3,0,0,'Données projet'!$E$12+1,1))</f>
        <v>271.25628946149067</v>
      </c>
      <c r="CE23" s="59">
        <f t="shared" si="40"/>
        <v>292.57799203101769</v>
      </c>
      <c r="CF23" s="15">
        <f>IF(ISNA(VLOOKUP(A23,'Données projet'!$A$113:$I$133,3,0)),0,VLOOKUP(A23,'Données projet'!$A$113:$I$133,3,0))</f>
        <v>2</v>
      </c>
      <c r="CG23" s="15">
        <f>IF(ISNA(VLOOKUP(A23,'Données projet'!$A$113:$I$133,4,0)),0,VLOOKUP(A23,'Données projet'!$A$113:$I$133,4,0))</f>
        <v>28</v>
      </c>
      <c r="CH23" s="16">
        <f>IF(ISNA(VLOOKUP(A23,'Données projet'!$A$113:$I$133,5,0)),0%,VLOOKUP(A23,'Données projet'!$A$113:$I$133,5,0)*VLOOKUP('Données projet'!$B$12,Paramètres!$A$1:$I$89,7,0))</f>
        <v>0.10600000000000001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2.6103923103826401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2.6103923103826401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138</v>
      </c>
      <c r="CR23" s="12">
        <f>VLOOKUP(A23,'Données projet'!$A$139:$I$159,9,0)</f>
        <v>15.8</v>
      </c>
      <c r="CS23" s="12">
        <f t="array" ref="CS23">INDEX(CR:CR,MIN(IF(ISNUMBER(CR23:CR219),ROW(CR23:CR219),"")))</f>
        <v>15.8</v>
      </c>
      <c r="CT23" s="12">
        <f>IF('Données projet'!$A$140&gt;35,CT22+CS23-DB22,IF(A23&lt;'Données projet'!$A$140,$CQ$205^A23,IF(A23='Données projet'!$A$140,'Données projet'!$B$140,CT22+CS23-DB22)))</f>
        <v>138</v>
      </c>
      <c r="CU23" s="17">
        <f>CT23*VLOOKUP('Données projet'!$B$13,Paramètres!$A$1:$I$89,3,0)*VLOOKUP('Données projet'!$B$13,Paramètres!$A$1:$I$89,5,0)</f>
        <v>75.347999999999999</v>
      </c>
      <c r="CV23" s="13">
        <f t="shared" si="41"/>
        <v>20.99581051771704</v>
      </c>
      <c r="CW23" s="20">
        <f t="shared" si="13"/>
        <v>167.79880331835713</v>
      </c>
      <c r="CX23" s="59">
        <f t="shared" si="14"/>
        <v>448.90991442946824</v>
      </c>
      <c r="CY23" s="59">
        <f ca="1">AVERAGE(OFFSET($CX$3,0,0,'Données projet'!$E$13+1,1))-AVERAGE(OFFSET($H$3,0,0,'Données projet'!$E$13+1,1))</f>
        <v>210.03861149060413</v>
      </c>
      <c r="CZ23" s="59">
        <f t="shared" si="42"/>
        <v>298.74602928001929</v>
      </c>
      <c r="DA23" s="15">
        <f>IF(ISNA(VLOOKUP(A23,'Données projet'!$A$139:$I$159,3,0)),0,VLOOKUP(A23,'Données projet'!$A$139:$I$159,3,0))</f>
        <v>3</v>
      </c>
      <c r="DB23" s="15">
        <f>IF(ISNA(VLOOKUP(A23,'Données projet'!$A$139:$I$159,4,0)),0,VLOOKUP(A23,'Données projet'!$A$139:$I$159,4,0))</f>
        <v>42</v>
      </c>
      <c r="DC23" s="16">
        <f>IF(ISNA(VLOOKUP(A23,'Données projet'!$A$139:$I$159,5,0)),0%,VLOOKUP(A23,'Données projet'!$A$139:$I$159,5,0)*VLOOKUP('Données projet'!$B$13,Paramètres!$A$1:$I$89,7,0))</f>
        <v>0.12</v>
      </c>
      <c r="DD23" s="16">
        <f>IF(ISNA(VLOOKUP(A23,'Données projet'!$A$139:$I$159,6,0)),0%,VLOOKUP(A23,'Données projet'!$A$139:$I$159,6,0)*VLOOKUP('Données projet'!$B$13,Paramètres!$A$1:$I$89,7,0))</f>
        <v>0.27</v>
      </c>
      <c r="DE23" s="16">
        <f>IF(ISNA(VLOOKUP(A23,'Données projet'!$A$139:$I$159,7,0)),0%,VLOOKUP(A23,'Données projet'!$A$139:$I$159,7,0))</f>
        <v>0.35</v>
      </c>
      <c r="DF23" s="21">
        <f>EXP(-LN(2)/35)*DF22+(1-EXP(-LN(2)/35))/(LN(2)/35)*DB23*DC23*VLOOKUP('Données projet'!$B$13,Paramètres!$A$1:$I$89,3,0)*0.475*44/12</f>
        <v>6.720664145014041</v>
      </c>
      <c r="DG23" s="21">
        <f>EXP(-LN(2)/25)*DG22+(1-EXP(-LN(2)/25))/(LN(2)/25)*Calculateur!DB23*Calculateur!DD23*VLOOKUP('Données projet'!$B$13,Paramètres!$A$1:$I$89,3,0)*0.475*44/12</f>
        <v>14.794748955219278</v>
      </c>
      <c r="DH23" s="21">
        <f>EXP(-LN(2)/2)*DH22+(1-EXP(-LN(2)/2))/(LN(2)/2)*DB23*DE23*VLOOKUP('Données projet'!$B$13,Paramètres!$A$1:$I$89,3,0)*0.475*44/12</f>
        <v>10.57923782282324</v>
      </c>
      <c r="DI23" s="22">
        <f t="shared" si="15"/>
        <v>32.094650923056555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19.68</v>
      </c>
      <c r="DO23" s="12">
        <f>IF('Données projet'!$A$166&gt;35,DO22+DN23-DW22,IF(A23&lt;'Données projet'!$A$166,$DL$205^A23,IF(A23='Données projet'!$A$166,'Données projet'!$B$166,DO22+DN23-DW22)))</f>
        <v>101.2</v>
      </c>
      <c r="DP23" s="17">
        <f>DO23*VLOOKUP('Données projet'!$B$14,Paramètres!$A$1:$I$89,3,0)*VLOOKUP('Données projet'!$B$14,Paramètres!$A$1:$I$89,5,0)</f>
        <v>60.517600000000009</v>
      </c>
      <c r="DQ23" s="13">
        <f t="shared" si="43"/>
        <v>17.299069038249009</v>
      </c>
      <c r="DR23" s="20">
        <f t="shared" si="16"/>
        <v>135.53069857495038</v>
      </c>
      <c r="DS23" s="59">
        <f t="shared" si="17"/>
        <v>416.64180968606149</v>
      </c>
      <c r="DT23" s="59">
        <f ca="1">AVERAGE(OFFSET($DS$3,0,0,'Données projet'!$E$14+1,1))-AVERAGE(OFFSET($H$3,0,0,'Données projet'!$E$14+1,1))</f>
        <v>402.28353929315114</v>
      </c>
      <c r="DU23" s="59">
        <f t="shared" si="44"/>
        <v>376.94419168335463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8.9671929405085926</v>
      </c>
      <c r="EC23" s="21">
        <f>EXP(-LN(2)/2)*EC22+(1-EXP(-LN(2)/2))/(LN(2)/2)*DW23*DZ23*VLOOKUP('Données projet'!$B$14,Paramètres!$A$1:$I$89,3,0)*0.475*44/12</f>
        <v>9.7533855659320423</v>
      </c>
      <c r="ED23" s="22">
        <f t="shared" si="18"/>
        <v>18.720578506440635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>
        <f>VLOOKUP(A23,'Données projet'!$A$191:$I$211,2,0)</f>
        <v>140</v>
      </c>
      <c r="EH23" s="12">
        <f>VLOOKUP(A23,'Données projet'!$A$191:$I$211,9,0)</f>
        <v>7</v>
      </c>
      <c r="EI23" s="12">
        <f t="array" ref="EI23">INDEX(EH:EH,MIN(IF(ISNUMBER(EH23:EH219),ROW(EH23:EH219),"")))</f>
        <v>7</v>
      </c>
      <c r="EJ23" s="12">
        <f>IF('Données projet'!$A$192&gt;35,EJ22+EI23-ER22,IF(A23&lt;'Données projet'!$A$192,$EG$205^A23,IF(A23='Données projet'!$A$192,'Données projet'!$B$192,EJ22+EI23-ER22)))</f>
        <v>140</v>
      </c>
      <c r="EK23" s="17">
        <f>EJ23*VLOOKUP('Données projet'!$B$15,Paramètres!$A$1:$I$89,3,0)*VLOOKUP('Données projet'!$B$15,Paramètres!$A$1:$I$89,5,0)</f>
        <v>65.52</v>
      </c>
      <c r="EL23" s="13">
        <f t="shared" si="45"/>
        <v>18.556669503136725</v>
      </c>
      <c r="EM23" s="20">
        <f t="shared" si="19"/>
        <v>146.43353271796309</v>
      </c>
      <c r="EN23" s="59">
        <f t="shared" si="20"/>
        <v>427.54464382907423</v>
      </c>
      <c r="EO23" s="59">
        <f ca="1">AVERAGE(OFFSET($EN$3,0,0,'Données projet'!$E$15+1,1))-AVERAGE(OFFSET($H$3,0,0,'Données projet'!$E$15+1,1))</f>
        <v>273.3012268683454</v>
      </c>
      <c r="EP23" s="59">
        <f t="shared" si="46"/>
        <v>254.08208375594052</v>
      </c>
      <c r="EQ23" s="15">
        <f>IF(ISNA(VLOOKUP(A23,'Données projet'!$A$191:$I$211,3,0)),0,VLOOKUP(A23,'Données projet'!$A$191:$I$211,3,0))</f>
        <v>1</v>
      </c>
      <c r="ER23" s="15">
        <f>IF(ISNA(VLOOKUP(A23,'Données projet'!$A$191:$I$211,4,0)),0,VLOOKUP(A23,'Données projet'!$A$191:$I$211,4,0))</f>
        <v>40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0.30800000000000005</v>
      </c>
      <c r="EU23" s="16">
        <f>IF(ISNA(VLOOKUP(A23,'Données projet'!$A$191:$I$211,7,0)),0%,VLOOKUP(A23,'Données projet'!$A$191:$I$211,7,0))</f>
        <v>0.44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7.6185366162250032</v>
      </c>
      <c r="EX23" s="21">
        <f>EXP(-LN(2)/2)*EX22+(1-EXP(-LN(2)/2))/(LN(2)/2)*ER23*EU23*VLOOKUP('Données projet'!$B$15,Paramètres!$A$1:$I$89,3,0)*0.475*44/12</f>
        <v>9.3259709882659934</v>
      </c>
      <c r="EY23" s="22">
        <f t="shared" si="21"/>
        <v>16.944507604490997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7.2</v>
      </c>
      <c r="N24" s="13">
        <f>IF('Données projet'!$A$36&gt;35,N23+M24-V23,IF(A24&lt;'Données projet'!$A$36,$K$205^A24,IF(A24='Données projet'!$A$36,'Données projet'!$B$36,N23+M24-V23)))</f>
        <v>80.2</v>
      </c>
      <c r="O24" s="13">
        <f>N24*VLOOKUP('Données projet'!$B$9,Paramètres!$A$1:$I$89,3,0)*VLOOKUP('Données projet'!$B$9,Paramètres!$A$1:$I$89,5,0)</f>
        <v>72.564959999999999</v>
      </c>
      <c r="P24" s="13">
        <f t="shared" si="33"/>
        <v>20.30908732150932</v>
      </c>
      <c r="Q24" s="20">
        <f t="shared" si="2"/>
        <v>161.75563241829539</v>
      </c>
      <c r="R24" s="59">
        <f t="shared" si="0"/>
        <v>444.08896575162873</v>
      </c>
      <c r="S24" s="59">
        <f ca="1">AVERAGE(OFFSET($R$3,0,0,'Données projet'!$E$9+1,1))-AVERAGE(OFFSET($H$3,0,0,'Données projet'!$E$9+1,1))</f>
        <v>453.52760163325451</v>
      </c>
      <c r="T24" s="59">
        <f t="shared" si="34"/>
        <v>344.23959526427001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8.8000000000000007</v>
      </c>
      <c r="AI24" s="13">
        <f>IF('Données projet'!$A$62&gt;35,AI23+AH24-AQ23,IF(A24&lt;'Données projet'!$A$62,$AF$205^A24,IF(A24='Données projet'!$A$62,'Données projet'!$B$62,AI23+AH24-AQ23)))</f>
        <v>40.799999999999997</v>
      </c>
      <c r="AJ24" s="13">
        <f>AI24*VLOOKUP('Données projet'!$B$10,Paramètres!$A$1:$I$89,3,0)*VLOOKUP('Données projet'!$B$10,Paramètres!$A$1:$I$89,5,0)</f>
        <v>35.006400000000006</v>
      </c>
      <c r="AK24" s="13">
        <f t="shared" si="35"/>
        <v>10.664997365847841</v>
      </c>
      <c r="AL24" s="20">
        <f t="shared" si="4"/>
        <v>79.544350412184983</v>
      </c>
      <c r="AM24" s="59">
        <f t="shared" si="5"/>
        <v>361.87768374551831</v>
      </c>
      <c r="AN24" s="59">
        <f ca="1">AVERAGE(OFFSET($AM$3,0,0,'Données projet'!$E$10+1,1))-AVERAGE(OFFSET($H$3,0,0,'Données projet'!$E$10+1,1))</f>
        <v>397.45670821030774</v>
      </c>
      <c r="AO24" s="59">
        <f t="shared" si="36"/>
        <v>256.77417912163997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10.6</v>
      </c>
      <c r="BD24" s="12">
        <f>IF('Données projet'!$A$88&gt;35,BD23+BC24-BL23,IF(A24&lt;'Données projet'!$A$88,$BA$205^A24,IF(A24='Données projet'!$A$88,'Données projet'!$B$88,BD23+BC24-BL23)))</f>
        <v>70.59999999999998</v>
      </c>
      <c r="BE24" s="13">
        <f>BD24*VLOOKUP('Données projet'!$B$11,Paramètres!$A$1:$I$89,3,0)*VLOOKUP('Données projet'!$B$11,Paramètres!$A$1:$I$89,5,0)</f>
        <v>55.067999999999984</v>
      </c>
      <c r="BF24" s="13">
        <f t="shared" si="37"/>
        <v>15.915148294580479</v>
      </c>
      <c r="BG24" s="20">
        <f t="shared" si="7"/>
        <v>123.62898327972762</v>
      </c>
      <c r="BH24" s="59">
        <f t="shared" si="8"/>
        <v>405.96231661306092</v>
      </c>
      <c r="BI24" s="59">
        <f ca="1">AVERAGE(OFFSET($BH$3,0,0,'Données projet'!$E$11+1,1))-AVERAGE(OFFSET($H$3,0,0,'Données projet'!$E$11+1,1))</f>
        <v>293.20194140252903</v>
      </c>
      <c r="BJ24" s="59">
        <f t="shared" si="38"/>
        <v>280.69048279989266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1.81752049149093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1.81752049149093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12.6</v>
      </c>
      <c r="BY24" s="12">
        <f>IF('Données projet'!$A$114&gt;35,BY23+BX24-CG23,IF(A24&lt;'Données projet'!$A$114,$BV$205^A24,IF(A24='Données projet'!$A$114,'Données projet'!$B$114,BY23+BX24-CG23)))</f>
        <v>64.599999999999994</v>
      </c>
      <c r="BZ24" s="13">
        <f>BY24*VLOOKUP('Données projet'!$B$12,Paramètres!$A$1:$I$89,3,0)*VLOOKUP('Données projet'!$B$12,Paramètres!$A$1:$I$89,5,0)</f>
        <v>51.395759999999996</v>
      </c>
      <c r="CA24" s="13">
        <f t="shared" si="39"/>
        <v>14.973641136922506</v>
      </c>
      <c r="CB24" s="20">
        <f t="shared" si="10"/>
        <v>115.59337364680668</v>
      </c>
      <c r="CC24" s="59">
        <f t="shared" si="11"/>
        <v>397.92670698014001</v>
      </c>
      <c r="CD24" s="59">
        <f ca="1">AVERAGE(OFFSET($CC$3,0,0,'Données projet'!$E$12+1,1))-AVERAGE(OFFSET($H$3,0,0,'Données projet'!$E$12+1,1))</f>
        <v>271.25628946149067</v>
      </c>
      <c r="CE24" s="59">
        <f t="shared" si="40"/>
        <v>292.57799203101769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2.5592041093581308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2.5592041093581308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16.8</v>
      </c>
      <c r="CT24" s="12">
        <f>IF('Données projet'!$A$140&gt;35,CT23+CS24-DB23,IF(A24&lt;'Données projet'!$A$140,$CQ$205^A24,IF(A24='Données projet'!$A$140,'Données projet'!$B$140,CT23+CS24-DB23)))</f>
        <v>112.80000000000001</v>
      </c>
      <c r="CU24" s="17">
        <f>CT24*VLOOKUP('Données projet'!$B$13,Paramètres!$A$1:$I$89,3,0)*VLOOKUP('Données projet'!$B$13,Paramètres!$A$1:$I$89,5,0)</f>
        <v>61.588800000000006</v>
      </c>
      <c r="CV24" s="13">
        <f t="shared" si="41"/>
        <v>17.56935444538782</v>
      </c>
      <c r="CW24" s="20">
        <f t="shared" si="13"/>
        <v>137.86711899238378</v>
      </c>
      <c r="CX24" s="59">
        <f t="shared" si="14"/>
        <v>420.20045232571709</v>
      </c>
      <c r="CY24" s="59">
        <f ca="1">AVERAGE(OFFSET($CX$3,0,0,'Données projet'!$E$13+1,1))-AVERAGE(OFFSET($H$3,0,0,'Données projet'!$E$13+1,1))</f>
        <v>210.03861149060413</v>
      </c>
      <c r="CZ24" s="59">
        <f t="shared" si="42"/>
        <v>298.74602928001929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6.588876020330682</v>
      </c>
      <c r="DG24" s="21">
        <f>EXP(-LN(2)/25)*DG23+(1-EXP(-LN(2)/25))/(LN(2)/25)*Calculateur!DB24*Calculateur!DD24*VLOOKUP('Données projet'!$B$13,Paramètres!$A$1:$I$89,3,0)*0.475*44/12</f>
        <v>14.390185767016773</v>
      </c>
      <c r="DH24" s="21">
        <f>EXP(-LN(2)/2)*DH23+(1-EXP(-LN(2)/2))/(LN(2)/2)*DB24*DE24*VLOOKUP('Données projet'!$B$13,Paramètres!$A$1:$I$89,3,0)*0.475*44/12</f>
        <v>7.4806508043035205</v>
      </c>
      <c r="DI24" s="22">
        <f t="shared" si="15"/>
        <v>28.459712591650977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19.68</v>
      </c>
      <c r="DO24" s="12">
        <f>IF('Données projet'!$A$166&gt;35,DO23+DN24-DW23,IF(A24&lt;'Données projet'!$A$166,$DL$205^A24,IF(A24='Données projet'!$A$166,'Données projet'!$B$166,DO23+DN24-DW23)))</f>
        <v>120.88</v>
      </c>
      <c r="DP24" s="17">
        <f>DO24*VLOOKUP('Données projet'!$B$14,Paramètres!$A$1:$I$89,3,0)*VLOOKUP('Données projet'!$B$14,Paramètres!$A$1:$I$89,5,0)</f>
        <v>72.286239999999992</v>
      </c>
      <c r="DQ24" s="13">
        <f t="shared" si="43"/>
        <v>20.240145222851208</v>
      </c>
      <c r="DR24" s="20">
        <f t="shared" si="16"/>
        <v>161.15012092979916</v>
      </c>
      <c r="DS24" s="59">
        <f t="shared" si="17"/>
        <v>443.48345426313244</v>
      </c>
      <c r="DT24" s="59">
        <f ca="1">AVERAGE(OFFSET($DS$3,0,0,'Données projet'!$E$14+1,1))-AVERAGE(OFFSET($H$3,0,0,'Données projet'!$E$14+1,1))</f>
        <v>402.28353929315114</v>
      </c>
      <c r="DU24" s="59">
        <f t="shared" si="44"/>
        <v>376.94419168335463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8.7219845779862037</v>
      </c>
      <c r="EC24" s="21">
        <f>EXP(-LN(2)/2)*EC23+(1-EXP(-LN(2)/2))/(LN(2)/2)*DW24*DZ24*VLOOKUP('Données projet'!$B$14,Paramètres!$A$1:$I$89,3,0)*0.475*44/12</f>
        <v>6.8966850731975402</v>
      </c>
      <c r="ED24" s="22">
        <f t="shared" si="18"/>
        <v>15.618669651183744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11</v>
      </c>
      <c r="EJ24" s="12">
        <f>IF('Données projet'!$A$192&gt;35,EJ23+EI24-ER23,IF(A24&lt;'Données projet'!$A$192,$EG$205^A24,IF(A24='Données projet'!$A$192,'Données projet'!$B$192,EJ23+EI24-ER23)))</f>
        <v>111</v>
      </c>
      <c r="EK24" s="17">
        <f>EJ24*VLOOKUP('Données projet'!$B$15,Paramètres!$A$1:$I$89,3,0)*VLOOKUP('Données projet'!$B$15,Paramètres!$A$1:$I$89,5,0)</f>
        <v>51.948</v>
      </c>
      <c r="EL24" s="13">
        <f t="shared" si="45"/>
        <v>15.115714645211892</v>
      </c>
      <c r="EM24" s="20">
        <f t="shared" si="19"/>
        <v>116.8026363404107</v>
      </c>
      <c r="EN24" s="59">
        <f t="shared" si="20"/>
        <v>399.135969673744</v>
      </c>
      <c r="EO24" s="59">
        <f ca="1">AVERAGE(OFFSET($EN$3,0,0,'Données projet'!$E$15+1,1))-AVERAGE(OFFSET($H$3,0,0,'Données projet'!$E$15+1,1))</f>
        <v>273.3012268683454</v>
      </c>
      <c r="EP24" s="59">
        <f t="shared" si="46"/>
        <v>254.08208375594052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7.4102073318129023</v>
      </c>
      <c r="EX24" s="21">
        <f>EXP(-LN(2)/2)*EX23+(1-EXP(-LN(2)/2))/(LN(2)/2)*ER24*EU24*VLOOKUP('Données projet'!$B$15,Paramètres!$A$1:$I$89,3,0)*0.475*44/12</f>
        <v>6.5944573269518925</v>
      </c>
      <c r="EY24" s="22">
        <f t="shared" si="21"/>
        <v>14.004664658764796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7.2</v>
      </c>
      <c r="N25" s="13">
        <f>IF('Données projet'!$A$36&gt;35,N24+M25-V24,IF(A25&lt;'Données projet'!$A$36,$K$205^A25,IF(A25='Données projet'!$A$36,'Données projet'!$B$36,N24+M25-V24)))</f>
        <v>87.4</v>
      </c>
      <c r="O25" s="13">
        <f>N25*VLOOKUP('Données projet'!$B$9,Paramètres!$A$1:$I$89,3,0)*VLOOKUP('Données projet'!$B$9,Paramètres!$A$1:$I$89,5,0)</f>
        <v>79.079520000000002</v>
      </c>
      <c r="P25" s="13">
        <f t="shared" si="33"/>
        <v>21.911970621402002</v>
      </c>
      <c r="Q25" s="20">
        <f t="shared" si="2"/>
        <v>175.89351283227515</v>
      </c>
      <c r="R25" s="59">
        <f t="shared" si="0"/>
        <v>459.44906838783072</v>
      </c>
      <c r="S25" s="59">
        <f ca="1">AVERAGE(OFFSET($R$3,0,0,'Données projet'!$E$9+1,1))-AVERAGE(OFFSET($H$3,0,0,'Données projet'!$E$9+1,1))</f>
        <v>453.52760163325451</v>
      </c>
      <c r="T25" s="59">
        <f t="shared" si="34"/>
        <v>344.23959526427001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8.8000000000000007</v>
      </c>
      <c r="AI25" s="13">
        <f>IF('Données projet'!$A$62&gt;35,AI24+AH25-AQ24,IF(A25&lt;'Données projet'!$A$62,$AF$205^A25,IF(A25='Données projet'!$A$62,'Données projet'!$B$62,AI24+AH25-AQ24)))</f>
        <v>49.599999999999994</v>
      </c>
      <c r="AJ25" s="13">
        <f>AI25*VLOOKUP('Données projet'!$B$10,Paramètres!$A$1:$I$89,3,0)*VLOOKUP('Données projet'!$B$10,Paramètres!$A$1:$I$89,5,0)</f>
        <v>42.556799999999996</v>
      </c>
      <c r="AK25" s="13">
        <f t="shared" si="35"/>
        <v>12.673863978067095</v>
      </c>
      <c r="AL25" s="20">
        <f t="shared" si="4"/>
        <v>96.193406428466844</v>
      </c>
      <c r="AM25" s="59">
        <f t="shared" si="5"/>
        <v>379.7489619840224</v>
      </c>
      <c r="AN25" s="59">
        <f ca="1">AVERAGE(OFFSET($AM$3,0,0,'Données projet'!$E$10+1,1))-AVERAGE(OFFSET($H$3,0,0,'Données projet'!$E$10+1,1))</f>
        <v>397.45670821030774</v>
      </c>
      <c r="AO25" s="59">
        <f t="shared" si="36"/>
        <v>256.77417912163997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10.6</v>
      </c>
      <c r="BD25" s="12">
        <f>IF('Données projet'!$A$88&gt;35,BD24+BC25-BL24,IF(A25&lt;'Données projet'!$A$88,$BA$205^A25,IF(A25='Données projet'!$A$88,'Données projet'!$B$88,BD24+BC25-BL24)))</f>
        <v>81.199999999999974</v>
      </c>
      <c r="BE25" s="13">
        <f>BD25*VLOOKUP('Données projet'!$B$11,Paramètres!$A$1:$I$89,3,0)*VLOOKUP('Données projet'!$B$11,Paramètres!$A$1:$I$89,5,0)</f>
        <v>63.335999999999984</v>
      </c>
      <c r="BF25" s="13">
        <f t="shared" si="37"/>
        <v>18.009040022946227</v>
      </c>
      <c r="BG25" s="20">
        <f t="shared" si="7"/>
        <v>141.67594470663133</v>
      </c>
      <c r="BH25" s="59">
        <f t="shared" si="8"/>
        <v>425.23150026218684</v>
      </c>
      <c r="BI25" s="59">
        <f ca="1">AVERAGE(OFFSET($BH$3,0,0,'Données projet'!$E$11+1,1))-AVERAGE(OFFSET($H$3,0,0,'Données projet'!$E$11+1,1))</f>
        <v>293.20194140252903</v>
      </c>
      <c r="BJ25" s="59">
        <f t="shared" si="38"/>
        <v>280.69048279989266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1.7818800232308296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1.7818800232308296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12.6</v>
      </c>
      <c r="BY25" s="12">
        <f>IF('Données projet'!$A$114&gt;35,BY24+BX25-CG24,IF(A25&lt;'Données projet'!$A$114,$BV$205^A25,IF(A25='Données projet'!$A$114,'Données projet'!$B$114,BY24+BX25-CG24)))</f>
        <v>77.199999999999989</v>
      </c>
      <c r="BZ25" s="13">
        <f>BY25*VLOOKUP('Données projet'!$B$12,Paramètres!$A$1:$I$89,3,0)*VLOOKUP('Données projet'!$B$12,Paramètres!$A$1:$I$89,5,0)</f>
        <v>61.42031999999999</v>
      </c>
      <c r="CA25" s="13">
        <f t="shared" si="39"/>
        <v>17.526880037631354</v>
      </c>
      <c r="CB25" s="20">
        <f t="shared" si="10"/>
        <v>137.4997067322079</v>
      </c>
      <c r="CC25" s="59">
        <f t="shared" si="11"/>
        <v>421.05526228776341</v>
      </c>
      <c r="CD25" s="59">
        <f ca="1">AVERAGE(OFFSET($CC$3,0,0,'Données projet'!$E$12+1,1))-AVERAGE(OFFSET($H$3,0,0,'Données projet'!$E$12+1,1))</f>
        <v>271.25628946149067</v>
      </c>
      <c r="CE25" s="59">
        <f t="shared" si="40"/>
        <v>292.57799203101769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2.5090196777339924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2.5090196777339924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16.8</v>
      </c>
      <c r="CT25" s="12">
        <f>IF('Données projet'!$A$140&gt;35,CT24+CS25-DB24,IF(A25&lt;'Données projet'!$A$140,$CQ$205^A25,IF(A25='Données projet'!$A$140,'Données projet'!$B$140,CT24+CS25-DB24)))</f>
        <v>129.60000000000002</v>
      </c>
      <c r="CU25" s="17">
        <f>CT25*VLOOKUP('Données projet'!$B$13,Paramètres!$A$1:$I$89,3,0)*VLOOKUP('Données projet'!$B$13,Paramètres!$A$1:$I$89,5,0)</f>
        <v>70.761600000000016</v>
      </c>
      <c r="CV25" s="13">
        <f t="shared" si="41"/>
        <v>19.862470414169767</v>
      </c>
      <c r="CW25" s="20">
        <f t="shared" si="13"/>
        <v>157.83692263801237</v>
      </c>
      <c r="CX25" s="59">
        <f t="shared" si="14"/>
        <v>441.39247819356791</v>
      </c>
      <c r="CY25" s="59">
        <f ca="1">AVERAGE(OFFSET($CX$3,0,0,'Données projet'!$E$13+1,1))-AVERAGE(OFFSET($H$3,0,0,'Données projet'!$E$13+1,1))</f>
        <v>210.03861149060413</v>
      </c>
      <c r="CZ25" s="59">
        <f t="shared" si="42"/>
        <v>298.74602928001929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6.4596721803895445</v>
      </c>
      <c r="DG25" s="21">
        <f>EXP(-LN(2)/25)*DG24+(1-EXP(-LN(2)/25))/(LN(2)/25)*Calculateur!DB25*Calculateur!DD25*VLOOKUP('Données projet'!$B$13,Paramètres!$A$1:$I$89,3,0)*0.475*44/12</f>
        <v>13.996685380470719</v>
      </c>
      <c r="DH25" s="21">
        <f>EXP(-LN(2)/2)*DH24+(1-EXP(-LN(2)/2))/(LN(2)/2)*DB25*DE25*VLOOKUP('Données projet'!$B$13,Paramètres!$A$1:$I$89,3,0)*0.475*44/12</f>
        <v>5.2896189114116208</v>
      </c>
      <c r="DI25" s="22">
        <f t="shared" si="15"/>
        <v>25.745976472271884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19.68</v>
      </c>
      <c r="DO25" s="12">
        <f>IF('Données projet'!$A$166&gt;35,DO24+DN25-DW24,IF(A25&lt;'Données projet'!$A$166,$DL$205^A25,IF(A25='Données projet'!$A$166,'Données projet'!$B$166,DO24+DN25-DW24)))</f>
        <v>140.56</v>
      </c>
      <c r="DP25" s="17">
        <f>DO25*VLOOKUP('Données projet'!$B$14,Paramètres!$A$1:$I$89,3,0)*VLOOKUP('Données projet'!$B$14,Paramètres!$A$1:$I$89,5,0)</f>
        <v>84.054880000000011</v>
      </c>
      <c r="DQ25" s="13">
        <f t="shared" si="43"/>
        <v>23.12575242793806</v>
      </c>
      <c r="DR25" s="20">
        <f t="shared" si="16"/>
        <v>186.67293481199212</v>
      </c>
      <c r="DS25" s="59">
        <f t="shared" si="17"/>
        <v>470.22849036754769</v>
      </c>
      <c r="DT25" s="59">
        <f ca="1">AVERAGE(OFFSET($DS$3,0,0,'Données projet'!$E$14+1,1))-AVERAGE(OFFSET($H$3,0,0,'Données projet'!$E$14+1,1))</f>
        <v>402.28353929315114</v>
      </c>
      <c r="DU25" s="59">
        <f t="shared" si="44"/>
        <v>376.94419168335463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8.4834814510319365</v>
      </c>
      <c r="EC25" s="21">
        <f>EXP(-LN(2)/2)*EC24+(1-EXP(-LN(2)/2))/(LN(2)/2)*DW25*DZ25*VLOOKUP('Données projet'!$B$14,Paramètres!$A$1:$I$89,3,0)*0.475*44/12</f>
        <v>4.876692782966022</v>
      </c>
      <c r="ED25" s="22">
        <f t="shared" si="18"/>
        <v>13.360174233997959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11</v>
      </c>
      <c r="EJ25" s="12">
        <f>IF('Données projet'!$A$192&gt;35,EJ24+EI25-ER24,IF(A25&lt;'Données projet'!$A$192,$EG$205^A25,IF(A25='Données projet'!$A$192,'Données projet'!$B$192,EJ24+EI25-ER24)))</f>
        <v>122</v>
      </c>
      <c r="EK25" s="17">
        <f>EJ25*VLOOKUP('Données projet'!$B$15,Paramètres!$A$1:$I$89,3,0)*VLOOKUP('Données projet'!$B$15,Paramètres!$A$1:$I$89,5,0)</f>
        <v>57.096000000000004</v>
      </c>
      <c r="EL25" s="13">
        <f t="shared" si="45"/>
        <v>16.431940248498016</v>
      </c>
      <c r="EM25" s="20">
        <f t="shared" si="19"/>
        <v>128.06116259946739</v>
      </c>
      <c r="EN25" s="59">
        <f t="shared" si="20"/>
        <v>411.61671815502291</v>
      </c>
      <c r="EO25" s="59">
        <f ca="1">AVERAGE(OFFSET($EN$3,0,0,'Données projet'!$E$15+1,1))-AVERAGE(OFFSET($H$3,0,0,'Données projet'!$E$15+1,1))</f>
        <v>273.3012268683454</v>
      </c>
      <c r="EP25" s="59">
        <f t="shared" si="46"/>
        <v>254.08208375594052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7.2075748226386107</v>
      </c>
      <c r="EX25" s="21">
        <f>EXP(-LN(2)/2)*EX24+(1-EXP(-LN(2)/2))/(LN(2)/2)*ER25*EU25*VLOOKUP('Données projet'!$B$15,Paramètres!$A$1:$I$89,3,0)*0.475*44/12</f>
        <v>4.6629854941329976</v>
      </c>
      <c r="EY25" s="22">
        <f t="shared" si="21"/>
        <v>11.870560316771609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7.2</v>
      </c>
      <c r="N26" s="13">
        <f>IF('Données projet'!$A$36&gt;35,N25+M26-V25,IF(A26&lt;'Données projet'!$A$36,$K$205^A26,IF(A26='Données projet'!$A$36,'Données projet'!$B$36,N25+M26-V25)))</f>
        <v>94.600000000000009</v>
      </c>
      <c r="O26" s="13">
        <f>N26*VLOOKUP('Données projet'!$B$9,Paramètres!$A$1:$I$89,3,0)*VLOOKUP('Données projet'!$B$9,Paramètres!$A$1:$I$89,5,0)</f>
        <v>85.594080000000005</v>
      </c>
      <c r="P26" s="13">
        <f t="shared" si="33"/>
        <v>23.499539031833248</v>
      </c>
      <c r="Q26" s="20">
        <f t="shared" si="2"/>
        <v>190.00471981377623</v>
      </c>
      <c r="R26" s="59">
        <f t="shared" si="0"/>
        <v>474.78249759155403</v>
      </c>
      <c r="S26" s="59">
        <f ca="1">AVERAGE(OFFSET($R$3,0,0,'Données projet'!$E$9+1,1))-AVERAGE(OFFSET($H$3,0,0,'Données projet'!$E$9+1,1))</f>
        <v>453.52760163325451</v>
      </c>
      <c r="T26" s="59">
        <f t="shared" si="34"/>
        <v>344.23959526427001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8.8000000000000007</v>
      </c>
      <c r="AI26" s="13">
        <f>IF('Données projet'!$A$62&gt;35,AI25+AH26-AQ25,IF(A26&lt;'Données projet'!$A$62,$AF$205^A26,IF(A26='Données projet'!$A$62,'Données projet'!$B$62,AI25+AH26-AQ25)))</f>
        <v>58.399999999999991</v>
      </c>
      <c r="AJ26" s="13">
        <f>AI26*VLOOKUP('Données projet'!$B$10,Paramètres!$A$1:$I$89,3,0)*VLOOKUP('Données projet'!$B$10,Paramètres!$A$1:$I$89,5,0)</f>
        <v>50.107199999999999</v>
      </c>
      <c r="AK26" s="13">
        <f t="shared" si="35"/>
        <v>14.641441079141797</v>
      </c>
      <c r="AL26" s="20">
        <f t="shared" si="4"/>
        <v>112.77054987950528</v>
      </c>
      <c r="AM26" s="59">
        <f t="shared" si="5"/>
        <v>397.54832765728304</v>
      </c>
      <c r="AN26" s="59">
        <f ca="1">AVERAGE(OFFSET($AM$3,0,0,'Données projet'!$E$10+1,1))-AVERAGE(OFFSET($H$3,0,0,'Données projet'!$E$10+1,1))</f>
        <v>397.45670821030774</v>
      </c>
      <c r="AO26" s="59">
        <f t="shared" si="36"/>
        <v>256.77417912163997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10.6</v>
      </c>
      <c r="BD26" s="12">
        <f>IF('Données projet'!$A$88&gt;35,BD25+BC26-BL25,IF(A26&lt;'Données projet'!$A$88,$BA$205^A26,IF(A26='Données projet'!$A$88,'Données projet'!$B$88,BD25+BC26-BL25)))</f>
        <v>91.799999999999969</v>
      </c>
      <c r="BE26" s="13">
        <f>BD26*VLOOKUP('Données projet'!$B$11,Paramètres!$A$1:$I$89,3,0)*VLOOKUP('Données projet'!$B$11,Paramètres!$A$1:$I$89,5,0)</f>
        <v>71.603999999999985</v>
      </c>
      <c r="BF26" s="13">
        <f t="shared" si="37"/>
        <v>20.071260561992585</v>
      </c>
      <c r="BG26" s="20">
        <f t="shared" si="7"/>
        <v>159.66774547880371</v>
      </c>
      <c r="BH26" s="59">
        <f t="shared" si="8"/>
        <v>444.44552325658151</v>
      </c>
      <c r="BI26" s="59">
        <f ca="1">AVERAGE(OFFSET($BH$3,0,0,'Données projet'!$E$11+1,1))-AVERAGE(OFFSET($H$3,0,0,'Données projet'!$E$11+1,1))</f>
        <v>293.20194140252903</v>
      </c>
      <c r="BJ26" s="59">
        <f t="shared" si="38"/>
        <v>280.69048279989266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1.7469384428147707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1.7469384428147707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12.6</v>
      </c>
      <c r="BY26" s="12">
        <f>IF('Données projet'!$A$114&gt;35,BY25+BX26-CG25,IF(A26&lt;'Données projet'!$A$114,$BV$205^A26,IF(A26='Données projet'!$A$114,'Données projet'!$B$114,BY25+BX26-CG25)))</f>
        <v>89.799999999999983</v>
      </c>
      <c r="BZ26" s="13">
        <f>BY26*VLOOKUP('Données projet'!$B$12,Paramètres!$A$1:$I$89,3,0)*VLOOKUP('Données projet'!$B$12,Paramètres!$A$1:$I$89,5,0)</f>
        <v>71.444879999999998</v>
      </c>
      <c r="CA26" s="13">
        <f t="shared" si="39"/>
        <v>20.03184442542841</v>
      </c>
      <c r="CB26" s="20">
        <f t="shared" si="10"/>
        <v>159.32196170762117</v>
      </c>
      <c r="CC26" s="59">
        <f t="shared" si="11"/>
        <v>444.09973948539891</v>
      </c>
      <c r="CD26" s="59">
        <f ca="1">AVERAGE(OFFSET($CC$3,0,0,'Données projet'!$E$12+1,1))-AVERAGE(OFFSET($H$3,0,0,'Données projet'!$E$12+1,1))</f>
        <v>271.25628946149067</v>
      </c>
      <c r="CE26" s="59">
        <f t="shared" si="40"/>
        <v>292.57799203101769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2.4598193322045225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2.4598193322045225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16.8</v>
      </c>
      <c r="CT26" s="12">
        <f>IF('Données projet'!$A$140&gt;35,CT25+CS26-DB25,IF(A26&lt;'Données projet'!$A$140,$CQ$205^A26,IF(A26='Données projet'!$A$140,'Données projet'!$B$140,CT25+CS26-DB25)))</f>
        <v>146.40000000000003</v>
      </c>
      <c r="CU26" s="17">
        <f>CT26*VLOOKUP('Données projet'!$B$13,Paramètres!$A$1:$I$89,3,0)*VLOOKUP('Données projet'!$B$13,Paramètres!$A$1:$I$89,5,0)</f>
        <v>79.934400000000025</v>
      </c>
      <c r="CV26" s="13">
        <f t="shared" si="41"/>
        <v>22.121143821921812</v>
      </c>
      <c r="CW26" s="20">
        <f t="shared" si="13"/>
        <v>177.74673882318052</v>
      </c>
      <c r="CX26" s="59">
        <f t="shared" si="14"/>
        <v>462.52451660095829</v>
      </c>
      <c r="CY26" s="59">
        <f ca="1">AVERAGE(OFFSET($CX$3,0,0,'Données projet'!$E$13+1,1))-AVERAGE(OFFSET($H$3,0,0,'Données projet'!$E$13+1,1))</f>
        <v>210.03861149060413</v>
      </c>
      <c r="CZ26" s="59">
        <f t="shared" si="42"/>
        <v>298.74602928001929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6.3330019489430915</v>
      </c>
      <c r="DG26" s="21">
        <f>EXP(-LN(2)/25)*DG25+(1-EXP(-LN(2)/25))/(LN(2)/25)*Calculateur!DB26*Calculateur!DD26*VLOOKUP('Données projet'!$B$13,Paramètres!$A$1:$I$89,3,0)*0.475*44/12</f>
        <v>13.613945282688054</v>
      </c>
      <c r="DH26" s="21">
        <f>EXP(-LN(2)/2)*DH25+(1-EXP(-LN(2)/2))/(LN(2)/2)*DB26*DE26*VLOOKUP('Données projet'!$B$13,Paramètres!$A$1:$I$89,3,0)*0.475*44/12</f>
        <v>3.7403254021517607</v>
      </c>
      <c r="DI26" s="22">
        <f t="shared" si="15"/>
        <v>23.687272633782907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19.68</v>
      </c>
      <c r="DO26" s="12">
        <f>IF('Données projet'!$A$166&gt;35,DO25+DN26-DW25,IF(A26&lt;'Données projet'!$A$166,$DL$205^A26,IF(A26='Données projet'!$A$166,'Données projet'!$B$166,DO25+DN26-DW25)))</f>
        <v>160.24</v>
      </c>
      <c r="DP26" s="17">
        <f>DO26*VLOOKUP('Données projet'!$B$14,Paramètres!$A$1:$I$89,3,0)*VLOOKUP('Données projet'!$B$14,Paramètres!$A$1:$I$89,5,0)</f>
        <v>95.823520000000016</v>
      </c>
      <c r="DQ26" s="13">
        <f t="shared" si="43"/>
        <v>25.964551808226819</v>
      </c>
      <c r="DR26" s="20">
        <f t="shared" si="16"/>
        <v>212.11422506599504</v>
      </c>
      <c r="DS26" s="59">
        <f t="shared" si="17"/>
        <v>496.89200284377284</v>
      </c>
      <c r="DT26" s="59">
        <f ca="1">AVERAGE(OFFSET($DS$3,0,0,'Données projet'!$E$14+1,1))-AVERAGE(OFFSET($H$3,0,0,'Données projet'!$E$14+1,1))</f>
        <v>402.28353929315114</v>
      </c>
      <c r="DU26" s="59">
        <f t="shared" si="44"/>
        <v>376.94419168335463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8.2515002046265682</v>
      </c>
      <c r="EC26" s="21">
        <f>EXP(-LN(2)/2)*EC25+(1-EXP(-LN(2)/2))/(LN(2)/2)*DW26*DZ26*VLOOKUP('Données projet'!$B$14,Paramètres!$A$1:$I$89,3,0)*0.475*44/12</f>
        <v>3.4483425365987705</v>
      </c>
      <c r="ED26" s="22">
        <f t="shared" si="18"/>
        <v>11.699842741225339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11</v>
      </c>
      <c r="EJ26" s="12">
        <f>IF('Données projet'!$A$192&gt;35,EJ25+EI26-ER25,IF(A26&lt;'Données projet'!$A$192,$EG$205^A26,IF(A26='Données projet'!$A$192,'Données projet'!$B$192,EJ25+EI26-ER25)))</f>
        <v>133</v>
      </c>
      <c r="EK26" s="17">
        <f>EJ26*VLOOKUP('Données projet'!$B$15,Paramètres!$A$1:$I$89,3,0)*VLOOKUP('Données projet'!$B$15,Paramètres!$A$1:$I$89,5,0)</f>
        <v>62.243999999999993</v>
      </c>
      <c r="EL26" s="13">
        <f t="shared" si="45"/>
        <v>17.734404526076432</v>
      </c>
      <c r="EM26" s="20">
        <f t="shared" si="19"/>
        <v>139.29572121624975</v>
      </c>
      <c r="EN26" s="59">
        <f t="shared" si="20"/>
        <v>424.07349899402755</v>
      </c>
      <c r="EO26" s="59">
        <f ca="1">AVERAGE(OFFSET($EN$3,0,0,'Données projet'!$E$15+1,1))-AVERAGE(OFFSET($H$3,0,0,'Données projet'!$E$15+1,1))</f>
        <v>273.3012268683454</v>
      </c>
      <c r="EP26" s="59">
        <f t="shared" si="46"/>
        <v>254.08208375594052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7.0104833100836714</v>
      </c>
      <c r="EX26" s="21">
        <f>EXP(-LN(2)/2)*EX25+(1-EXP(-LN(2)/2))/(LN(2)/2)*ER26*EU26*VLOOKUP('Données projet'!$B$15,Paramètres!$A$1:$I$89,3,0)*0.475*44/12</f>
        <v>3.2972286634759471</v>
      </c>
      <c r="EY26" s="22">
        <f t="shared" si="21"/>
        <v>10.307711973559618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7.2</v>
      </c>
      <c r="N27" s="13">
        <f>IF('Données projet'!$A$36&gt;35,N26+M27-V26,IF(A27&lt;'Données projet'!$A$36,$K$205^A27,IF(A27='Données projet'!$A$36,'Données projet'!$B$36,N26+M27-V26)))</f>
        <v>101.80000000000001</v>
      </c>
      <c r="O27" s="13">
        <f>N27*VLOOKUP('Données projet'!$B$9,Paramètres!$A$1:$I$89,3,0)*VLOOKUP('Données projet'!$B$9,Paramètres!$A$1:$I$89,5,0)</f>
        <v>92.108640000000008</v>
      </c>
      <c r="P27" s="13">
        <f t="shared" si="33"/>
        <v>25.073090701604293</v>
      </c>
      <c r="Q27" s="20">
        <f t="shared" si="2"/>
        <v>204.09151430529414</v>
      </c>
      <c r="R27" s="59">
        <f t="shared" si="0"/>
        <v>490.09151430529414</v>
      </c>
      <c r="S27" s="59">
        <f ca="1">AVERAGE(OFFSET($R$3,0,0,'Données projet'!$E$9+1,1))-AVERAGE(OFFSET($H$3,0,0,'Données projet'!$E$9+1,1))</f>
        <v>453.52760163325451</v>
      </c>
      <c r="T27" s="59">
        <f t="shared" si="34"/>
        <v>344.23959526427001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8.8000000000000007</v>
      </c>
      <c r="AI27" s="13">
        <f>IF('Données projet'!$A$62&gt;35,AI26+AH27-AQ26,IF(A27&lt;'Données projet'!$A$62,$AF$205^A27,IF(A27='Données projet'!$A$62,'Données projet'!$B$62,AI26+AH27-AQ26)))</f>
        <v>67.199999999999989</v>
      </c>
      <c r="AJ27" s="13">
        <f>AI27*VLOOKUP('Données projet'!$B$10,Paramètres!$A$1:$I$89,3,0)*VLOOKUP('Données projet'!$B$10,Paramètres!$A$1:$I$89,5,0)</f>
        <v>57.657599999999995</v>
      </c>
      <c r="AK27" s="13">
        <f t="shared" si="35"/>
        <v>16.574671209026025</v>
      </c>
      <c r="AL27" s="20">
        <f t="shared" si="4"/>
        <v>129.28787235572034</v>
      </c>
      <c r="AM27" s="59">
        <f t="shared" si="5"/>
        <v>415.28787235572031</v>
      </c>
      <c r="AN27" s="59">
        <f ca="1">AVERAGE(OFFSET($AM$3,0,0,'Données projet'!$E$10+1,1))-AVERAGE(OFFSET($H$3,0,0,'Données projet'!$E$10+1,1))</f>
        <v>397.45670821030774</v>
      </c>
      <c r="AO27" s="59">
        <f t="shared" si="36"/>
        <v>256.77417912163997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10.6</v>
      </c>
      <c r="BD27" s="12">
        <f>IF('Données projet'!$A$88&gt;35,BD26+BC27-BL26,IF(A27&lt;'Données projet'!$A$88,$BA$205^A27,IF(A27='Données projet'!$A$88,'Données projet'!$B$88,BD26+BC27-BL26)))</f>
        <v>102.39999999999996</v>
      </c>
      <c r="BE27" s="13">
        <f>BD27*VLOOKUP('Données projet'!$B$11,Paramètres!$A$1:$I$89,3,0)*VLOOKUP('Données projet'!$B$11,Paramètres!$A$1:$I$89,5,0)</f>
        <v>79.871999999999971</v>
      </c>
      <c r="BF27" s="13">
        <f t="shared" si="37"/>
        <v>22.105884547145401</v>
      </c>
      <c r="BG27" s="20">
        <f t="shared" si="7"/>
        <v>177.61148225294485</v>
      </c>
      <c r="BH27" s="59">
        <f t="shared" si="8"/>
        <v>463.61148225294482</v>
      </c>
      <c r="BI27" s="59">
        <f ca="1">AVERAGE(OFFSET($BH$3,0,0,'Données projet'!$E$11+1,1))-AVERAGE(OFFSET($H$3,0,0,'Données projet'!$E$11+1,1))</f>
        <v>293.20194140252903</v>
      </c>
      <c r="BJ27" s="59">
        <f t="shared" si="38"/>
        <v>280.69048279989266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1.7126820454784111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1.7126820454784111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12.6</v>
      </c>
      <c r="BY27" s="12">
        <f>IF('Données projet'!$A$114&gt;35,BY26+BX27-CG26,IF(A27&lt;'Données projet'!$A$114,$BV$205^A27,IF(A27='Données projet'!$A$114,'Données projet'!$B$114,BY26+BX27-CG26)))</f>
        <v>102.39999999999998</v>
      </c>
      <c r="BZ27" s="13">
        <f>BY27*VLOOKUP('Données projet'!$B$12,Paramètres!$A$1:$I$89,3,0)*VLOOKUP('Données projet'!$B$12,Paramètres!$A$1:$I$89,5,0)</f>
        <v>81.469439999999992</v>
      </c>
      <c r="CA27" s="13">
        <f t="shared" si="39"/>
        <v>22.496088365195678</v>
      </c>
      <c r="CB27" s="20">
        <f t="shared" si="10"/>
        <v>181.07329523604912</v>
      </c>
      <c r="CC27" s="59">
        <f t="shared" si="11"/>
        <v>467.07329523604915</v>
      </c>
      <c r="CD27" s="59">
        <f ca="1">AVERAGE(OFFSET($CC$3,0,0,'Données projet'!$E$12+1,1))-AVERAGE(OFFSET($H$3,0,0,'Données projet'!$E$12+1,1))</f>
        <v>271.25628946149067</v>
      </c>
      <c r="CE27" s="59">
        <f t="shared" si="40"/>
        <v>292.57799203101769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2.4115837754416383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2.4115837754416383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16.8</v>
      </c>
      <c r="CT27" s="12">
        <f>IF('Données projet'!$A$140&gt;35,CT26+CS27-DB26,IF(A27&lt;'Données projet'!$A$140,$CQ$205^A27,IF(A27='Données projet'!$A$140,'Données projet'!$B$140,CT26+CS27-DB26)))</f>
        <v>163.20000000000005</v>
      </c>
      <c r="CU27" s="17">
        <f>CT27*VLOOKUP('Données projet'!$B$13,Paramètres!$A$1:$I$89,3,0)*VLOOKUP('Données projet'!$B$13,Paramètres!$A$1:$I$89,5,0)</f>
        <v>89.10720000000002</v>
      </c>
      <c r="CV27" s="13">
        <f t="shared" si="41"/>
        <v>24.349778356363352</v>
      </c>
      <c r="CW27" s="20">
        <f t="shared" si="13"/>
        <v>197.60423730399955</v>
      </c>
      <c r="CX27" s="59">
        <f t="shared" si="14"/>
        <v>483.60423730399953</v>
      </c>
      <c r="CY27" s="59">
        <f ca="1">AVERAGE(OFFSET($CX$3,0,0,'Données projet'!$E$13+1,1))-AVERAGE(OFFSET($H$3,0,0,'Données projet'!$E$13+1,1))</f>
        <v>210.03861149060413</v>
      </c>
      <c r="CZ27" s="59">
        <f t="shared" si="42"/>
        <v>298.74602928001929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6.2088156434740913</v>
      </c>
      <c r="DG27" s="21">
        <f>EXP(-LN(2)/25)*DG26+(1-EXP(-LN(2)/25))/(LN(2)/25)*Calculateur!DB27*Calculateur!DD27*VLOOKUP('Données projet'!$B$13,Paramètres!$A$1:$I$89,3,0)*0.475*44/12</f>
        <v>13.241671233006681</v>
      </c>
      <c r="DH27" s="21">
        <f>EXP(-LN(2)/2)*DH26+(1-EXP(-LN(2)/2))/(LN(2)/2)*DB27*DE27*VLOOKUP('Données projet'!$B$13,Paramètres!$A$1:$I$89,3,0)*0.475*44/12</f>
        <v>2.6448094557058104</v>
      </c>
      <c r="DI27" s="22">
        <f t="shared" si="15"/>
        <v>22.095296332186585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>
        <f>VLOOKUP(A27,'Données projet'!$A$165:$I$185,2,0)</f>
        <v>179.92</v>
      </c>
      <c r="DM27" s="12">
        <f>VLOOKUP(A27,'Données projet'!$A$165:$I$185,9,0)</f>
        <v>19.68</v>
      </c>
      <c r="DN27" s="12">
        <f t="array" ref="DN27">INDEX(DM:DM,MIN(IF(ISNUMBER(DM27:DM223),ROW(DM27:DM223),"")))</f>
        <v>19.68</v>
      </c>
      <c r="DO27" s="12">
        <f>IF('Données projet'!$A$166&gt;35,DO26+DN27-DW26,IF(A27&lt;'Données projet'!$A$166,$DL$205^A27,IF(A27='Données projet'!$A$166,'Données projet'!$B$166,DO26+DN27-DW26)))</f>
        <v>179.92000000000002</v>
      </c>
      <c r="DP27" s="17">
        <f>DO27*VLOOKUP('Données projet'!$B$14,Paramètres!$A$1:$I$89,3,0)*VLOOKUP('Données projet'!$B$14,Paramètres!$A$1:$I$89,5,0)</f>
        <v>107.59216000000002</v>
      </c>
      <c r="DQ27" s="13">
        <f t="shared" si="43"/>
        <v>28.762950003220435</v>
      </c>
      <c r="DR27" s="20">
        <f t="shared" si="16"/>
        <v>237.48514992227561</v>
      </c>
      <c r="DS27" s="59">
        <f t="shared" si="17"/>
        <v>523.48514992227558</v>
      </c>
      <c r="DT27" s="59">
        <f ca="1">AVERAGE(OFFSET($DS$3,0,0,'Données projet'!$E$14+1,1))-AVERAGE(OFFSET($H$3,0,0,'Données projet'!$E$14+1,1))</f>
        <v>402.28353929315114</v>
      </c>
      <c r="DU27" s="59">
        <f t="shared" si="44"/>
        <v>376.94419168335463</v>
      </c>
      <c r="DV27" s="15">
        <f>IF(ISNA(VLOOKUP(A27,'Données projet'!$A$165:$I$185,3,0)),0,VLOOKUP(A27,'Données projet'!$A$165:$I$185,3,0))</f>
        <v>3</v>
      </c>
      <c r="DW27" s="15">
        <f>IF(ISNA(VLOOKUP(A27,'Données projet'!$A$165:$I$185,4,0)),0,VLOOKUP(A27,'Données projet'!$A$165:$I$185,4,0))</f>
        <v>45</v>
      </c>
      <c r="DX27" s="16">
        <f>IF(ISNA(VLOOKUP(A27,'Données projet'!$A$165:$I$185,5,0)),0%,VLOOKUP(A27,'Données projet'!$A$165:$I$185,5,0)*VLOOKUP('Données projet'!$B$14,Paramètres!$A$1:$I$89,7,0))</f>
        <v>9.0000000000000011E-2</v>
      </c>
      <c r="DY27" s="16">
        <f>IF(ISNA(VLOOKUP(A27,'Données projet'!$A$165:$I$185,6,0)),0%,VLOOKUP(A27,'Données projet'!$A$165:$I$185,6,0)*VLOOKUP('Données projet'!$B$14,Paramètres!$A$1:$I$89,7,0))</f>
        <v>0.20250000000000001</v>
      </c>
      <c r="DZ27" s="16">
        <f>IF(ISNA(VLOOKUP(A27,'Données projet'!$A$165:$I$185,7,0)),0%,VLOOKUP(A27,'Données projet'!$A$165:$I$185,7,0))</f>
        <v>0.35</v>
      </c>
      <c r="EA27" s="21">
        <f>EXP(-LN(2)/35)*EA26+(1-EXP(-LN(2)/35))/(LN(2)/35)*DW27*DX27*VLOOKUP('Données projet'!$B$14,Paramètres!$A$1:$I$89,3,0)*0.475*44/12</f>
        <v>3.2128064546290229</v>
      </c>
      <c r="EB27" s="21">
        <f>EXP(-LN(2)/25)*EB26+(1-EXP(-LN(2)/25))/(LN(2)/25)*Calculateur!DW27*Calculateur!DY27*VLOOKUP('Données projet'!$B$14,Paramètres!$A$1:$I$89,3,0)*0.475*44/12</f>
        <v>15.226214423347827</v>
      </c>
      <c r="EC27" s="21">
        <f>EXP(-LN(2)/2)*EC26+(1-EXP(-LN(2)/2))/(LN(2)/2)*DW27*DZ27*VLOOKUP('Données projet'!$B$14,Paramètres!$A$1:$I$89,3,0)*0.475*44/12</f>
        <v>13.102276285736028</v>
      </c>
      <c r="ED27" s="22">
        <f t="shared" si="18"/>
        <v>31.54129716371288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11</v>
      </c>
      <c r="EJ27" s="12">
        <f>IF('Données projet'!$A$192&gt;35,EJ26+EI27-ER26,IF(A27&lt;'Données projet'!$A$192,$EG$205^A27,IF(A27='Données projet'!$A$192,'Données projet'!$B$192,EJ26+EI27-ER26)))</f>
        <v>144</v>
      </c>
      <c r="EK27" s="17">
        <f>EJ27*VLOOKUP('Données projet'!$B$15,Paramètres!$A$1:$I$89,3,0)*VLOOKUP('Données projet'!$B$15,Paramètres!$A$1:$I$89,5,0)</f>
        <v>67.391999999999996</v>
      </c>
      <c r="EL27" s="13">
        <f t="shared" si="45"/>
        <v>19.02437502991798</v>
      </c>
      <c r="EM27" s="20">
        <f t="shared" si="19"/>
        <v>150.5085198437738</v>
      </c>
      <c r="EN27" s="59">
        <f t="shared" si="20"/>
        <v>436.5085198437738</v>
      </c>
      <c r="EO27" s="59">
        <f ca="1">AVERAGE(OFFSET($EN$3,0,0,'Données projet'!$E$15+1,1))-AVERAGE(OFFSET($H$3,0,0,'Données projet'!$E$15+1,1))</f>
        <v>273.3012268683454</v>
      </c>
      <c r="EP27" s="59">
        <f t="shared" si="46"/>
        <v>254.08208375594052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6.818781275304139</v>
      </c>
      <c r="EX27" s="21">
        <f>EXP(-LN(2)/2)*EX26+(1-EXP(-LN(2)/2))/(LN(2)/2)*ER27*EU27*VLOOKUP('Données projet'!$B$15,Paramètres!$A$1:$I$89,3,0)*0.475*44/12</f>
        <v>2.3314927470664992</v>
      </c>
      <c r="EY27" s="22">
        <f t="shared" si="21"/>
        <v>9.1502740223706382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109</v>
      </c>
      <c r="L28" s="12">
        <f>VLOOKUP(A28,'Données projet'!$A$35:$I$55,9,0)</f>
        <v>7.2</v>
      </c>
      <c r="M28" s="12">
        <f t="array" ref="M28">INDEX(L:L,MIN(IF(ISNUMBER(L28:L224),ROW(L28:L224),"")))</f>
        <v>7.2</v>
      </c>
      <c r="N28" s="13">
        <f>IF('Données projet'!$A$36&gt;35,N27+M28-V27,IF(A28&lt;'Données projet'!$A$36,$K$205^A28,IF(A28='Données projet'!$A$36,'Données projet'!$B$36,N27+M28-V27)))</f>
        <v>109.00000000000001</v>
      </c>
      <c r="O28" s="13">
        <f>N28*VLOOKUP('Données projet'!$B$9,Paramètres!$A$1:$I$89,3,0)*VLOOKUP('Données projet'!$B$9,Paramètres!$A$1:$I$89,5,0)</f>
        <v>98.623200000000011</v>
      </c>
      <c r="P28" s="13">
        <f t="shared" si="33"/>
        <v>26.633729748944933</v>
      </c>
      <c r="Q28" s="20">
        <f t="shared" si="2"/>
        <v>218.15581931274576</v>
      </c>
      <c r="R28" s="59">
        <f t="shared" si="0"/>
        <v>505.37804153496802</v>
      </c>
      <c r="S28" s="59">
        <f ca="1">AVERAGE(OFFSET($R$3,0,0,'Données projet'!$E$9+1,1))-AVERAGE(OFFSET($H$3,0,0,'Données projet'!$E$9+1,1))</f>
        <v>453.52760163325451</v>
      </c>
      <c r="T28" s="59">
        <f t="shared" si="34"/>
        <v>344.23959526427001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76</v>
      </c>
      <c r="AG28" s="12">
        <f>VLOOKUP(A28,'Données projet'!$A$61:$I$81,9,0)</f>
        <v>8.8000000000000007</v>
      </c>
      <c r="AH28" s="12">
        <f t="array" ref="AH28">INDEX(AG:AG,MIN(IF(ISNUMBER(AG28:AG224),ROW(AG28:AG224),"")))</f>
        <v>8.8000000000000007</v>
      </c>
      <c r="AI28" s="13">
        <f>IF('Données projet'!$A$62&gt;35,AI27+AH28-AQ27,IF(A28&lt;'Données projet'!$A$62,$AF$205^A28,IF(A28='Données projet'!$A$62,'Données projet'!$B$62,AI27+AH28-AQ27)))</f>
        <v>75.999999999999986</v>
      </c>
      <c r="AJ28" s="13">
        <f>AI28*VLOOKUP('Données projet'!$B$10,Paramètres!$A$1:$I$89,3,0)*VLOOKUP('Données projet'!$B$10,Paramètres!$A$1:$I$89,5,0)</f>
        <v>65.207999999999998</v>
      </c>
      <c r="AK28" s="13">
        <f t="shared" si="35"/>
        <v>18.478568429485204</v>
      </c>
      <c r="AL28" s="20">
        <f t="shared" si="4"/>
        <v>145.75410668135339</v>
      </c>
      <c r="AM28" s="59">
        <f t="shared" si="5"/>
        <v>432.97632890357562</v>
      </c>
      <c r="AN28" s="59">
        <f ca="1">AVERAGE(OFFSET($AM$3,0,0,'Données projet'!$E$10+1,1))-AVERAGE(OFFSET($H$3,0,0,'Données projet'!$E$10+1,1))</f>
        <v>397.45670821030774</v>
      </c>
      <c r="AO28" s="59">
        <f t="shared" si="36"/>
        <v>256.77417912163997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7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113</v>
      </c>
      <c r="BB28" s="12">
        <f>VLOOKUP(A28,'Données projet'!$A$87:$I$107,9,0)</f>
        <v>10.6</v>
      </c>
      <c r="BC28" s="12">
        <f t="array" ref="BC28">INDEX(BB:BB,MIN(IF(ISNUMBER(BB28:BB224),ROW(BB28:BB224),"")))</f>
        <v>10.6</v>
      </c>
      <c r="BD28" s="12">
        <f>IF('Données projet'!$A$88&gt;35,BD27+BC28-BL27,IF(A28&lt;'Données projet'!$A$88,$BA$205^A28,IF(A28='Données projet'!$A$88,'Données projet'!$B$88,BD27+BC28-BL27)))</f>
        <v>112.99999999999996</v>
      </c>
      <c r="BE28" s="13">
        <f>BD28*VLOOKUP('Données projet'!$B$11,Paramètres!$A$1:$I$89,3,0)*VLOOKUP('Données projet'!$B$11,Paramètres!$A$1:$I$89,5,0)</f>
        <v>88.139999999999972</v>
      </c>
      <c r="BF28" s="13">
        <f t="shared" si="37"/>
        <v>24.116094026318823</v>
      </c>
      <c r="BG28" s="20">
        <f t="shared" si="7"/>
        <v>195.51269709583855</v>
      </c>
      <c r="BH28" s="59">
        <f t="shared" si="8"/>
        <v>482.73491931806075</v>
      </c>
      <c r="BI28" s="59">
        <f ca="1">AVERAGE(OFFSET($BH$3,0,0,'Données projet'!$E$11+1,1))-AVERAGE(OFFSET($H$3,0,0,'Données projet'!$E$11+1,1))</f>
        <v>293.20194140252903</v>
      </c>
      <c r="BJ28" s="59">
        <f t="shared" si="38"/>
        <v>280.69048279989266</v>
      </c>
      <c r="BK28" s="15">
        <f>IF(ISNA(VLOOKUP(A28,'Données projet'!$A$87:$I$107,3,0)),0,VLOOKUP(A28,'Données projet'!$A$87:$I$107,3,0))</f>
        <v>3</v>
      </c>
      <c r="BL28" s="15">
        <f>IF(ISNA(VLOOKUP(A28,'Données projet'!$A$87:$I$107,4,0)),0,VLOOKUP(A28,'Données projet'!$A$87:$I$107,4,0))</f>
        <v>37</v>
      </c>
      <c r="BM28" s="16">
        <f>IF(ISNA(VLOOKUP(A28,'Données projet'!$A$87:$I$107,5,0)),0%,VLOOKUP(A28,'Données projet'!$A$87:$I$107,5,0)*VLOOKUP('Données projet'!$B$11,Paramètres!$A$1:$I$89,7,0))</f>
        <v>0.129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5.7946972899778793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5.7946972899778793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115</v>
      </c>
      <c r="BW28" s="12">
        <f>VLOOKUP(A28,'Données projet'!$A$113:$I$133,9,0)</f>
        <v>12.6</v>
      </c>
      <c r="BX28" s="12">
        <f t="array" ref="BX28">INDEX(BW:BW,MIN(IF(ISNUMBER(BW28:BW224),ROW(BW28:BW224),"")))</f>
        <v>12.6</v>
      </c>
      <c r="BY28" s="12">
        <f>IF('Données projet'!$A$114&gt;35,BY27+BX28-CG27,IF(A28&lt;'Données projet'!$A$114,$BV$205^A28,IF(A28='Données projet'!$A$114,'Données projet'!$B$114,BY27+BX28-CG27)))</f>
        <v>114.99999999999997</v>
      </c>
      <c r="BZ28" s="13">
        <f>BY28*VLOOKUP('Données projet'!$B$12,Paramètres!$A$1:$I$89,3,0)*VLOOKUP('Données projet'!$B$12,Paramètres!$A$1:$I$89,5,0)</f>
        <v>91.493999999999986</v>
      </c>
      <c r="CA28" s="13">
        <f t="shared" si="39"/>
        <v>24.925195840896517</v>
      </c>
      <c r="CB28" s="20">
        <f t="shared" si="10"/>
        <v>202.76343275622807</v>
      </c>
      <c r="CC28" s="59">
        <f t="shared" si="11"/>
        <v>489.98565497845027</v>
      </c>
      <c r="CD28" s="59">
        <f ca="1">AVERAGE(OFFSET($CC$3,0,0,'Données projet'!$E$12+1,1))-AVERAGE(OFFSET($H$3,0,0,'Données projet'!$E$12+1,1))</f>
        <v>271.25628946149067</v>
      </c>
      <c r="CE28" s="59">
        <f t="shared" si="40"/>
        <v>292.57799203101769</v>
      </c>
      <c r="CF28" s="15">
        <f>IF(ISNA(VLOOKUP(A28,'Données projet'!$A$113:$I$133,3,0)),0,VLOOKUP(A28,'Données projet'!$A$113:$I$133,3,0))</f>
        <v>3</v>
      </c>
      <c r="CG28" s="15">
        <f>IF(ISNA(VLOOKUP(A28,'Données projet'!$A$113:$I$133,4,0)),0,VLOOKUP(A28,'Données projet'!$A$113:$I$133,4,0))</f>
        <v>28</v>
      </c>
      <c r="CH28" s="16">
        <f>IF(ISNA(VLOOKUP(A28,'Données projet'!$A$113:$I$133,5,0)),0%,VLOOKUP(A28,'Données projet'!$A$113:$I$133,5,0)*VLOOKUP('Données projet'!$B$12,Paramètres!$A$1:$I$89,7,0))</f>
        <v>0.159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6.2798825541000491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6.2798825541000491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180</v>
      </c>
      <c r="CR28" s="12">
        <f>VLOOKUP(A28,'Données projet'!$A$139:$I$159,9,0)</f>
        <v>16.8</v>
      </c>
      <c r="CS28" s="12">
        <f t="array" ref="CS28">INDEX(CR:CR,MIN(IF(ISNUMBER(CR28:CR224),ROW(CR28:CR224),"")))</f>
        <v>16.8</v>
      </c>
      <c r="CT28" s="12">
        <f>IF('Données projet'!$A$140&gt;35,CT27+CS28-DB27,IF(A28&lt;'Données projet'!$A$140,$CQ$205^A28,IF(A28='Données projet'!$A$140,'Données projet'!$B$140,CT27+CS28-DB27)))</f>
        <v>180.00000000000006</v>
      </c>
      <c r="CU28" s="17">
        <f>CT28*VLOOKUP('Données projet'!$B$13,Paramètres!$A$1:$I$89,3,0)*VLOOKUP('Données projet'!$B$13,Paramètres!$A$1:$I$89,5,0)</f>
        <v>98.28000000000003</v>
      </c>
      <c r="CV28" s="13">
        <f t="shared" si="41"/>
        <v>26.551818424463473</v>
      </c>
      <c r="CW28" s="20">
        <f t="shared" si="13"/>
        <v>217.41541708927392</v>
      </c>
      <c r="CX28" s="59">
        <f t="shared" si="14"/>
        <v>504.63763931149617</v>
      </c>
      <c r="CY28" s="59">
        <f ca="1">AVERAGE(OFFSET($CX$3,0,0,'Données projet'!$E$13+1,1))-AVERAGE(OFFSET($H$3,0,0,'Données projet'!$E$13+1,1))</f>
        <v>210.03861149060413</v>
      </c>
      <c r="CZ28" s="59">
        <f t="shared" si="42"/>
        <v>298.74602928001929</v>
      </c>
      <c r="DA28" s="15">
        <f>IF(ISNA(VLOOKUP(A28,'Données projet'!$A$139:$I$159,3,0)),0,VLOOKUP(A28,'Données projet'!$A$139:$I$159,3,0))</f>
        <v>4</v>
      </c>
      <c r="DB28" s="15">
        <f>IF(ISNA(VLOOKUP(A28,'Données projet'!$A$139:$I$159,4,0)),0,VLOOKUP(A28,'Données projet'!$A$139:$I$159,4,0))</f>
        <v>42</v>
      </c>
      <c r="DC28" s="16">
        <f>IF(ISNA(VLOOKUP(A28,'Données projet'!$A$139:$I$159,5,0)),0%,VLOOKUP(A28,'Données projet'!$A$139:$I$159,5,0)*VLOOKUP('Données projet'!$B$13,Paramètres!$A$1:$I$89,7,0))</f>
        <v>0.18</v>
      </c>
      <c r="DD28" s="16">
        <f>IF(ISNA(VLOOKUP(A28,'Données projet'!$A$139:$I$159,6,0)),0%,VLOOKUP(A28,'Données projet'!$A$139:$I$159,6,0)*VLOOKUP('Données projet'!$B$13,Paramètres!$A$1:$I$89,7,0))</f>
        <v>0.23399999999999999</v>
      </c>
      <c r="DE28" s="16">
        <f>IF(ISNA(VLOOKUP(A28,'Données projet'!$A$139:$I$159,7,0)),0%,VLOOKUP(A28,'Données projet'!$A$139:$I$159,7,0))</f>
        <v>0.31</v>
      </c>
      <c r="DF28" s="21">
        <f>EXP(-LN(2)/35)*DF27+(1-EXP(-LN(2)/35))/(LN(2)/35)*DB28*DC28*VLOOKUP('Données projet'!$B$13,Paramètres!$A$1:$I$89,3,0)*0.475*44/12</f>
        <v>11.562804252294288</v>
      </c>
      <c r="DG28" s="21">
        <f>EXP(-LN(2)/25)*DG27+(1-EXP(-LN(2)/25))/(LN(2)/25)*Calculateur!DB28*Calculateur!DD28*VLOOKUP('Données projet'!$B$13,Paramètres!$A$1:$I$89,3,0)*0.475*44/12</f>
        <v>19.970010546663929</v>
      </c>
      <c r="DH28" s="21">
        <f>EXP(-LN(2)/2)*DH27+(1-EXP(-LN(2)/2))/(LN(2)/2)*DB28*DE28*VLOOKUP('Données projet'!$B$13,Paramètres!$A$1:$I$89,3,0)*0.475*44/12</f>
        <v>9.9191115256077218</v>
      </c>
      <c r="DI28" s="22">
        <f t="shared" si="15"/>
        <v>41.451926324565939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20.86333333333334</v>
      </c>
      <c r="DO28" s="12">
        <f>IF('Données projet'!$A$166&gt;35,DO27+DN28-DW27,IF(A28&lt;'Données projet'!$A$166,$DL$205^A28,IF(A28='Données projet'!$A$166,'Données projet'!$B$166,DO27+DN28-DW27)))</f>
        <v>155.78333333333336</v>
      </c>
      <c r="DP28" s="17">
        <f>DO28*VLOOKUP('Données projet'!$B$14,Paramètres!$A$1:$I$89,3,0)*VLOOKUP('Données projet'!$B$14,Paramètres!$A$1:$I$89,5,0)</f>
        <v>93.158433333333363</v>
      </c>
      <c r="DQ28" s="13">
        <f t="shared" si="43"/>
        <v>25.325427193384016</v>
      </c>
      <c r="DR28" s="20">
        <f t="shared" si="16"/>
        <v>206.35939041736609</v>
      </c>
      <c r="DS28" s="59">
        <f t="shared" si="17"/>
        <v>493.58161263958834</v>
      </c>
      <c r="DT28" s="59">
        <f ca="1">AVERAGE(OFFSET($DS$3,0,0,'Données projet'!$E$14+1,1))-AVERAGE(OFFSET($H$3,0,0,'Données projet'!$E$14+1,1))</f>
        <v>402.28353929315114</v>
      </c>
      <c r="DU28" s="59">
        <f t="shared" si="44"/>
        <v>376.94419168335463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3.1498052796721887</v>
      </c>
      <c r="EB28" s="21">
        <f>EXP(-LN(2)/25)*EB27+(1-EXP(-LN(2)/25))/(LN(2)/25)*Calculateur!DW28*Calculateur!DY28*VLOOKUP('Données projet'!$B$14,Paramètres!$A$1:$I$89,3,0)*0.475*44/12</f>
        <v>14.809852789229565</v>
      </c>
      <c r="EC28" s="21">
        <f>EXP(-LN(2)/2)*EC27+(1-EXP(-LN(2)/2))/(LN(2)/2)*DW28*DZ28*VLOOKUP('Données projet'!$B$14,Paramètres!$A$1:$I$89,3,0)*0.475*44/12</f>
        <v>9.264708410623637</v>
      </c>
      <c r="ED28" s="22">
        <f t="shared" si="18"/>
        <v>27.22436647952539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11</v>
      </c>
      <c r="EJ28" s="12">
        <f>IF('Données projet'!$A$192&gt;35,EJ27+EI28-ER27,IF(A28&lt;'Données projet'!$A$192,$EG$205^A28,IF(A28='Données projet'!$A$192,'Données projet'!$B$192,EJ27+EI28-ER27)))</f>
        <v>155</v>
      </c>
      <c r="EK28" s="17">
        <f>EJ28*VLOOKUP('Données projet'!$B$15,Paramètres!$A$1:$I$89,3,0)*VLOOKUP('Données projet'!$B$15,Paramètres!$A$1:$I$89,5,0)</f>
        <v>72.539999999999992</v>
      </c>
      <c r="EL28" s="13">
        <f t="shared" si="45"/>
        <v>20.302914660456786</v>
      </c>
      <c r="EM28" s="20">
        <f t="shared" si="19"/>
        <v>161.70140970029556</v>
      </c>
      <c r="EN28" s="59">
        <f t="shared" si="20"/>
        <v>448.92363192251776</v>
      </c>
      <c r="EO28" s="59">
        <f ca="1">AVERAGE(OFFSET($EN$3,0,0,'Données projet'!$E$15+1,1))-AVERAGE(OFFSET($H$3,0,0,'Données projet'!$E$15+1,1))</f>
        <v>273.3012268683454</v>
      </c>
      <c r="EP28" s="59">
        <f t="shared" si="46"/>
        <v>254.08208375594052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6.6323213427468248</v>
      </c>
      <c r="EX28" s="21">
        <f>EXP(-LN(2)/2)*EX27+(1-EXP(-LN(2)/2))/(LN(2)/2)*ER28*EU28*VLOOKUP('Données projet'!$B$15,Paramètres!$A$1:$I$89,3,0)*0.475*44/12</f>
        <v>1.6486143317379738</v>
      </c>
      <c r="EY28" s="22">
        <f t="shared" si="21"/>
        <v>8.2809356744847982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9.1999999999999993</v>
      </c>
      <c r="N29" s="13">
        <f>IF('Données projet'!$A$36&gt;35,N28+M29-V28,IF(A29&lt;'Données projet'!$A$36,$K$205^A29,IF(A29='Données projet'!$A$36,'Données projet'!$B$36,N28+M29-V28)))</f>
        <v>118.20000000000002</v>
      </c>
      <c r="O29" s="13">
        <f>N29*VLOOKUP('Données projet'!$B$9,Paramètres!$A$1:$I$89,3,0)*VLOOKUP('Données projet'!$B$9,Paramètres!$A$1:$I$89,5,0)</f>
        <v>106.94736000000002</v>
      </c>
      <c r="P29" s="13">
        <f t="shared" si="33"/>
        <v>28.61058496425451</v>
      </c>
      <c r="Q29" s="20">
        <f t="shared" si="2"/>
        <v>236.09675414607662</v>
      </c>
      <c r="R29" s="59">
        <f t="shared" si="0"/>
        <v>524.54119859052105</v>
      </c>
      <c r="S29" s="59">
        <f ca="1">AVERAGE(OFFSET($R$3,0,0,'Données projet'!$E$9+1,1))-AVERAGE(OFFSET($H$3,0,0,'Données projet'!$E$9+1,1))</f>
        <v>453.52760163325451</v>
      </c>
      <c r="T29" s="59">
        <f t="shared" si="34"/>
        <v>344.23959526427001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9.4</v>
      </c>
      <c r="AI29" s="13">
        <f>IF('Données projet'!$A$62&gt;35,AI28+AH29-AQ28,IF(A29&lt;'Données projet'!$A$62,$AF$205^A29,IF(A29='Données projet'!$A$62,'Données projet'!$B$62,AI28+AH29-AQ28)))</f>
        <v>78.399999999999991</v>
      </c>
      <c r="AJ29" s="13">
        <f>AI29*VLOOKUP('Données projet'!$B$10,Paramètres!$A$1:$I$89,3,0)*VLOOKUP('Données projet'!$B$10,Paramètres!$A$1:$I$89,5,0)</f>
        <v>67.267200000000003</v>
      </c>
      <c r="AK29" s="13">
        <f t="shared" si="35"/>
        <v>18.993242158132926</v>
      </c>
      <c r="AL29" s="20">
        <f t="shared" si="4"/>
        <v>150.23693675874819</v>
      </c>
      <c r="AM29" s="59">
        <f t="shared" si="5"/>
        <v>438.68138120319264</v>
      </c>
      <c r="AN29" s="59">
        <f ca="1">AVERAGE(OFFSET($AM$3,0,0,'Données projet'!$E$10+1,1))-AVERAGE(OFFSET($H$3,0,0,'Données projet'!$E$10+1,1))</f>
        <v>397.45670821030774</v>
      </c>
      <c r="AO29" s="59">
        <f t="shared" si="36"/>
        <v>256.77417912163997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13.166666666666666</v>
      </c>
      <c r="BD29" s="12">
        <f>IF('Données projet'!$A$88&gt;35,BD28+BC29-BL28,IF(A29&lt;'Données projet'!$A$88,$BA$205^A29,IF(A29='Données projet'!$A$88,'Données projet'!$B$88,BD28+BC29-BL28)))</f>
        <v>89.166666666666629</v>
      </c>
      <c r="BE29" s="13">
        <f>BD29*VLOOKUP('Données projet'!$B$11,Paramètres!$A$1:$I$89,3,0)*VLOOKUP('Données projet'!$B$11,Paramètres!$A$1:$I$89,5,0)</f>
        <v>69.549999999999969</v>
      </c>
      <c r="BF29" s="13">
        <f t="shared" si="37"/>
        <v>19.561664800234738</v>
      </c>
      <c r="BG29" s="20">
        <f t="shared" si="7"/>
        <v>155.20281619374211</v>
      </c>
      <c r="BH29" s="59">
        <f t="shared" si="8"/>
        <v>443.64726063818659</v>
      </c>
      <c r="BI29" s="59">
        <f ca="1">AVERAGE(OFFSET($BH$3,0,0,'Données projet'!$E$11+1,1))-AVERAGE(OFFSET($H$3,0,0,'Données projet'!$E$11+1,1))</f>
        <v>293.20194140252903</v>
      </c>
      <c r="BJ29" s="59">
        <f t="shared" si="38"/>
        <v>280.69048279989266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5.6810668105377653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5.6810668105377653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11.8</v>
      </c>
      <c r="BY29" s="12">
        <f>IF('Données projet'!$A$114&gt;35,BY28+BX29-CG28,IF(A29&lt;'Données projet'!$A$114,$BV$205^A29,IF(A29='Données projet'!$A$114,'Données projet'!$B$114,BY28+BX29-CG28)))</f>
        <v>98.799999999999969</v>
      </c>
      <c r="BZ29" s="13">
        <f>BY29*VLOOKUP('Données projet'!$B$12,Paramètres!$A$1:$I$89,3,0)*VLOOKUP('Données projet'!$B$12,Paramètres!$A$1:$I$89,5,0)</f>
        <v>78.605279999999979</v>
      </c>
      <c r="CA29" s="13">
        <f t="shared" si="39"/>
        <v>21.795819556945734</v>
      </c>
      <c r="CB29" s="20">
        <f t="shared" si="10"/>
        <v>174.86524839501377</v>
      </c>
      <c r="CC29" s="59">
        <f t="shared" si="11"/>
        <v>463.30969283945819</v>
      </c>
      <c r="CD29" s="59">
        <f ca="1">AVERAGE(OFFSET($CC$3,0,0,'Données projet'!$E$12+1,1))-AVERAGE(OFFSET($H$3,0,0,'Données projet'!$E$12+1,1))</f>
        <v>271.25628946149067</v>
      </c>
      <c r="CE29" s="59">
        <f t="shared" si="40"/>
        <v>292.57799203101769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6.1567378875642893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6.1567378875642893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16</v>
      </c>
      <c r="CT29" s="12">
        <f>IF('Données projet'!$A$140&gt;35,CT28+CS29-DB28,IF(A29&lt;'Données projet'!$A$140,$CQ$205^A29,IF(A29='Données projet'!$A$140,'Données projet'!$B$140,CT28+CS29-DB28)))</f>
        <v>154.00000000000006</v>
      </c>
      <c r="CU29" s="17">
        <f>CT29*VLOOKUP('Données projet'!$B$13,Paramètres!$A$1:$I$89,3,0)*VLOOKUP('Données projet'!$B$13,Paramètres!$A$1:$I$89,5,0)</f>
        <v>84.084000000000032</v>
      </c>
      <c r="CV29" s="13">
        <f t="shared" si="41"/>
        <v>23.132831417334547</v>
      </c>
      <c r="CW29" s="20">
        <f t="shared" si="13"/>
        <v>186.73598138519102</v>
      </c>
      <c r="CX29" s="59">
        <f t="shared" si="14"/>
        <v>475.18042582963551</v>
      </c>
      <c r="CY29" s="59">
        <f ca="1">AVERAGE(OFFSET($CX$3,0,0,'Données projet'!$E$13+1,1))-AVERAGE(OFFSET($H$3,0,0,'Données projet'!$E$13+1,1))</f>
        <v>210.03861149060413</v>
      </c>
      <c r="CZ29" s="59">
        <f t="shared" si="42"/>
        <v>298.74602928001929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11.336064713521003</v>
      </c>
      <c r="DG29" s="21">
        <f>EXP(-LN(2)/25)*DG28+(1-EXP(-LN(2)/25))/(LN(2)/25)*Calculateur!DB29*Calculateur!DD29*VLOOKUP('Données projet'!$B$13,Paramètres!$A$1:$I$89,3,0)*0.475*44/12</f>
        <v>19.42392955808819</v>
      </c>
      <c r="DH29" s="21">
        <f>EXP(-LN(2)/2)*DH28+(1-EXP(-LN(2)/2))/(LN(2)/2)*DB29*DE29*VLOOKUP('Données projet'!$B$13,Paramètres!$A$1:$I$89,3,0)*0.475*44/12</f>
        <v>7.0138710231028618</v>
      </c>
      <c r="DI29" s="22">
        <f t="shared" si="15"/>
        <v>37.773865294712053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20.86333333333334</v>
      </c>
      <c r="DO29" s="12">
        <f>IF('Données projet'!$A$166&gt;35,DO28+DN29-DW28,IF(A29&lt;'Données projet'!$A$166,$DL$205^A29,IF(A29='Données projet'!$A$166,'Données projet'!$B$166,DO28+DN29-DW28)))</f>
        <v>176.6466666666667</v>
      </c>
      <c r="DP29" s="17">
        <f>DO29*VLOOKUP('Données projet'!$B$14,Paramètres!$A$1:$I$89,3,0)*VLOOKUP('Données projet'!$B$14,Paramètres!$A$1:$I$89,5,0)</f>
        <v>105.6347066666667</v>
      </c>
      <c r="DQ29" s="13">
        <f t="shared" si="43"/>
        <v>28.30007612423924</v>
      </c>
      <c r="DR29" s="20">
        <f t="shared" si="16"/>
        <v>233.2697466941612</v>
      </c>
      <c r="DS29" s="59">
        <f t="shared" si="17"/>
        <v>521.71419113860566</v>
      </c>
      <c r="DT29" s="59">
        <f ca="1">AVERAGE(OFFSET($DS$3,0,0,'Données projet'!$E$14+1,1))-AVERAGE(OFFSET($H$3,0,0,'Données projet'!$E$14+1,1))</f>
        <v>402.28353929315114</v>
      </c>
      <c r="DU29" s="59">
        <f t="shared" si="44"/>
        <v>376.94419168335463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3.0880395193293357</v>
      </c>
      <c r="EB29" s="21">
        <f>EXP(-LN(2)/25)*EB28+(1-EXP(-LN(2)/25))/(LN(2)/25)*Calculateur!DW29*Calculateur!DY29*VLOOKUP('Données projet'!$B$14,Paramètres!$A$1:$I$89,3,0)*0.475*44/12</f>
        <v>14.404876585891772</v>
      </c>
      <c r="EC29" s="21">
        <f>EXP(-LN(2)/2)*EC28+(1-EXP(-LN(2)/2))/(LN(2)/2)*DW29*DZ29*VLOOKUP('Données projet'!$B$14,Paramètres!$A$1:$I$89,3,0)*0.475*44/12</f>
        <v>6.5511381428680151</v>
      </c>
      <c r="ED29" s="22">
        <f t="shared" si="18"/>
        <v>24.044054248089125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11</v>
      </c>
      <c r="EJ29" s="12">
        <f>IF('Données projet'!$A$192&gt;35,EJ28+EI29-ER28,IF(A29&lt;'Données projet'!$A$192,$EG$205^A29,IF(A29='Données projet'!$A$192,'Données projet'!$B$192,EJ28+EI29-ER28)))</f>
        <v>166</v>
      </c>
      <c r="EK29" s="17">
        <f>EJ29*VLOOKUP('Données projet'!$B$15,Paramètres!$A$1:$I$89,3,0)*VLOOKUP('Données projet'!$B$15,Paramètres!$A$1:$I$89,5,0)</f>
        <v>77.688000000000002</v>
      </c>
      <c r="EL29" s="13">
        <f t="shared" si="45"/>
        <v>21.570926907728207</v>
      </c>
      <c r="EM29" s="20">
        <f t="shared" si="19"/>
        <v>172.87596436429328</v>
      </c>
      <c r="EN29" s="59">
        <f t="shared" si="20"/>
        <v>461.32040880873774</v>
      </c>
      <c r="EO29" s="59">
        <f ca="1">AVERAGE(OFFSET($EN$3,0,0,'Données projet'!$E$15+1,1))-AVERAGE(OFFSET($H$3,0,0,'Données projet'!$E$15+1,1))</f>
        <v>273.3012268683454</v>
      </c>
      <c r="EP29" s="59">
        <f t="shared" si="46"/>
        <v>254.08208375594052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6.4509601668507921</v>
      </c>
      <c r="EX29" s="21">
        <f>EXP(-LN(2)/2)*EX28+(1-EXP(-LN(2)/2))/(LN(2)/2)*ER29*EU29*VLOOKUP('Données projet'!$B$15,Paramètres!$A$1:$I$89,3,0)*0.475*44/12</f>
        <v>1.1657463735332498</v>
      </c>
      <c r="EY29" s="22">
        <f t="shared" si="21"/>
        <v>7.6167065403840422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9.1999999999999993</v>
      </c>
      <c r="N30" s="13">
        <f>IF('Données projet'!$A$36&gt;35,N29+M30-V29,IF(A30&lt;'Données projet'!$A$36,$K$205^A30,IF(A30='Données projet'!$A$36,'Données projet'!$B$36,N29+M30-V29)))</f>
        <v>127.40000000000002</v>
      </c>
      <c r="O30" s="13">
        <f>N30*VLOOKUP('Données projet'!$B$9,Paramètres!$A$1:$I$89,3,0)*VLOOKUP('Données projet'!$B$9,Paramètres!$A$1:$I$89,5,0)</f>
        <v>115.27152000000002</v>
      </c>
      <c r="P30" s="13">
        <f t="shared" si="33"/>
        <v>30.569591947650281</v>
      </c>
      <c r="Q30" s="20">
        <f t="shared" si="2"/>
        <v>254.00660330882422</v>
      </c>
      <c r="R30" s="59">
        <f t="shared" si="0"/>
        <v>543.67326997549094</v>
      </c>
      <c r="S30" s="59">
        <f ca="1">AVERAGE(OFFSET($R$3,0,0,'Données projet'!$E$9+1,1))-AVERAGE(OFFSET($H$3,0,0,'Données projet'!$E$9+1,1))</f>
        <v>453.52760163325451</v>
      </c>
      <c r="T30" s="59">
        <f t="shared" si="34"/>
        <v>344.23959526427001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9.4</v>
      </c>
      <c r="AI30" s="13">
        <f>IF('Données projet'!$A$62&gt;35,AI29+AH30-AQ29,IF(A30&lt;'Données projet'!$A$62,$AF$205^A30,IF(A30='Données projet'!$A$62,'Données projet'!$B$62,AI29+AH30-AQ29)))</f>
        <v>87.8</v>
      </c>
      <c r="AJ30" s="13">
        <f>AI30*VLOOKUP('Données projet'!$B$10,Paramètres!$A$1:$I$89,3,0)*VLOOKUP('Données projet'!$B$10,Paramètres!$A$1:$I$89,5,0)</f>
        <v>75.332400000000007</v>
      </c>
      <c r="AK30" s="13">
        <f t="shared" si="35"/>
        <v>20.991969498724234</v>
      </c>
      <c r="AL30" s="20">
        <f t="shared" si="4"/>
        <v>167.76494354361137</v>
      </c>
      <c r="AM30" s="59">
        <f t="shared" si="5"/>
        <v>457.43161021027805</v>
      </c>
      <c r="AN30" s="59">
        <f ca="1">AVERAGE(OFFSET($AM$3,0,0,'Données projet'!$E$10+1,1))-AVERAGE(OFFSET($H$3,0,0,'Données projet'!$E$10+1,1))</f>
        <v>397.45670821030774</v>
      </c>
      <c r="AO30" s="59">
        <f t="shared" si="36"/>
        <v>256.77417912163997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13.166666666666666</v>
      </c>
      <c r="BD30" s="12">
        <f>IF('Données projet'!$A$88&gt;35,BD29+BC30-BL29,IF(A30&lt;'Données projet'!$A$88,$BA$205^A30,IF(A30='Données projet'!$A$88,'Données projet'!$B$88,BD29+BC30-BL29)))</f>
        <v>102.3333333333333</v>
      </c>
      <c r="BE30" s="13">
        <f>BD30*VLOOKUP('Données projet'!$B$11,Paramètres!$A$1:$I$89,3,0)*VLOOKUP('Données projet'!$B$11,Paramètres!$A$1:$I$89,5,0)</f>
        <v>79.819999999999979</v>
      </c>
      <c r="BF30" s="13">
        <f t="shared" si="37"/>
        <v>22.093167424831808</v>
      </c>
      <c r="BG30" s="20">
        <f t="shared" si="7"/>
        <v>177.49876659824869</v>
      </c>
      <c r="BH30" s="59">
        <f t="shared" si="8"/>
        <v>467.16543326491535</v>
      </c>
      <c r="BI30" s="59">
        <f ca="1">AVERAGE(OFFSET($BH$3,0,0,'Données projet'!$E$11+1,1))-AVERAGE(OFFSET($H$3,0,0,'Données projet'!$E$11+1,1))</f>
        <v>293.20194140252903</v>
      </c>
      <c r="BJ30" s="59">
        <f t="shared" si="38"/>
        <v>280.69048279989266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5.5696645554917232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5.5696645554917232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11.8</v>
      </c>
      <c r="BY30" s="12">
        <f>IF('Données projet'!$A$114&gt;35,BY29+BX30-CG29,IF(A30&lt;'Données projet'!$A$114,$BV$205^A30,IF(A30='Données projet'!$A$114,'Données projet'!$B$114,BY29+BX30-CG29)))</f>
        <v>110.59999999999997</v>
      </c>
      <c r="BZ30" s="13">
        <f>BY30*VLOOKUP('Données projet'!$B$12,Paramètres!$A$1:$I$89,3,0)*VLOOKUP('Données projet'!$B$12,Paramètres!$A$1:$I$89,5,0)</f>
        <v>87.993359999999981</v>
      </c>
      <c r="CA30" s="13">
        <f t="shared" si="39"/>
        <v>24.080638481970816</v>
      </c>
      <c r="CB30" s="20">
        <f t="shared" si="10"/>
        <v>195.19554735609913</v>
      </c>
      <c r="CC30" s="59">
        <f t="shared" si="11"/>
        <v>484.86221402276578</v>
      </c>
      <c r="CD30" s="59">
        <f ca="1">AVERAGE(OFFSET($CC$3,0,0,'Données projet'!$E$12+1,1))-AVERAGE(OFFSET($H$3,0,0,'Données projet'!$E$12+1,1))</f>
        <v>271.25628946149067</v>
      </c>
      <c r="CE30" s="59">
        <f t="shared" si="40"/>
        <v>292.57799203101769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6.0360080128284661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6.0360080128284661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16</v>
      </c>
      <c r="CT30" s="12">
        <f>IF('Données projet'!$A$140&gt;35,CT29+CS30-DB29,IF(A30&lt;'Données projet'!$A$140,$CQ$205^A30,IF(A30='Données projet'!$A$140,'Données projet'!$B$140,CT29+CS30-DB29)))</f>
        <v>170.00000000000006</v>
      </c>
      <c r="CU30" s="17">
        <f>CT30*VLOOKUP('Données projet'!$B$13,Paramètres!$A$1:$I$89,3,0)*VLOOKUP('Données projet'!$B$13,Paramètres!$A$1:$I$89,5,0)</f>
        <v>92.820000000000036</v>
      </c>
      <c r="CV30" s="13">
        <f t="shared" si="41"/>
        <v>25.244115055224729</v>
      </c>
      <c r="CW30" s="20">
        <f t="shared" si="13"/>
        <v>205.62833372118314</v>
      </c>
      <c r="CX30" s="59">
        <f t="shared" si="14"/>
        <v>495.29500038784983</v>
      </c>
      <c r="CY30" s="59">
        <f ca="1">AVERAGE(OFFSET($CX$3,0,0,'Données projet'!$E$13+1,1))-AVERAGE(OFFSET($H$3,0,0,'Données projet'!$E$13+1,1))</f>
        <v>210.03861149060413</v>
      </c>
      <c r="CZ30" s="59">
        <f t="shared" si="42"/>
        <v>298.74602928001929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11.113771398805598</v>
      </c>
      <c r="DG30" s="21">
        <f>EXP(-LN(2)/25)*DG29+(1-EXP(-LN(2)/25))/(LN(2)/25)*Calculateur!DB30*Calculateur!DD30*VLOOKUP('Données projet'!$B$13,Paramètres!$A$1:$I$89,3,0)*0.475*44/12</f>
        <v>18.892781182862208</v>
      </c>
      <c r="DH30" s="21">
        <f>EXP(-LN(2)/2)*DH29+(1-EXP(-LN(2)/2))/(LN(2)/2)*DB30*DE30*VLOOKUP('Données projet'!$B$13,Paramètres!$A$1:$I$89,3,0)*0.475*44/12</f>
        <v>4.9595557628038618</v>
      </c>
      <c r="DI30" s="22">
        <f t="shared" si="15"/>
        <v>34.966108344471664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20.86333333333334</v>
      </c>
      <c r="DO30" s="12">
        <f>IF('Données projet'!$A$166&gt;35,DO29+DN30-DW29,IF(A30&lt;'Données projet'!$A$166,$DL$205^A30,IF(A30='Données projet'!$A$166,'Données projet'!$B$166,DO29+DN30-DW29)))</f>
        <v>197.51000000000005</v>
      </c>
      <c r="DP30" s="17">
        <f>DO30*VLOOKUP('Données projet'!$B$14,Paramètres!$A$1:$I$89,3,0)*VLOOKUP('Données projet'!$B$14,Paramètres!$A$1:$I$89,5,0)</f>
        <v>118.11098000000003</v>
      </c>
      <c r="DQ30" s="13">
        <f t="shared" si="43"/>
        <v>31.234010364950812</v>
      </c>
      <c r="DR30" s="20">
        <f t="shared" si="16"/>
        <v>260.10919155228936</v>
      </c>
      <c r="DS30" s="59">
        <f t="shared" si="17"/>
        <v>549.77585821895605</v>
      </c>
      <c r="DT30" s="59">
        <f ca="1">AVERAGE(OFFSET($DS$3,0,0,'Données projet'!$E$14+1,1))-AVERAGE(OFFSET($H$3,0,0,'Données projet'!$E$14+1,1))</f>
        <v>402.28353929315114</v>
      </c>
      <c r="DU30" s="59">
        <f t="shared" si="44"/>
        <v>376.94419168335463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3.0274849478734125</v>
      </c>
      <c r="EB30" s="21">
        <f>EXP(-LN(2)/25)*EB29+(1-EXP(-LN(2)/25))/(LN(2)/25)*Calculateur!DW30*Calculateur!DY30*VLOOKUP('Données projet'!$B$14,Paramètres!$A$1:$I$89,3,0)*0.475*44/12</f>
        <v>14.010974478131025</v>
      </c>
      <c r="EC30" s="21">
        <f>EXP(-LN(2)/2)*EC29+(1-EXP(-LN(2)/2))/(LN(2)/2)*DW30*DZ30*VLOOKUP('Données projet'!$B$14,Paramètres!$A$1:$I$89,3,0)*0.475*44/12</f>
        <v>4.6323542053118194</v>
      </c>
      <c r="ED30" s="22">
        <f t="shared" si="18"/>
        <v>21.670813631316257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11</v>
      </c>
      <c r="EJ30" s="12">
        <f>IF('Données projet'!$A$192&gt;35,EJ29+EI30-ER29,IF(A30&lt;'Données projet'!$A$192,$EG$205^A30,IF(A30='Données projet'!$A$192,'Données projet'!$B$192,EJ29+EI30-ER29)))</f>
        <v>177</v>
      </c>
      <c r="EK30" s="17">
        <f>EJ30*VLOOKUP('Données projet'!$B$15,Paramètres!$A$1:$I$89,3,0)*VLOOKUP('Données projet'!$B$15,Paramètres!$A$1:$I$89,5,0)</f>
        <v>82.835999999999999</v>
      </c>
      <c r="EL30" s="13">
        <f t="shared" si="45"/>
        <v>22.829188748646022</v>
      </c>
      <c r="EM30" s="20">
        <f t="shared" si="19"/>
        <v>184.03353707055848</v>
      </c>
      <c r="EN30" s="59">
        <f t="shared" si="20"/>
        <v>473.70020373722514</v>
      </c>
      <c r="EO30" s="59">
        <f ca="1">AVERAGE(OFFSET($EN$3,0,0,'Données projet'!$E$15+1,1))-AVERAGE(OFFSET($H$3,0,0,'Données projet'!$E$15+1,1))</f>
        <v>273.3012268683454</v>
      </c>
      <c r="EP30" s="59">
        <f t="shared" si="46"/>
        <v>254.08208375594052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6.2745583218470058</v>
      </c>
      <c r="EX30" s="21">
        <f>EXP(-LN(2)/2)*EX29+(1-EXP(-LN(2)/2))/(LN(2)/2)*ER30*EU30*VLOOKUP('Données projet'!$B$15,Paramètres!$A$1:$I$89,3,0)*0.475*44/12</f>
        <v>0.824307165868987</v>
      </c>
      <c r="EY30" s="22">
        <f t="shared" si="21"/>
        <v>7.0988654877159929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9.1999999999999993</v>
      </c>
      <c r="N31" s="13">
        <f>IF('Données projet'!$A$36&gt;35,N30+M31-V30,IF(A31&lt;'Données projet'!$A$36,$K$205^A31,IF(A31='Données projet'!$A$36,'Données projet'!$B$36,N30+M31-V30)))</f>
        <v>136.60000000000002</v>
      </c>
      <c r="O31" s="13">
        <f>N31*VLOOKUP('Données projet'!$B$9,Paramètres!$A$1:$I$89,3,0)*VLOOKUP('Données projet'!$B$9,Paramètres!$A$1:$I$89,5,0)</f>
        <v>123.59568000000002</v>
      </c>
      <c r="P31" s="13">
        <f t="shared" si="33"/>
        <v>32.512186163604952</v>
      </c>
      <c r="Q31" s="20">
        <f t="shared" si="2"/>
        <v>271.88786690161197</v>
      </c>
      <c r="R31" s="59">
        <f t="shared" si="0"/>
        <v>562.77675579050083</v>
      </c>
      <c r="S31" s="59">
        <f ca="1">AVERAGE(OFFSET($R$3,0,0,'Données projet'!$E$9+1,1))-AVERAGE(OFFSET($H$3,0,0,'Données projet'!$E$9+1,1))</f>
        <v>453.52760163325451</v>
      </c>
      <c r="T31" s="59">
        <f t="shared" si="34"/>
        <v>344.23959526427001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9.4</v>
      </c>
      <c r="AI31" s="13">
        <f>IF('Données projet'!$A$62&gt;35,AI30+AH31-AQ30,IF(A31&lt;'Données projet'!$A$62,$AF$205^A31,IF(A31='Données projet'!$A$62,'Données projet'!$B$62,AI30+AH31-AQ30)))</f>
        <v>97.2</v>
      </c>
      <c r="AJ31" s="13">
        <f>AI31*VLOOKUP('Données projet'!$B$10,Paramètres!$A$1:$I$89,3,0)*VLOOKUP('Données projet'!$B$10,Paramètres!$A$1:$I$89,5,0)</f>
        <v>83.397600000000011</v>
      </c>
      <c r="AK31" s="13">
        <f t="shared" si="35"/>
        <v>22.965893371329315</v>
      </c>
      <c r="AL31" s="20">
        <f t="shared" si="4"/>
        <v>185.24975095506522</v>
      </c>
      <c r="AM31" s="59">
        <f t="shared" si="5"/>
        <v>476.13863984395408</v>
      </c>
      <c r="AN31" s="59">
        <f ca="1">AVERAGE(OFFSET($AM$3,0,0,'Données projet'!$E$10+1,1))-AVERAGE(OFFSET($H$3,0,0,'Données projet'!$E$10+1,1))</f>
        <v>397.45670821030774</v>
      </c>
      <c r="AO31" s="59">
        <f t="shared" si="36"/>
        <v>256.77417912163997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13.166666666666666</v>
      </c>
      <c r="BD31" s="12">
        <f>IF('Données projet'!$A$88&gt;35,BD30+BC31-BL30,IF(A31&lt;'Données projet'!$A$88,$BA$205^A31,IF(A31='Données projet'!$A$88,'Données projet'!$B$88,BD30+BC31-BL30)))</f>
        <v>115.49999999999997</v>
      </c>
      <c r="BE31" s="13">
        <f>BD31*VLOOKUP('Données projet'!$B$11,Paramètres!$A$1:$I$89,3,0)*VLOOKUP('Données projet'!$B$11,Paramètres!$A$1:$I$89,5,0)</f>
        <v>90.089999999999975</v>
      </c>
      <c r="BF31" s="13">
        <f t="shared" si="37"/>
        <v>24.586929563904452</v>
      </c>
      <c r="BG31" s="20">
        <f t="shared" si="7"/>
        <v>199.72898565713353</v>
      </c>
      <c r="BH31" s="59">
        <f t="shared" si="8"/>
        <v>490.61787454602239</v>
      </c>
      <c r="BI31" s="59">
        <f ca="1">AVERAGE(OFFSET($BH$3,0,0,'Données projet'!$E$11+1,1))-AVERAGE(OFFSET($H$3,0,0,'Données projet'!$E$11+1,1))</f>
        <v>293.20194140252903</v>
      </c>
      <c r="BJ31" s="59">
        <f t="shared" si="38"/>
        <v>280.69048279989266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5.4604468307184675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5.4604468307184675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11.8</v>
      </c>
      <c r="BY31" s="12">
        <f>IF('Données projet'!$A$114&gt;35,BY30+BX31-CG30,IF(A31&lt;'Données projet'!$A$114,$BV$205^A31,IF(A31='Données projet'!$A$114,'Données projet'!$B$114,BY30+BX31-CG30)))</f>
        <v>122.39999999999996</v>
      </c>
      <c r="BZ31" s="13">
        <f>BY31*VLOOKUP('Données projet'!$B$12,Paramètres!$A$1:$I$89,3,0)*VLOOKUP('Données projet'!$B$12,Paramètres!$A$1:$I$89,5,0)</f>
        <v>97.381439999999984</v>
      </c>
      <c r="CA31" s="13">
        <f t="shared" si="39"/>
        <v>26.337201615555198</v>
      </c>
      <c r="CB31" s="20">
        <f t="shared" si="10"/>
        <v>215.47663414709197</v>
      </c>
      <c r="CC31" s="59">
        <f t="shared" si="11"/>
        <v>506.3655230359808</v>
      </c>
      <c r="CD31" s="59">
        <f ca="1">AVERAGE(OFFSET($CC$3,0,0,'Données projet'!$E$12+1,1))-AVERAGE(OFFSET($H$3,0,0,'Données projet'!$E$12+1,1))</f>
        <v>271.25628946149067</v>
      </c>
      <c r="CE31" s="59">
        <f t="shared" si="40"/>
        <v>292.57799203101769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5.9176455772982601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5.9176455772982601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16</v>
      </c>
      <c r="CT31" s="12">
        <f>IF('Données projet'!$A$140&gt;35,CT30+CS31-DB30,IF(A31&lt;'Données projet'!$A$140,$CQ$205^A31,IF(A31='Données projet'!$A$140,'Données projet'!$B$140,CT30+CS31-DB30)))</f>
        <v>186.00000000000006</v>
      </c>
      <c r="CU31" s="17">
        <f>CT31*VLOOKUP('Données projet'!$B$13,Paramètres!$A$1:$I$89,3,0)*VLOOKUP('Données projet'!$B$13,Paramètres!$A$1:$I$89,5,0)</f>
        <v>101.55600000000003</v>
      </c>
      <c r="CV31" s="13">
        <f t="shared" si="41"/>
        <v>27.332359320696909</v>
      </c>
      <c r="CW31" s="20">
        <f t="shared" si="13"/>
        <v>224.48055915021382</v>
      </c>
      <c r="CX31" s="59">
        <f t="shared" si="14"/>
        <v>515.36944803910274</v>
      </c>
      <c r="CY31" s="59">
        <f ca="1">AVERAGE(OFFSET($CX$3,0,0,'Données projet'!$E$13+1,1))-AVERAGE(OFFSET($H$3,0,0,'Données projet'!$E$13+1,1))</f>
        <v>210.03861149060413</v>
      </c>
      <c r="CZ31" s="59">
        <f t="shared" si="42"/>
        <v>298.74602928001929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10.895837120406229</v>
      </c>
      <c r="DG31" s="21">
        <f>EXP(-LN(2)/25)*DG30+(1-EXP(-LN(2)/25))/(LN(2)/25)*Calculateur!DB31*Calculateur!DD31*VLOOKUP('Données projet'!$B$13,Paramètres!$A$1:$I$89,3,0)*0.475*44/12</f>
        <v>18.376157087888657</v>
      </c>
      <c r="DH31" s="21">
        <f>EXP(-LN(2)/2)*DH30+(1-EXP(-LN(2)/2))/(LN(2)/2)*DB31*DE31*VLOOKUP('Données projet'!$B$13,Paramètres!$A$1:$I$89,3,0)*0.475*44/12</f>
        <v>3.5069355115514314</v>
      </c>
      <c r="DI31" s="22">
        <f t="shared" si="15"/>
        <v>32.778929719846317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20.86333333333334</v>
      </c>
      <c r="DO31" s="12">
        <f>IF('Données projet'!$A$166&gt;35,DO30+DN31-DW30,IF(A31&lt;'Données projet'!$A$166,$DL$205^A31,IF(A31='Données projet'!$A$166,'Données projet'!$B$166,DO30+DN31-DW30)))</f>
        <v>218.37333333333339</v>
      </c>
      <c r="DP31" s="17">
        <f>DO31*VLOOKUP('Données projet'!$B$14,Paramètres!$A$1:$I$89,3,0)*VLOOKUP('Données projet'!$B$14,Paramètres!$A$1:$I$89,5,0)</f>
        <v>130.58725333333339</v>
      </c>
      <c r="DQ31" s="13">
        <f t="shared" si="43"/>
        <v>34.132020719394767</v>
      </c>
      <c r="DR31" s="20">
        <f t="shared" si="16"/>
        <v>286.8860689751682</v>
      </c>
      <c r="DS31" s="59">
        <f t="shared" si="17"/>
        <v>577.77495786405711</v>
      </c>
      <c r="DT31" s="59">
        <f ca="1">AVERAGE(OFFSET($DS$3,0,0,'Données projet'!$E$14+1,1))-AVERAGE(OFFSET($H$3,0,0,'Données projet'!$E$14+1,1))</f>
        <v>402.28353929315114</v>
      </c>
      <c r="DU31" s="59">
        <f t="shared" si="44"/>
        <v>376.94419168335463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2.9681178146290983</v>
      </c>
      <c r="EB31" s="21">
        <f>EXP(-LN(2)/25)*EB30+(1-EXP(-LN(2)/25))/(LN(2)/25)*Calculateur!DW31*Calculateur!DY31*VLOOKUP('Données projet'!$B$14,Paramètres!$A$1:$I$89,3,0)*0.475*44/12</f>
        <v>13.627843644221407</v>
      </c>
      <c r="EC31" s="21">
        <f>EXP(-LN(2)/2)*EC30+(1-EXP(-LN(2)/2))/(LN(2)/2)*DW31*DZ31*VLOOKUP('Données projet'!$B$14,Paramètres!$A$1:$I$89,3,0)*0.475*44/12</f>
        <v>3.275569071434008</v>
      </c>
      <c r="ED31" s="22">
        <f t="shared" si="18"/>
        <v>19.871530530284517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11</v>
      </c>
      <c r="EJ31" s="12">
        <f>IF('Données projet'!$A$192&gt;35,EJ30+EI31-ER30,IF(A31&lt;'Données projet'!$A$192,$EG$205^A31,IF(A31='Données projet'!$A$192,'Données projet'!$B$192,EJ30+EI31-ER30)))</f>
        <v>188</v>
      </c>
      <c r="EK31" s="17">
        <f>EJ31*VLOOKUP('Données projet'!$B$15,Paramètres!$A$1:$I$89,3,0)*VLOOKUP('Données projet'!$B$15,Paramètres!$A$1:$I$89,5,0)</f>
        <v>87.983999999999995</v>
      </c>
      <c r="EL31" s="13">
        <f t="shared" si="45"/>
        <v>24.078375128721785</v>
      </c>
      <c r="EM31" s="20">
        <f t="shared" si="19"/>
        <v>195.17530334919044</v>
      </c>
      <c r="EN31" s="59">
        <f t="shared" si="20"/>
        <v>486.06419223807927</v>
      </c>
      <c r="EO31" s="59">
        <f ca="1">AVERAGE(OFFSET($EN$3,0,0,'Données projet'!$E$15+1,1))-AVERAGE(OFFSET($H$3,0,0,'Données projet'!$E$15+1,1))</f>
        <v>273.3012268683454</v>
      </c>
      <c r="EP31" s="59">
        <f t="shared" si="46"/>
        <v>254.08208375594052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6.1029801945714182</v>
      </c>
      <c r="EX31" s="21">
        <f>EXP(-LN(2)/2)*EX30+(1-EXP(-LN(2)/2))/(LN(2)/2)*ER31*EU31*VLOOKUP('Données projet'!$B$15,Paramètres!$A$1:$I$89,3,0)*0.475*44/12</f>
        <v>0.58287318676662492</v>
      </c>
      <c r="EY31" s="22">
        <f t="shared" si="21"/>
        <v>6.6858533813380427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9.1999999999999993</v>
      </c>
      <c r="N32" s="13">
        <f>IF('Données projet'!$A$36&gt;35,N31+M32-V31,IF(A32&lt;'Données projet'!$A$36,$K$205^A32,IF(A32='Données projet'!$A$36,'Données projet'!$B$36,N31+M32-V31)))</f>
        <v>145.80000000000001</v>
      </c>
      <c r="O32" s="13">
        <f>N32*VLOOKUP('Données projet'!$B$9,Paramètres!$A$1:$I$89,3,0)*VLOOKUP('Données projet'!$B$9,Paramètres!$A$1:$I$89,5,0)</f>
        <v>131.91984000000002</v>
      </c>
      <c r="P32" s="13">
        <f t="shared" si="33"/>
        <v>34.439598778503417</v>
      </c>
      <c r="Q32" s="20">
        <f t="shared" si="2"/>
        <v>289.74268920589344</v>
      </c>
      <c r="R32" s="59">
        <f t="shared" si="0"/>
        <v>581.85380031700458</v>
      </c>
      <c r="S32" s="59">
        <f ca="1">AVERAGE(OFFSET($R$3,0,0,'Données projet'!$E$9+1,1))-AVERAGE(OFFSET($H$3,0,0,'Données projet'!$E$9+1,1))</f>
        <v>453.52760163325451</v>
      </c>
      <c r="T32" s="59">
        <f t="shared" si="34"/>
        <v>344.23959526427001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9.4</v>
      </c>
      <c r="AI32" s="13">
        <f>IF('Données projet'!$A$62&gt;35,AI31+AH32-AQ31,IF(A32&lt;'Données projet'!$A$62,$AF$205^A32,IF(A32='Données projet'!$A$62,'Données projet'!$B$62,AI31+AH32-AQ31)))</f>
        <v>106.60000000000001</v>
      </c>
      <c r="AJ32" s="13">
        <f>AI32*VLOOKUP('Données projet'!$B$10,Paramètres!$A$1:$I$89,3,0)*VLOOKUP('Données projet'!$B$10,Paramètres!$A$1:$I$89,5,0)</f>
        <v>91.462800000000016</v>
      </c>
      <c r="AK32" s="13">
        <f t="shared" si="35"/>
        <v>24.917685409456144</v>
      </c>
      <c r="AL32" s="20">
        <f t="shared" si="4"/>
        <v>202.69601208813614</v>
      </c>
      <c r="AM32" s="59">
        <f t="shared" si="5"/>
        <v>494.80712319924726</v>
      </c>
      <c r="AN32" s="59">
        <f ca="1">AVERAGE(OFFSET($AM$3,0,0,'Données projet'!$E$10+1,1))-AVERAGE(OFFSET($H$3,0,0,'Données projet'!$E$10+1,1))</f>
        <v>397.45670821030774</v>
      </c>
      <c r="AO32" s="59">
        <f t="shared" si="36"/>
        <v>256.77417912163997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13.166666666666666</v>
      </c>
      <c r="BD32" s="12">
        <f>IF('Données projet'!$A$88&gt;35,BD31+BC32-BL31,IF(A32&lt;'Données projet'!$A$88,$BA$205^A32,IF(A32='Données projet'!$A$88,'Données projet'!$B$88,BD31+BC32-BL31)))</f>
        <v>128.66666666666663</v>
      </c>
      <c r="BE32" s="13">
        <f>BD32*VLOOKUP('Données projet'!$B$11,Paramètres!$A$1:$I$89,3,0)*VLOOKUP('Données projet'!$B$11,Paramètres!$A$1:$I$89,5,0)</f>
        <v>100.35999999999997</v>
      </c>
      <c r="BF32" s="13">
        <f t="shared" si="37"/>
        <v>27.047744638609704</v>
      </c>
      <c r="BG32" s="20">
        <f t="shared" si="7"/>
        <v>221.90182191224517</v>
      </c>
      <c r="BH32" s="59">
        <f t="shared" si="8"/>
        <v>514.01293302335625</v>
      </c>
      <c r="BI32" s="59">
        <f ca="1">AVERAGE(OFFSET($BH$3,0,0,'Données projet'!$E$11+1,1))-AVERAGE(OFFSET($H$3,0,0,'Données projet'!$E$11+1,1))</f>
        <v>293.20194140252903</v>
      </c>
      <c r="BJ32" s="59">
        <f t="shared" si="38"/>
        <v>280.69048279989266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5.3533707989117811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5.3533707989117811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11.8</v>
      </c>
      <c r="BY32" s="12">
        <f>IF('Données projet'!$A$114&gt;35,BY31+BX32-CG31,IF(A32&lt;'Données projet'!$A$114,$BV$205^A32,IF(A32='Données projet'!$A$114,'Données projet'!$B$114,BY31+BX32-CG31)))</f>
        <v>134.19999999999996</v>
      </c>
      <c r="BZ32" s="13">
        <f>BY32*VLOOKUP('Données projet'!$B$12,Paramètres!$A$1:$I$89,3,0)*VLOOKUP('Données projet'!$B$12,Paramètres!$A$1:$I$89,5,0)</f>
        <v>106.76951999999997</v>
      </c>
      <c r="CA32" s="13">
        <f t="shared" si="39"/>
        <v>28.568542914630683</v>
      </c>
      <c r="CB32" s="20">
        <f t="shared" si="10"/>
        <v>235.71379290964839</v>
      </c>
      <c r="CC32" s="59">
        <f t="shared" si="11"/>
        <v>527.8249040207595</v>
      </c>
      <c r="CD32" s="59">
        <f ca="1">AVERAGE(OFFSET($CC$3,0,0,'Données projet'!$E$12+1,1))-AVERAGE(OFFSET($H$3,0,0,'Données projet'!$E$12+1,1))</f>
        <v>271.25628946149067</v>
      </c>
      <c r="CE32" s="59">
        <f t="shared" si="40"/>
        <v>292.57799203101769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5.801604156934844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5.801604156934844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16</v>
      </c>
      <c r="CT32" s="12">
        <f>IF('Données projet'!$A$140&gt;35,CT31+CS32-DB31,IF(A32&lt;'Données projet'!$A$140,$CQ$205^A32,IF(A32='Données projet'!$A$140,'Données projet'!$B$140,CT31+CS32-DB31)))</f>
        <v>202.00000000000006</v>
      </c>
      <c r="CU32" s="17">
        <f>CT32*VLOOKUP('Données projet'!$B$13,Paramètres!$A$1:$I$89,3,0)*VLOOKUP('Données projet'!$B$13,Paramètres!$A$1:$I$89,5,0)</f>
        <v>110.29200000000003</v>
      </c>
      <c r="CV32" s="13">
        <f t="shared" si="41"/>
        <v>29.39977143172484</v>
      </c>
      <c r="CW32" s="20">
        <f t="shared" si="13"/>
        <v>243.29650191025416</v>
      </c>
      <c r="CX32" s="59">
        <f t="shared" si="14"/>
        <v>535.40761302136525</v>
      </c>
      <c r="CY32" s="59">
        <f ca="1">AVERAGE(OFFSET($CX$3,0,0,'Données projet'!$E$13+1,1))-AVERAGE(OFFSET($H$3,0,0,'Données projet'!$E$13+1,1))</f>
        <v>210.03861149060413</v>
      </c>
      <c r="CZ32" s="59">
        <f t="shared" si="42"/>
        <v>298.74602928001929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10.682176400279488</v>
      </c>
      <c r="DG32" s="21">
        <f>EXP(-LN(2)/25)*DG31+(1-EXP(-LN(2)/25))/(LN(2)/25)*Calculateur!DB32*Calculateur!DD32*VLOOKUP('Données projet'!$B$13,Paramètres!$A$1:$I$89,3,0)*0.475*44/12</f>
        <v>17.873660105960241</v>
      </c>
      <c r="DH32" s="21">
        <f>EXP(-LN(2)/2)*DH31+(1-EXP(-LN(2)/2))/(LN(2)/2)*DB32*DE32*VLOOKUP('Données projet'!$B$13,Paramètres!$A$1:$I$89,3,0)*0.475*44/12</f>
        <v>2.4797778814019313</v>
      </c>
      <c r="DI32" s="22">
        <f t="shared" si="15"/>
        <v>31.035614387641658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20.86333333333334</v>
      </c>
      <c r="DO32" s="12">
        <f>IF('Données projet'!$A$166&gt;35,DO31+DN32-DW31,IF(A32&lt;'Données projet'!$A$166,$DL$205^A32,IF(A32='Données projet'!$A$166,'Données projet'!$B$166,DO31+DN32-DW31)))</f>
        <v>239.23666666666674</v>
      </c>
      <c r="DP32" s="17">
        <f>DO32*VLOOKUP('Données projet'!$B$14,Paramètres!$A$1:$I$89,3,0)*VLOOKUP('Données projet'!$B$14,Paramètres!$A$1:$I$89,5,0)</f>
        <v>143.06352666666672</v>
      </c>
      <c r="DQ32" s="13">
        <f t="shared" si="43"/>
        <v>36.997929837448268</v>
      </c>
      <c r="DR32" s="20">
        <f t="shared" si="16"/>
        <v>313.60703674466691</v>
      </c>
      <c r="DS32" s="59">
        <f t="shared" si="17"/>
        <v>605.71814785577806</v>
      </c>
      <c r="DT32" s="59">
        <f ca="1">AVERAGE(OFFSET($DS$3,0,0,'Données projet'!$E$14+1,1))-AVERAGE(OFFSET($H$3,0,0,'Données projet'!$E$14+1,1))</f>
        <v>402.28353929315114</v>
      </c>
      <c r="DU32" s="59">
        <f t="shared" si="44"/>
        <v>376.94419168335463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2.9099148346573291</v>
      </c>
      <c r="EB32" s="21">
        <f>EXP(-LN(2)/25)*EB31+(1-EXP(-LN(2)/25))/(LN(2)/25)*Calculateur!DW32*Calculateur!DY32*VLOOKUP('Données projet'!$B$14,Paramètres!$A$1:$I$89,3,0)*0.475*44/12</f>
        <v>13.255189543113023</v>
      </c>
      <c r="EC32" s="21">
        <f>EXP(-LN(2)/2)*EC31+(1-EXP(-LN(2)/2))/(LN(2)/2)*DW32*DZ32*VLOOKUP('Données projet'!$B$14,Paramètres!$A$1:$I$89,3,0)*0.475*44/12</f>
        <v>2.3161771026559097</v>
      </c>
      <c r="ED32" s="22">
        <f t="shared" si="18"/>
        <v>18.481281480426262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11</v>
      </c>
      <c r="EJ32" s="12">
        <f>IF('Données projet'!$A$192&gt;35,EJ31+EI32-ER31,IF(A32&lt;'Données projet'!$A$192,$EG$205^A32,IF(A32='Données projet'!$A$192,'Données projet'!$B$192,EJ31+EI32-ER31)))</f>
        <v>199</v>
      </c>
      <c r="EK32" s="17">
        <f>EJ32*VLOOKUP('Données projet'!$B$15,Paramètres!$A$1:$I$89,3,0)*VLOOKUP('Données projet'!$B$15,Paramètres!$A$1:$I$89,5,0)</f>
        <v>93.132000000000005</v>
      </c>
      <c r="EL32" s="13">
        <f t="shared" si="45"/>
        <v>25.319077548810455</v>
      </c>
      <c r="EM32" s="20">
        <f t="shared" si="19"/>
        <v>206.30229339751153</v>
      </c>
      <c r="EN32" s="59">
        <f t="shared" si="20"/>
        <v>498.41340450862265</v>
      </c>
      <c r="EO32" s="59">
        <f ca="1">AVERAGE(OFFSET($EN$3,0,0,'Données projet'!$E$15+1,1))-AVERAGE(OFFSET($H$3,0,0,'Données projet'!$E$15+1,1))</f>
        <v>273.3012268683454</v>
      </c>
      <c r="EP32" s="59">
        <f t="shared" si="46"/>
        <v>254.08208375594052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5.936093880209083</v>
      </c>
      <c r="EX32" s="21">
        <f>EXP(-LN(2)/2)*EX31+(1-EXP(-LN(2)/2))/(LN(2)/2)*ER32*EU32*VLOOKUP('Données projet'!$B$15,Paramètres!$A$1:$I$89,3,0)*0.475*44/12</f>
        <v>0.4121535829344935</v>
      </c>
      <c r="EY32" s="22">
        <f t="shared" si="21"/>
        <v>6.3482474631435766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155</v>
      </c>
      <c r="L33" s="12">
        <f>VLOOKUP(A33,'Données projet'!$A$35:$I$55,9,0)</f>
        <v>9.1999999999999993</v>
      </c>
      <c r="M33" s="12">
        <f t="array" ref="M33">INDEX(L:L,MIN(IF(ISNUMBER(L33:L229),ROW(L33:L229),"")))</f>
        <v>9.1999999999999993</v>
      </c>
      <c r="N33" s="13">
        <f>IF('Données projet'!$A$36&gt;35,N32+M33-V32,IF(A33&lt;'Données projet'!$A$36,$K$205^A33,IF(A33='Données projet'!$A$36,'Données projet'!$B$36,N32+M33-V32)))</f>
        <v>155</v>
      </c>
      <c r="O33" s="13">
        <f>N33*VLOOKUP('Données projet'!$B$9,Paramètres!$A$1:$I$89,3,0)*VLOOKUP('Données projet'!$B$9,Paramètres!$A$1:$I$89,5,0)</f>
        <v>140.244</v>
      </c>
      <c r="P33" s="13">
        <f t="shared" si="33"/>
        <v>36.352896802451752</v>
      </c>
      <c r="Q33" s="20">
        <f t="shared" si="2"/>
        <v>307.57292859760338</v>
      </c>
      <c r="R33" s="59">
        <f t="shared" si="0"/>
        <v>600.90626193093669</v>
      </c>
      <c r="S33" s="59">
        <f ca="1">AVERAGE(OFFSET($R$3,0,0,'Données projet'!$E$9+1,1))-AVERAGE(OFFSET($H$3,0,0,'Données projet'!$E$9+1,1))</f>
        <v>453.52760163325451</v>
      </c>
      <c r="T33" s="59">
        <f t="shared" si="34"/>
        <v>344.23959526427001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62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116</v>
      </c>
      <c r="AG33" s="12">
        <f>VLOOKUP(A33,'Données projet'!$A$61:$I$81,9,0)</f>
        <v>9.4</v>
      </c>
      <c r="AH33" s="12">
        <f t="array" ref="AH33">INDEX(AG:AG,MIN(IF(ISNUMBER(AG33:AG229),ROW(AG33:AG229),"")))</f>
        <v>9.4</v>
      </c>
      <c r="AI33" s="13">
        <f>IF('Données projet'!$A$62&gt;35,AI32+AH33-AQ32,IF(A33&lt;'Données projet'!$A$62,$AF$205^A33,IF(A33='Données projet'!$A$62,'Données projet'!$B$62,AI32+AH33-AQ32)))</f>
        <v>116.00000000000001</v>
      </c>
      <c r="AJ33" s="13">
        <f>AI33*VLOOKUP('Données projet'!$B$10,Paramètres!$A$1:$I$89,3,0)*VLOOKUP('Données projet'!$B$10,Paramètres!$A$1:$I$89,5,0)</f>
        <v>99.52800000000002</v>
      </c>
      <c r="AK33" s="13">
        <f t="shared" si="35"/>
        <v>26.849519112903323</v>
      </c>
      <c r="AL33" s="20">
        <f t="shared" si="4"/>
        <v>220.10751245497332</v>
      </c>
      <c r="AM33" s="59">
        <f t="shared" si="5"/>
        <v>513.44084578830666</v>
      </c>
      <c r="AN33" s="59">
        <f ca="1">AVERAGE(OFFSET($AM$3,0,0,'Données projet'!$E$10+1,1))-AVERAGE(OFFSET($H$3,0,0,'Données projet'!$E$10+1,1))</f>
        <v>397.45670821030774</v>
      </c>
      <c r="AO33" s="59">
        <f t="shared" si="36"/>
        <v>256.77417912163997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28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13.166666666666666</v>
      </c>
      <c r="BD33" s="12">
        <f>IF('Données projet'!$A$88&gt;35,BD32+BC33-BL32,IF(A33&lt;'Données projet'!$A$88,$BA$205^A33,IF(A33='Données projet'!$A$88,'Données projet'!$B$88,BD32+BC33-BL32)))</f>
        <v>141.83333333333329</v>
      </c>
      <c r="BE33" s="13">
        <f>BD33*VLOOKUP('Données projet'!$B$11,Paramètres!$A$1:$I$89,3,0)*VLOOKUP('Données projet'!$B$11,Paramètres!$A$1:$I$89,5,0)</f>
        <v>110.62999999999997</v>
      </c>
      <c r="BF33" s="13">
        <f t="shared" si="37"/>
        <v>29.479368114771006</v>
      </c>
      <c r="BG33" s="20">
        <f t="shared" si="7"/>
        <v>244.02381613322609</v>
      </c>
      <c r="BH33" s="59">
        <f t="shared" si="8"/>
        <v>537.35714946655935</v>
      </c>
      <c r="BI33" s="59">
        <f ca="1">AVERAGE(OFFSET($BH$3,0,0,'Données projet'!$E$11+1,1))-AVERAGE(OFFSET($H$3,0,0,'Données projet'!$E$11+1,1))</f>
        <v>293.20194140252903</v>
      </c>
      <c r="BJ33" s="59">
        <f t="shared" si="38"/>
        <v>280.69048279989266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5.2483944627788937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5.2483944627788937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146</v>
      </c>
      <c r="BW33" s="12">
        <f>VLOOKUP(A33,'Données projet'!$A$113:$I$133,9,0)</f>
        <v>11.8</v>
      </c>
      <c r="BX33" s="12">
        <f t="array" ref="BX33">INDEX(BW:BW,MIN(IF(ISNUMBER(BW33:BW229),ROW(BW33:BW229),"")))</f>
        <v>11.8</v>
      </c>
      <c r="BY33" s="12">
        <f>IF('Données projet'!$A$114&gt;35,BY32+BX33-CG32,IF(A33&lt;'Données projet'!$A$114,$BV$205^A33,IF(A33='Données projet'!$A$114,'Données projet'!$B$114,BY32+BX33-CG32)))</f>
        <v>145.99999999999997</v>
      </c>
      <c r="BZ33" s="13">
        <f>BY33*VLOOKUP('Données projet'!$B$12,Paramètres!$A$1:$I$89,3,0)*VLOOKUP('Données projet'!$B$12,Paramètres!$A$1:$I$89,5,0)</f>
        <v>116.15759999999999</v>
      </c>
      <c r="CA33" s="13">
        <f t="shared" si="39"/>
        <v>30.777132266613055</v>
      </c>
      <c r="CB33" s="20">
        <f t="shared" si="10"/>
        <v>255.91132536435109</v>
      </c>
      <c r="CC33" s="59">
        <f t="shared" si="11"/>
        <v>549.24465869768437</v>
      </c>
      <c r="CD33" s="59">
        <f ca="1">AVERAGE(OFFSET($CC$3,0,0,'Données projet'!$E$12+1,1))-AVERAGE(OFFSET($H$3,0,0,'Données projet'!$E$12+1,1))</f>
        <v>271.25628946149067</v>
      </c>
      <c r="CE33" s="59">
        <f t="shared" si="40"/>
        <v>292.57799203101769</v>
      </c>
      <c r="CF33" s="15">
        <f>IF(ISNA(VLOOKUP(A33,'Données projet'!$A$113:$I$133,3,0)),0,VLOOKUP(A33,'Données projet'!$A$113:$I$133,3,0))</f>
        <v>4</v>
      </c>
      <c r="CG33" s="15">
        <f>IF(ISNA(VLOOKUP(A33,'Données projet'!$A$113:$I$133,4,0)),0,VLOOKUP(A33,'Données projet'!$A$113:$I$133,4,0))</f>
        <v>28</v>
      </c>
      <c r="CH33" s="16">
        <f>IF(ISNA(VLOOKUP(A33,'Données projet'!$A$113:$I$133,5,0)),0%,VLOOKUP(A33,'Données projet'!$A$113:$I$133,5,0)*VLOOKUP('Données projet'!$B$12,Paramètres!$A$1:$I$89,7,0))</f>
        <v>0.159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9.6034267036204373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9.6034267036204373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218</v>
      </c>
      <c r="CR33" s="12">
        <f>VLOOKUP(A33,'Données projet'!$A$139:$I$159,9,0)</f>
        <v>16</v>
      </c>
      <c r="CS33" s="12">
        <f t="array" ref="CS33">INDEX(CR:CR,MIN(IF(ISNUMBER(CR33:CR229),ROW(CR33:CR229),"")))</f>
        <v>16</v>
      </c>
      <c r="CT33" s="12">
        <f>IF('Données projet'!$A$140&gt;35,CT32+CS33-DB32,IF(A33&lt;'Données projet'!$A$140,$CQ$205^A33,IF(A33='Données projet'!$A$140,'Données projet'!$B$140,CT32+CS33-DB32)))</f>
        <v>218.00000000000006</v>
      </c>
      <c r="CU33" s="17">
        <f>CT33*VLOOKUP('Données projet'!$B$13,Paramètres!$A$1:$I$89,3,0)*VLOOKUP('Données projet'!$B$13,Paramètres!$A$1:$I$89,5,0)</f>
        <v>119.02800000000002</v>
      </c>
      <c r="CV33" s="13">
        <f t="shared" si="41"/>
        <v>31.448189060298173</v>
      </c>
      <c r="CW33" s="20">
        <f t="shared" si="13"/>
        <v>262.07936261335271</v>
      </c>
      <c r="CX33" s="59">
        <f t="shared" si="14"/>
        <v>555.41269594668597</v>
      </c>
      <c r="CY33" s="59">
        <f ca="1">AVERAGE(OFFSET($CX$3,0,0,'Données projet'!$E$13+1,1))-AVERAGE(OFFSET($H$3,0,0,'Données projet'!$E$13+1,1))</f>
        <v>210.03861149060413</v>
      </c>
      <c r="CZ33" s="59">
        <f t="shared" si="42"/>
        <v>298.74602928001929</v>
      </c>
      <c r="DA33" s="15">
        <f>IF(ISNA(VLOOKUP(A33,'Données projet'!$A$139:$I$159,3,0)),0,VLOOKUP(A33,'Données projet'!$A$139:$I$159,3,0))</f>
        <v>5</v>
      </c>
      <c r="DB33" s="15">
        <f>IF(ISNA(VLOOKUP(A33,'Données projet'!$A$139:$I$159,4,0)),0,VLOOKUP(A33,'Données projet'!$A$139:$I$159,4,0))</f>
        <v>42</v>
      </c>
      <c r="DC33" s="16">
        <f>IF(ISNA(VLOOKUP(A33,'Données projet'!$A$139:$I$159,5,0)),0%,VLOOKUP(A33,'Données projet'!$A$139:$I$159,5,0)*VLOOKUP('Données projet'!$B$13,Paramètres!$A$1:$I$89,7,0))</f>
        <v>0.18</v>
      </c>
      <c r="DD33" s="16">
        <f>IF(ISNA(VLOOKUP(A33,'Données projet'!$A$139:$I$159,6,0)),0%,VLOOKUP(A33,'Données projet'!$A$139:$I$159,6,0)*VLOOKUP('Données projet'!$B$13,Paramètres!$A$1:$I$89,7,0))</f>
        <v>0.23399999999999999</v>
      </c>
      <c r="DE33" s="16">
        <f>IF(ISNA(VLOOKUP(A33,'Données projet'!$A$139:$I$159,7,0)),0%,VLOOKUP(A33,'Données projet'!$A$139:$I$159,7,0))</f>
        <v>0.31</v>
      </c>
      <c r="DF33" s="21">
        <f>EXP(-LN(2)/35)*DF32+(1-EXP(-LN(2)/35))/(LN(2)/35)*DB33*DC33*VLOOKUP('Données projet'!$B$13,Paramètres!$A$1:$I$89,3,0)*0.475*44/12</f>
        <v>15.948445133139376</v>
      </c>
      <c r="DG33" s="21">
        <f>EXP(-LN(2)/25)*DG32+(1-EXP(-LN(2)/25))/(LN(2)/25)*Calculateur!DB33*Calculateur!DD33*VLOOKUP('Données projet'!$B$13,Paramètres!$A$1:$I$89,3,0)*0.475*44/12</f>
        <v>24.475337440300866</v>
      </c>
      <c r="DH33" s="21">
        <f>EXP(-LN(2)/2)*DH32+(1-EXP(-LN(2)/2))/(LN(2)/2)*DB33*DE33*VLOOKUP('Données projet'!$B$13,Paramètres!$A$1:$I$89,3,0)*0.475*44/12</f>
        <v>9.8024165803075576</v>
      </c>
      <c r="DI33" s="22">
        <f t="shared" si="15"/>
        <v>50.2261991537478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260.10000000000002</v>
      </c>
      <c r="DM33" s="12">
        <f>VLOOKUP(A33,'Données projet'!$A$165:$I$185,9,0)</f>
        <v>20.86333333333334</v>
      </c>
      <c r="DN33" s="12">
        <f t="array" ref="DN33">INDEX(DM:DM,MIN(IF(ISNUMBER(DM33:DM229),ROW(DM33:DM229),"")))</f>
        <v>20.86333333333334</v>
      </c>
      <c r="DO33" s="12">
        <f>IF('Données projet'!$A$166&gt;35,DO32+DN33-DW32,IF(A33&lt;'Données projet'!$A$166,$DL$205^A33,IF(A33='Données projet'!$A$166,'Données projet'!$B$166,DO32+DN33-DW32)))</f>
        <v>260.10000000000008</v>
      </c>
      <c r="DP33" s="17">
        <f>DO33*VLOOKUP('Données projet'!$B$14,Paramètres!$A$1:$I$89,3,0)*VLOOKUP('Données projet'!$B$14,Paramètres!$A$1:$I$89,5,0)</f>
        <v>155.53980000000007</v>
      </c>
      <c r="DQ33" s="13">
        <f t="shared" si="43"/>
        <v>39.834855511973885</v>
      </c>
      <c r="DR33" s="20">
        <f t="shared" si="16"/>
        <v>340.27752501668795</v>
      </c>
      <c r="DS33" s="59">
        <f t="shared" si="17"/>
        <v>633.61085835002132</v>
      </c>
      <c r="DT33" s="59">
        <f ca="1">AVERAGE(OFFSET($DS$3,0,0,'Données projet'!$E$14+1,1))-AVERAGE(OFFSET($H$3,0,0,'Données projet'!$E$14+1,1))</f>
        <v>402.28353929315114</v>
      </c>
      <c r="DU33" s="59">
        <f t="shared" si="44"/>
        <v>376.94419168335463</v>
      </c>
      <c r="DV33" s="15">
        <f>IF(ISNA(VLOOKUP(A33,'Données projet'!$A$165:$I$185,3,0)),0,VLOOKUP(A33,'Données projet'!$A$165:$I$185,3,0))</f>
        <v>4</v>
      </c>
      <c r="DW33" s="15">
        <f>IF(ISNA(VLOOKUP(A33,'Données projet'!$A$165:$I$185,4,0)),0,VLOOKUP(A33,'Données projet'!$A$165:$I$185,4,0))</f>
        <v>66.989999999999995</v>
      </c>
      <c r="DX33" s="16">
        <f>IF(ISNA(VLOOKUP(A33,'Données projet'!$A$165:$I$185,5,0)),0%,VLOOKUP(A33,'Données projet'!$A$165:$I$185,5,0)*VLOOKUP('Données projet'!$B$14,Paramètres!$A$1:$I$89,7,0))</f>
        <v>9.0000000000000011E-2</v>
      </c>
      <c r="DY33" s="16">
        <f>IF(ISNA(VLOOKUP(A33,'Données projet'!$A$165:$I$185,6,0)),0%,VLOOKUP(A33,'Données projet'!$A$165:$I$185,6,0)*VLOOKUP('Données projet'!$B$14,Paramètres!$A$1:$I$89,7,0))</f>
        <v>0.20250000000000001</v>
      </c>
      <c r="DZ33" s="16">
        <f>IF(ISNA(VLOOKUP(A33,'Données projet'!$A$165:$I$185,7,0)),0%,VLOOKUP(A33,'Données projet'!$A$165:$I$185,7,0))</f>
        <v>0.35</v>
      </c>
      <c r="EA33" s="21">
        <f>EXP(-LN(2)/35)*EA32+(1-EXP(-LN(2)/35))/(LN(2)/35)*DW33*DX33*VLOOKUP('Données projet'!$B$14,Paramètres!$A$1:$I$89,3,0)*0.475*44/12</f>
        <v>7.635651055080233</v>
      </c>
      <c r="EB33" s="21">
        <f>EXP(-LN(2)/25)*EB32+(1-EXP(-LN(2)/25))/(LN(2)/25)*Calculateur!DW33*Calculateur!DY33*VLOOKUP('Données projet'!$B$14,Paramètres!$A$1:$I$89,3,0)*0.475*44/12</f>
        <v>23.611649588121168</v>
      </c>
      <c r="EC33" s="21">
        <f>EXP(-LN(2)/2)*EC32+(1-EXP(-LN(2)/2))/(LN(2)/2)*DW33*DZ33*VLOOKUP('Données projet'!$B$14,Paramètres!$A$1:$I$89,3,0)*0.475*44/12</f>
        <v>17.512821504961661</v>
      </c>
      <c r="ED33" s="22">
        <f t="shared" si="18"/>
        <v>48.760122148163063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210</v>
      </c>
      <c r="EH33" s="12">
        <f>VLOOKUP(A33,'Données projet'!$A$191:$I$211,9,0)</f>
        <v>11</v>
      </c>
      <c r="EI33" s="12">
        <f t="array" ref="EI33">INDEX(EH:EH,MIN(IF(ISNUMBER(EH33:EH229),ROW(EH33:EH229),"")))</f>
        <v>11</v>
      </c>
      <c r="EJ33" s="12">
        <f>IF('Données projet'!$A$192&gt;35,EJ32+EI33-ER32,IF(A33&lt;'Données projet'!$A$192,$EG$205^A33,IF(A33='Données projet'!$A$192,'Données projet'!$B$192,EJ32+EI33-ER32)))</f>
        <v>210</v>
      </c>
      <c r="EK33" s="17">
        <f>EJ33*VLOOKUP('Données projet'!$B$15,Paramètres!$A$1:$I$89,3,0)*VLOOKUP('Données projet'!$B$15,Paramètres!$A$1:$I$89,5,0)</f>
        <v>98.28</v>
      </c>
      <c r="EL33" s="13">
        <f t="shared" si="45"/>
        <v>26.551818424463473</v>
      </c>
      <c r="EM33" s="20">
        <f t="shared" si="19"/>
        <v>217.41541708927389</v>
      </c>
      <c r="EN33" s="59">
        <f t="shared" si="20"/>
        <v>510.7487504226072</v>
      </c>
      <c r="EO33" s="59">
        <f ca="1">AVERAGE(OFFSET($EN$3,0,0,'Données projet'!$E$15+1,1))-AVERAGE(OFFSET($H$3,0,0,'Données projet'!$E$15+1,1))</f>
        <v>273.3012268683454</v>
      </c>
      <c r="EP33" s="59">
        <f t="shared" si="46"/>
        <v>254.08208375594052</v>
      </c>
      <c r="EQ33" s="15">
        <f>IF(ISNA(VLOOKUP(A33,'Données projet'!$A$191:$I$211,3,0)),0,VLOOKUP(A33,'Données projet'!$A$191:$I$211,3,0))</f>
        <v>2</v>
      </c>
      <c r="ER33" s="15">
        <f>IF(ISNA(VLOOKUP(A33,'Données projet'!$A$191:$I$211,4,0)),0,VLOOKUP(A33,'Données projet'!$A$191:$I$211,4,0))</f>
        <v>50</v>
      </c>
      <c r="ES33" s="16">
        <f>IF(ISNA(VLOOKUP(A33,'Données projet'!$A$191:$I$211,5,0)),0%,VLOOKUP(A33,'Données projet'!$A$191:$I$211,5,0)*VLOOKUP('Données projet'!$B$15,Paramètres!$A$1:$I$89,7,0))</f>
        <v>0.11000000000000001</v>
      </c>
      <c r="ET33" s="16">
        <f>IF(ISNA(VLOOKUP(A33,'Données projet'!$A$191:$I$211,6,0)),0%,VLOOKUP(A33,'Données projet'!$A$191:$I$211,6,0)*VLOOKUP('Données projet'!$B$15,Paramètres!$A$1:$I$89,7,0))</f>
        <v>0.24750000000000003</v>
      </c>
      <c r="EU33" s="16">
        <f>IF(ISNA(VLOOKUP(A33,'Données projet'!$A$191:$I$211,7,0)),0%,VLOOKUP(A33,'Données projet'!$A$191:$I$211,7,0))</f>
        <v>0.35</v>
      </c>
      <c r="EV33" s="21">
        <f>EXP(-LN(2)/35)*EV32+(1-EXP(-LN(2)/35))/(LN(2)/35)*ER33*ES33*VLOOKUP('Données projet'!$B$15,Paramètres!$A$1:$I$89,3,0)*0.475*44/12</f>
        <v>3.4145769083013771</v>
      </c>
      <c r="EW33" s="21">
        <f>EXP(-LN(2)/25)*EW32+(1-EXP(-LN(2)/25))/(LN(2)/25)*Calculateur!ER33*Calculateur!ET33*VLOOKUP('Données projet'!$B$15,Paramètres!$A$1:$I$89,3,0)*0.475*44/12</f>
        <v>13.426319021293734</v>
      </c>
      <c r="EX33" s="21">
        <f>EXP(-LN(2)/2)*EX32+(1-EXP(-LN(2)/2))/(LN(2)/2)*ER33*EU33*VLOOKUP('Données projet'!$B$15,Paramètres!$A$1:$I$89,3,0)*0.475*44/12</f>
        <v>9.5644191101250673</v>
      </c>
      <c r="EY33" s="22">
        <f t="shared" si="21"/>
        <v>26.405315039720179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10.8</v>
      </c>
      <c r="N34" s="13">
        <f>IF('Données projet'!$A$36&gt;35,N33+M34-V33,IF(A34&lt;'Données projet'!$A$36,$K$205^A34,IF(A34='Données projet'!$A$36,'Données projet'!$B$36,N33+M34-V33)))</f>
        <v>103.80000000000001</v>
      </c>
      <c r="O34" s="13">
        <f>N34*VLOOKUP('Données projet'!$B$9,Paramètres!$A$1:$I$89,3,0)*VLOOKUP('Données projet'!$B$9,Paramètres!$A$1:$I$89,5,0)</f>
        <v>93.918239999999997</v>
      </c>
      <c r="P34" s="13">
        <f t="shared" si="33"/>
        <v>25.507853654186022</v>
      </c>
      <c r="Q34" s="20">
        <f t="shared" si="2"/>
        <v>208.0004464477073</v>
      </c>
      <c r="R34" s="59">
        <f t="shared" si="0"/>
        <v>501.33377978104062</v>
      </c>
      <c r="S34" s="59">
        <f ca="1">AVERAGE(OFFSET($R$3,0,0,'Données projet'!$E$9+1,1))-AVERAGE(OFFSET($H$3,0,0,'Données projet'!$E$9+1,1))</f>
        <v>453.52760163325451</v>
      </c>
      <c r="T34" s="59">
        <f t="shared" si="34"/>
        <v>344.23959526427001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10.199999999999999</v>
      </c>
      <c r="AI34" s="13">
        <f>IF('Données projet'!$A$62&gt;35,AI33+AH34-AQ33,IF(A34&lt;'Données projet'!$A$62,$AF$205^A34,IF(A34='Données projet'!$A$62,'Données projet'!$B$62,AI33+AH34-AQ33)))</f>
        <v>98.200000000000017</v>
      </c>
      <c r="AJ34" s="13">
        <f>AI34*VLOOKUP('Données projet'!$B$10,Paramètres!$A$1:$I$89,3,0)*VLOOKUP('Données projet'!$B$10,Paramètres!$A$1:$I$89,5,0)</f>
        <v>84.255600000000015</v>
      </c>
      <c r="AK34" s="13">
        <f t="shared" si="35"/>
        <v>23.174541098743855</v>
      </c>
      <c r="AL34" s="20">
        <f t="shared" si="4"/>
        <v>187.10749574697891</v>
      </c>
      <c r="AM34" s="59">
        <f t="shared" si="5"/>
        <v>480.44082908031226</v>
      </c>
      <c r="AN34" s="59">
        <f ca="1">AVERAGE(OFFSET($AM$3,0,0,'Données projet'!$E$10+1,1))-AVERAGE(OFFSET($H$3,0,0,'Données projet'!$E$10+1,1))</f>
        <v>397.45670821030774</v>
      </c>
      <c r="AO34" s="59">
        <f t="shared" si="36"/>
        <v>256.77417912163997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>
        <f>VLOOKUP(A34,'Données projet'!$A$87:$I$107,2,0)</f>
        <v>155</v>
      </c>
      <c r="BB34" s="12">
        <f>VLOOKUP(A34,'Données projet'!$A$87:$I$107,9,0)</f>
        <v>13.166666666666666</v>
      </c>
      <c r="BC34" s="12">
        <f t="array" ref="BC34">INDEX(BB:BB,MIN(IF(ISNUMBER(BB34:BB230),ROW(BB34:BB230),"")))</f>
        <v>13.166666666666666</v>
      </c>
      <c r="BD34" s="12">
        <f>IF('Données projet'!$A$88&gt;35,BD33+BC34-BL33,IF(A34&lt;'Données projet'!$A$88,$BA$205^A34,IF(A34='Données projet'!$A$88,'Données projet'!$B$88,BD33+BC34-BL33)))</f>
        <v>154.99999999999994</v>
      </c>
      <c r="BE34" s="13">
        <f>BD34*VLOOKUP('Données projet'!$B$11,Paramètres!$A$1:$I$89,3,0)*VLOOKUP('Données projet'!$B$11,Paramètres!$A$1:$I$89,5,0)</f>
        <v>120.89999999999996</v>
      </c>
      <c r="BF34" s="13">
        <f t="shared" si="37"/>
        <v>31.884818143351602</v>
      </c>
      <c r="BG34" s="20">
        <f t="shared" si="7"/>
        <v>266.10022493300397</v>
      </c>
      <c r="BH34" s="59">
        <f t="shared" si="8"/>
        <v>559.43355826633729</v>
      </c>
      <c r="BI34" s="59">
        <f ca="1">AVERAGE(OFFSET($BH$3,0,0,'Données projet'!$E$11+1,1))-AVERAGE(OFFSET($H$3,0,0,'Données projet'!$E$11+1,1))</f>
        <v>293.20194140252903</v>
      </c>
      <c r="BJ34" s="59">
        <f t="shared" si="38"/>
        <v>280.69048279989266</v>
      </c>
      <c r="BK34" s="15">
        <f>IF(ISNA(VLOOKUP(A34,'Données projet'!$A$87:$I$107,3,0)),0,VLOOKUP(A34,'Données projet'!$A$87:$I$107,3,0))</f>
        <v>4</v>
      </c>
      <c r="BL34" s="15">
        <f>IF(ISNA(VLOOKUP(A34,'Données projet'!$A$87:$I$107,4,0)),0,VLOOKUP(A34,'Données projet'!$A$87:$I$107,4,0))</f>
        <v>36</v>
      </c>
      <c r="BM34" s="16">
        <f>IF(ISNA(VLOOKUP(A34,'Données projet'!$A$87:$I$107,5,0)),0%,VLOOKUP(A34,'Données projet'!$A$87:$I$107,5,0)*VLOOKUP('Données projet'!$B$11,Paramètres!$A$1:$I$89,7,0))</f>
        <v>0.129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9.1498441137581246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9.1498441137581246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10.8</v>
      </c>
      <c r="BY34" s="12">
        <f>IF('Données projet'!$A$114&gt;35,BY33+BX34-CG33,IF(A34&lt;'Données projet'!$A$114,$BV$205^A34,IF(A34='Données projet'!$A$114,'Données projet'!$B$114,BY33+BX34-CG33)))</f>
        <v>128.79999999999998</v>
      </c>
      <c r="BZ34" s="13">
        <f>BY34*VLOOKUP('Données projet'!$B$12,Paramètres!$A$1:$I$89,3,0)*VLOOKUP('Données projet'!$B$12,Paramètres!$A$1:$I$89,5,0)</f>
        <v>102.47327999999999</v>
      </c>
      <c r="CA34" s="13">
        <f t="shared" si="39"/>
        <v>27.550381949314474</v>
      </c>
      <c r="CB34" s="20">
        <f t="shared" si="10"/>
        <v>226.45787789505599</v>
      </c>
      <c r="CC34" s="59">
        <f t="shared" si="11"/>
        <v>519.79121122838933</v>
      </c>
      <c r="CD34" s="59">
        <f ca="1">AVERAGE(OFFSET($CC$3,0,0,'Données projet'!$E$12+1,1))-AVERAGE(OFFSET($H$3,0,0,'Données projet'!$E$12+1,1))</f>
        <v>271.25628946149067</v>
      </c>
      <c r="CE34" s="59">
        <f t="shared" si="40"/>
        <v>292.57799203101769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9.4151093634743486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9.4151093634743486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14.4</v>
      </c>
      <c r="CT34" s="12">
        <f>IF('Données projet'!$A$140&gt;35,CT33+CS34-DB33,IF(A34&lt;'Données projet'!$A$140,$CQ$205^A34,IF(A34='Données projet'!$A$140,'Données projet'!$B$140,CT33+CS34-DB33)))</f>
        <v>190.40000000000006</v>
      </c>
      <c r="CU34" s="17">
        <f>CT34*VLOOKUP('Données projet'!$B$13,Paramètres!$A$1:$I$89,3,0)*VLOOKUP('Données projet'!$B$13,Paramètres!$A$1:$I$89,5,0)</f>
        <v>103.95840000000003</v>
      </c>
      <c r="CV34" s="13">
        <f t="shared" si="41"/>
        <v>27.902890560352166</v>
      </c>
      <c r="CW34" s="20">
        <f t="shared" si="13"/>
        <v>229.65841439261337</v>
      </c>
      <c r="CX34" s="59">
        <f t="shared" si="14"/>
        <v>522.99174772594665</v>
      </c>
      <c r="CY34" s="59">
        <f ca="1">AVERAGE(OFFSET($CX$3,0,0,'Données projet'!$E$13+1,1))-AVERAGE(OFFSET($H$3,0,0,'Données projet'!$E$13+1,1))</f>
        <v>210.03861149060413</v>
      </c>
      <c r="CZ34" s="59">
        <f t="shared" si="42"/>
        <v>298.74602928001929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15.635705851669524</v>
      </c>
      <c r="DG34" s="21">
        <f>EXP(-LN(2)/25)*DG33+(1-EXP(-LN(2)/25))/(LN(2)/25)*Calculateur!DB34*Calculateur!DD34*VLOOKUP('Données projet'!$B$13,Paramètres!$A$1:$I$89,3,0)*0.475*44/12</f>
        <v>23.806058050893782</v>
      </c>
      <c r="DH34" s="21">
        <f>EXP(-LN(2)/2)*DH33+(1-EXP(-LN(2)/2))/(LN(2)/2)*DB34*DE34*VLOOKUP('Données projet'!$B$13,Paramètres!$A$1:$I$89,3,0)*0.475*44/12</f>
        <v>6.9313552359509218</v>
      </c>
      <c r="DI34" s="22">
        <f t="shared" si="15"/>
        <v>46.373119138514234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18.61999999999999</v>
      </c>
      <c r="DO34" s="12">
        <f>IF('Données projet'!$A$166&gt;35,DO33+DN34-DW33,IF(A34&lt;'Données projet'!$A$166,$DL$205^A34,IF(A34='Données projet'!$A$166,'Données projet'!$B$166,DO33+DN34-DW33)))</f>
        <v>211.73000000000008</v>
      </c>
      <c r="DP34" s="17">
        <f>DO34*VLOOKUP('Données projet'!$B$14,Paramètres!$A$1:$I$89,3,0)*VLOOKUP('Données projet'!$B$14,Paramètres!$A$1:$I$89,5,0)</f>
        <v>126.61454000000005</v>
      </c>
      <c r="DQ34" s="13">
        <f t="shared" si="43"/>
        <v>33.21288161570979</v>
      </c>
      <c r="DR34" s="20">
        <f t="shared" si="16"/>
        <v>278.36609264736131</v>
      </c>
      <c r="DS34" s="59">
        <f t="shared" si="17"/>
        <v>571.69942598069463</v>
      </c>
      <c r="DT34" s="59">
        <f ca="1">AVERAGE(OFFSET($DS$3,0,0,'Données projet'!$E$14+1,1))-AVERAGE(OFFSET($H$3,0,0,'Données projet'!$E$14+1,1))</f>
        <v>402.28353929315114</v>
      </c>
      <c r="DU34" s="59">
        <f t="shared" si="44"/>
        <v>376.94419168335463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7.485920595177384</v>
      </c>
      <c r="EB34" s="21">
        <f>EXP(-LN(2)/25)*EB33+(1-EXP(-LN(2)/25))/(LN(2)/25)*Calculateur!DW34*Calculateur!DY34*VLOOKUP('Données projet'!$B$14,Paramètres!$A$1:$I$89,3,0)*0.475*44/12</f>
        <v>22.965987788451308</v>
      </c>
      <c r="EC34" s="21">
        <f>EXP(-LN(2)/2)*EC33+(1-EXP(-LN(2)/2))/(LN(2)/2)*DW34*DZ34*VLOOKUP('Données projet'!$B$14,Paramètres!$A$1:$I$89,3,0)*0.475*44/12</f>
        <v>12.38343484386799</v>
      </c>
      <c r="ED34" s="22">
        <f t="shared" si="18"/>
        <v>42.835343227496679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14</v>
      </c>
      <c r="EJ34" s="12">
        <f>IF('Données projet'!$A$192&gt;35,EJ33+EI34-ER33,IF(A34&lt;'Données projet'!$A$192,$EG$205^A34,IF(A34='Données projet'!$A$192,'Données projet'!$B$192,EJ33+EI34-ER33)))</f>
        <v>174</v>
      </c>
      <c r="EK34" s="17">
        <f>EJ34*VLOOKUP('Données projet'!$B$15,Paramètres!$A$1:$I$89,3,0)*VLOOKUP('Données projet'!$B$15,Paramètres!$A$1:$I$89,5,0)</f>
        <v>81.432000000000002</v>
      </c>
      <c r="EL34" s="13">
        <f t="shared" si="45"/>
        <v>22.486953220240881</v>
      </c>
      <c r="EM34" s="20">
        <f t="shared" si="19"/>
        <v>180.99217685858619</v>
      </c>
      <c r="EN34" s="59">
        <f t="shared" si="20"/>
        <v>474.32551019191953</v>
      </c>
      <c r="EO34" s="59">
        <f ca="1">AVERAGE(OFFSET($EN$3,0,0,'Données projet'!$E$15+1,1))-AVERAGE(OFFSET($H$3,0,0,'Données projet'!$E$15+1,1))</f>
        <v>273.3012268683454</v>
      </c>
      <c r="EP34" s="59">
        <f t="shared" si="46"/>
        <v>254.08208375594052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3.3476191378158529</v>
      </c>
      <c r="EW34" s="21">
        <f>EXP(-LN(2)/25)*EW33+(1-EXP(-LN(2)/25))/(LN(2)/25)*Calculateur!ER34*Calculateur!ET34*VLOOKUP('Données projet'!$B$15,Paramètres!$A$1:$I$89,3,0)*0.475*44/12</f>
        <v>13.059175621597026</v>
      </c>
      <c r="EX34" s="21">
        <f>EXP(-LN(2)/2)*EX33+(1-EXP(-LN(2)/2))/(LN(2)/2)*ER34*EU34*VLOOKUP('Données projet'!$B$15,Paramètres!$A$1:$I$89,3,0)*0.475*44/12</f>
        <v>6.7630656108796403</v>
      </c>
      <c r="EY34" s="22">
        <f t="shared" si="21"/>
        <v>23.169860370292518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10.8</v>
      </c>
      <c r="N35" s="13">
        <f>IF('Données projet'!$A$36&gt;35,N34+M35-V34,IF(A35&lt;'Données projet'!$A$36,$K$205^A35,IF(A35='Données projet'!$A$36,'Données projet'!$B$36,N34+M35-V34)))</f>
        <v>114.60000000000001</v>
      </c>
      <c r="O35" s="13">
        <f>N35*VLOOKUP('Données projet'!$B$9,Paramètres!$A$1:$I$89,3,0)*VLOOKUP('Données projet'!$B$9,Paramètres!$A$1:$I$89,5,0)</f>
        <v>103.69008000000001</v>
      </c>
      <c r="P35" s="13">
        <f t="shared" si="33"/>
        <v>27.83924565319537</v>
      </c>
      <c r="Q35" s="20">
        <f t="shared" ref="Q35:Q66" si="53">(O35+P35)*0.475*44/12</f>
        <v>229.08024217931526</v>
      </c>
      <c r="R35" s="59">
        <f t="shared" si="0"/>
        <v>522.41357551264855</v>
      </c>
      <c r="S35" s="59">
        <f ca="1">AVERAGE(OFFSET($R$3,0,0,'Données projet'!$E$9+1,1))-AVERAGE(OFFSET($H$3,0,0,'Données projet'!$E$9+1,1))</f>
        <v>453.52760163325451</v>
      </c>
      <c r="T35" s="59">
        <f t="shared" si="34"/>
        <v>344.23959526427001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10.199999999999999</v>
      </c>
      <c r="AI35" s="13">
        <f>IF('Données projet'!$A$62&gt;35,AI34+AH35-AQ34,IF(A35&lt;'Données projet'!$A$62,$AF$205^A35,IF(A35='Données projet'!$A$62,'Données projet'!$B$62,AI34+AH35-AQ34)))</f>
        <v>108.40000000000002</v>
      </c>
      <c r="AJ35" s="13">
        <f>AI35*VLOOKUP('Données projet'!$B$10,Paramètres!$A$1:$I$89,3,0)*VLOOKUP('Données projet'!$B$10,Paramètres!$A$1:$I$89,5,0)</f>
        <v>93.007200000000026</v>
      </c>
      <c r="AK35" s="13">
        <f t="shared" si="35"/>
        <v>25.289096064617418</v>
      </c>
      <c r="AL35" s="20">
        <f t="shared" si="4"/>
        <v>206.03271564587536</v>
      </c>
      <c r="AM35" s="59">
        <f t="shared" si="5"/>
        <v>499.3660489792087</v>
      </c>
      <c r="AN35" s="59">
        <f ca="1">AVERAGE(OFFSET($AM$3,0,0,'Données projet'!$E$10+1,1))-AVERAGE(OFFSET($H$3,0,0,'Données projet'!$E$10+1,1))</f>
        <v>397.45670821030774</v>
      </c>
      <c r="AO35" s="59">
        <f t="shared" si="36"/>
        <v>256.77417912163997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11.5</v>
      </c>
      <c r="BD35" s="12">
        <f>IF('Données projet'!$A$88&gt;35,BD34+BC35-BL34,IF(A35&lt;'Données projet'!$A$88,$BA$205^A35,IF(A35='Données projet'!$A$88,'Données projet'!$B$88,BD34+BC35-BL34)))</f>
        <v>130.49999999999994</v>
      </c>
      <c r="BE35" s="13">
        <f>BD35*VLOOKUP('Données projet'!$B$11,Paramètres!$A$1:$I$89,3,0)*VLOOKUP('Données projet'!$B$11,Paramètres!$A$1:$I$89,5,0)</f>
        <v>101.78999999999996</v>
      </c>
      <c r="BF35" s="13">
        <f t="shared" si="37"/>
        <v>27.38799903683508</v>
      </c>
      <c r="BG35" s="20">
        <f t="shared" si="7"/>
        <v>224.98501498915437</v>
      </c>
      <c r="BH35" s="59">
        <f t="shared" si="8"/>
        <v>518.31834832248774</v>
      </c>
      <c r="BI35" s="59">
        <f ca="1">AVERAGE(OFFSET($BH$3,0,0,'Données projet'!$E$11+1,1))-AVERAGE(OFFSET($H$3,0,0,'Données projet'!$E$11+1,1))</f>
        <v>293.20194140252903</v>
      </c>
      <c r="BJ35" s="59">
        <f t="shared" si="38"/>
        <v>280.69048279989266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8.9704212515411736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8.9704212515411736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10.8</v>
      </c>
      <c r="BY35" s="12">
        <f>IF('Données projet'!$A$114&gt;35,BY34+BX35-CG34,IF(A35&lt;'Données projet'!$A$114,$BV$205^A35,IF(A35='Données projet'!$A$114,'Données projet'!$B$114,BY34+BX35-CG34)))</f>
        <v>139.6</v>
      </c>
      <c r="BZ35" s="13">
        <f>BY35*VLOOKUP('Données projet'!$B$12,Paramètres!$A$1:$I$89,3,0)*VLOOKUP('Données projet'!$B$12,Paramètres!$A$1:$I$89,5,0)</f>
        <v>111.06576</v>
      </c>
      <c r="CA35" s="13">
        <f t="shared" si="39"/>
        <v>29.581944857062648</v>
      </c>
      <c r="CB35" s="20">
        <f t="shared" si="10"/>
        <v>244.96141929271744</v>
      </c>
      <c r="CC35" s="59">
        <f t="shared" si="11"/>
        <v>538.29475262605069</v>
      </c>
      <c r="CD35" s="59">
        <f ca="1">AVERAGE(OFFSET($CC$3,0,0,'Données projet'!$E$12+1,1))-AVERAGE(OFFSET($H$3,0,0,'Données projet'!$E$12+1,1))</f>
        <v>271.25628946149067</v>
      </c>
      <c r="CE35" s="59">
        <f t="shared" si="40"/>
        <v>292.57799203101769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9.2304848115062885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9.2304848115062885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14.4</v>
      </c>
      <c r="CT35" s="12">
        <f>IF('Données projet'!$A$140&gt;35,CT34+CS35-DB34,IF(A35&lt;'Données projet'!$A$140,$CQ$205^A35,IF(A35='Données projet'!$A$140,'Données projet'!$B$140,CT34+CS35-DB34)))</f>
        <v>204.80000000000007</v>
      </c>
      <c r="CU35" s="17">
        <f>CT35*VLOOKUP('Données projet'!$B$13,Paramètres!$A$1:$I$89,3,0)*VLOOKUP('Données projet'!$B$13,Paramètres!$A$1:$I$89,5,0)</f>
        <v>111.82080000000003</v>
      </c>
      <c r="CV35" s="13">
        <f t="shared" si="41"/>
        <v>29.759568497877257</v>
      </c>
      <c r="CW35" s="20">
        <f t="shared" si="13"/>
        <v>246.5858084671363</v>
      </c>
      <c r="CX35" s="59">
        <f t="shared" si="14"/>
        <v>539.91914180046956</v>
      </c>
      <c r="CY35" s="59">
        <f ca="1">AVERAGE(OFFSET($CX$3,0,0,'Données projet'!$E$13+1,1))-AVERAGE(OFFSET($H$3,0,0,'Données projet'!$E$13+1,1))</f>
        <v>210.03861149060413</v>
      </c>
      <c r="CZ35" s="59">
        <f t="shared" si="42"/>
        <v>298.74602928001929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15.32909919675717</v>
      </c>
      <c r="DG35" s="21">
        <f>EXP(-LN(2)/25)*DG34+(1-EXP(-LN(2)/25))/(LN(2)/25)*Calculateur!DB35*Calculateur!DD35*VLOOKUP('Données projet'!$B$13,Paramètres!$A$1:$I$89,3,0)*0.475*44/12</f>
        <v>23.155080141585909</v>
      </c>
      <c r="DH35" s="21">
        <f>EXP(-LN(2)/2)*DH34+(1-EXP(-LN(2)/2))/(LN(2)/2)*DB35*DE35*VLOOKUP('Données projet'!$B$13,Paramètres!$A$1:$I$89,3,0)*0.475*44/12</f>
        <v>4.9012082901537797</v>
      </c>
      <c r="DI35" s="22">
        <f t="shared" si="15"/>
        <v>43.385387628496865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>
        <f>VLOOKUP(A35,'Données projet'!$A$165:$I$185,2,0)</f>
        <v>230.35</v>
      </c>
      <c r="DM35" s="12">
        <f>VLOOKUP(A35,'Données projet'!$A$165:$I$185,9,0)</f>
        <v>18.61999999999999</v>
      </c>
      <c r="DN35" s="12">
        <f t="array" ref="DN35">INDEX(DM:DM,MIN(IF(ISNUMBER(DM35:DM231),ROW(DM35:DM231),"")))</f>
        <v>18.61999999999999</v>
      </c>
      <c r="DO35" s="12">
        <f>IF('Données projet'!$A$166&gt;35,DO34+DN35-DW34,IF(A35&lt;'Données projet'!$A$166,$DL$205^A35,IF(A35='Données projet'!$A$166,'Données projet'!$B$166,DO34+DN35-DW34)))</f>
        <v>230.35000000000008</v>
      </c>
      <c r="DP35" s="17">
        <f>DO35*VLOOKUP('Données projet'!$B$14,Paramètres!$A$1:$I$89,3,0)*VLOOKUP('Données projet'!$B$14,Paramètres!$A$1:$I$89,5,0)</f>
        <v>137.74930000000006</v>
      </c>
      <c r="DQ35" s="13">
        <f t="shared" si="43"/>
        <v>35.780916395737023</v>
      </c>
      <c r="DR35" s="20">
        <f t="shared" si="16"/>
        <v>302.23179355590872</v>
      </c>
      <c r="DS35" s="59">
        <f t="shared" si="17"/>
        <v>595.56512688924204</v>
      </c>
      <c r="DT35" s="59">
        <f ca="1">AVERAGE(OFFSET($DS$3,0,0,'Données projet'!$E$14+1,1))-AVERAGE(OFFSET($H$3,0,0,'Données projet'!$E$14+1,1))</f>
        <v>402.28353929315114</v>
      </c>
      <c r="DU35" s="59">
        <f t="shared" si="44"/>
        <v>376.94419168335463</v>
      </c>
      <c r="DV35" s="15">
        <f>IF(ISNA(VLOOKUP(A35,'Données projet'!$A$165:$I$185,3,0)),0,VLOOKUP(A35,'Données projet'!$A$165:$I$185,3,0))</f>
        <v>5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9.0000000000000011E-2</v>
      </c>
      <c r="DY35" s="16">
        <f>IF(ISNA(VLOOKUP(A35,'Données projet'!$A$165:$I$185,6,0)),0%,VLOOKUP(A35,'Données projet'!$A$165:$I$185,6,0)*VLOOKUP('Données projet'!$B$14,Paramètres!$A$1:$I$89,7,0))</f>
        <v>0.20250000000000001</v>
      </c>
      <c r="DZ35" s="16">
        <f>IF(ISNA(VLOOKUP(A35,'Données projet'!$A$165:$I$185,7,0)),0%,VLOOKUP(A35,'Données projet'!$A$165:$I$185,7,0))</f>
        <v>0.35</v>
      </c>
      <c r="EA35" s="21">
        <f>EXP(-LN(2)/35)*EA34+(1-EXP(-LN(2)/35))/(LN(2)/35)*DW35*DX35*VLOOKUP('Données projet'!$B$14,Paramètres!$A$1:$I$89,3,0)*0.475*44/12</f>
        <v>7.339126258266667</v>
      </c>
      <c r="EB35" s="21">
        <f>EXP(-LN(2)/25)*EB34+(1-EXP(-LN(2)/25))/(LN(2)/25)*Calculateur!DW35*Calculateur!DY35*VLOOKUP('Données projet'!$B$14,Paramètres!$A$1:$I$89,3,0)*0.475*44/12</f>
        <v>22.3379816446473</v>
      </c>
      <c r="EC35" s="21">
        <f>EXP(-LN(2)/2)*EC34+(1-EXP(-LN(2)/2))/(LN(2)/2)*DW35*DZ35*VLOOKUP('Données projet'!$B$14,Paramètres!$A$1:$I$89,3,0)*0.475*44/12</f>
        <v>8.7564107524808321</v>
      </c>
      <c r="ED35" s="22">
        <f t="shared" si="18"/>
        <v>38.433518655394799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14</v>
      </c>
      <c r="EJ35" s="12">
        <f>IF('Données projet'!$A$192&gt;35,EJ34+EI35-ER34,IF(A35&lt;'Données projet'!$A$192,$EG$205^A35,IF(A35='Données projet'!$A$192,'Données projet'!$B$192,EJ34+EI35-ER34)))</f>
        <v>188</v>
      </c>
      <c r="EK35" s="17">
        <f>EJ35*VLOOKUP('Données projet'!$B$15,Paramètres!$A$1:$I$89,3,0)*VLOOKUP('Données projet'!$B$15,Paramètres!$A$1:$I$89,5,0)</f>
        <v>87.983999999999995</v>
      </c>
      <c r="EL35" s="13">
        <f t="shared" si="45"/>
        <v>24.078375128721785</v>
      </c>
      <c r="EM35" s="20">
        <f t="shared" si="19"/>
        <v>195.17530334919044</v>
      </c>
      <c r="EN35" s="59">
        <f t="shared" si="20"/>
        <v>488.50863668252373</v>
      </c>
      <c r="EO35" s="59">
        <f ca="1">AVERAGE(OFFSET($EN$3,0,0,'Données projet'!$E$15+1,1))-AVERAGE(OFFSET($H$3,0,0,'Données projet'!$E$15+1,1))</f>
        <v>273.3012268683454</v>
      </c>
      <c r="EP35" s="59">
        <f t="shared" si="46"/>
        <v>254.08208375594052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3.2819743683693425</v>
      </c>
      <c r="EW35" s="21">
        <f>EXP(-LN(2)/25)*EW34+(1-EXP(-LN(2)/25))/(LN(2)/25)*Calculateur!ER35*Calculateur!ET35*VLOOKUP('Données projet'!$B$15,Paramètres!$A$1:$I$89,3,0)*0.475*44/12</f>
        <v>12.702071777472257</v>
      </c>
      <c r="EX35" s="21">
        <f>EXP(-LN(2)/2)*EX34+(1-EXP(-LN(2)/2))/(LN(2)/2)*ER35*EU35*VLOOKUP('Données projet'!$B$15,Paramètres!$A$1:$I$89,3,0)*0.475*44/12</f>
        <v>4.7822095550625345</v>
      </c>
      <c r="EY35" s="22">
        <f t="shared" si="21"/>
        <v>20.766255700904132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10.8</v>
      </c>
      <c r="N36" s="13">
        <f>IF('Données projet'!$A$36&gt;35,N35+M36-V35,IF(A36&lt;'Données projet'!$A$36,$K$205^A36,IF(A36='Données projet'!$A$36,'Données projet'!$B$36,N35+M36-V35)))</f>
        <v>125.4</v>
      </c>
      <c r="O36" s="13">
        <f>N36*VLOOKUP('Données projet'!$B$9,Paramètres!$A$1:$I$89,3,0)*VLOOKUP('Données projet'!$B$9,Paramètres!$A$1:$I$89,5,0)</f>
        <v>113.46192000000001</v>
      </c>
      <c r="P36" s="13">
        <f t="shared" si="33"/>
        <v>30.145163126535493</v>
      </c>
      <c r="Q36" s="20">
        <f t="shared" si="53"/>
        <v>250.11566977871595</v>
      </c>
      <c r="R36" s="59">
        <f t="shared" si="0"/>
        <v>543.44900311204924</v>
      </c>
      <c r="S36" s="59">
        <f ca="1">AVERAGE(OFFSET($R$3,0,0,'Données projet'!$E$9+1,1))-AVERAGE(OFFSET($H$3,0,0,'Données projet'!$E$9+1,1))</f>
        <v>453.52760163325451</v>
      </c>
      <c r="T36" s="59">
        <f t="shared" si="34"/>
        <v>344.23959526427001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10.199999999999999</v>
      </c>
      <c r="AI36" s="13">
        <f>IF('Données projet'!$A$62&gt;35,AI35+AH36-AQ35,IF(A36&lt;'Données projet'!$A$62,$AF$205^A36,IF(A36='Données projet'!$A$62,'Données projet'!$B$62,AI35+AH36-AQ35)))</f>
        <v>118.60000000000002</v>
      </c>
      <c r="AJ36" s="13">
        <f>AI36*VLOOKUP('Données projet'!$B$10,Paramètres!$A$1:$I$89,3,0)*VLOOKUP('Données projet'!$B$10,Paramètres!$A$1:$I$89,5,0)</f>
        <v>101.75880000000004</v>
      </c>
      <c r="AK36" s="13">
        <f t="shared" si="35"/>
        <v>27.380581268956313</v>
      </c>
      <c r="AL36" s="20">
        <f t="shared" si="4"/>
        <v>224.91775571009896</v>
      </c>
      <c r="AM36" s="59">
        <f t="shared" si="5"/>
        <v>518.25108904343233</v>
      </c>
      <c r="AN36" s="59">
        <f ca="1">AVERAGE(OFFSET($AM$3,0,0,'Données projet'!$E$10+1,1))-AVERAGE(OFFSET($H$3,0,0,'Données projet'!$E$10+1,1))</f>
        <v>397.45670821030774</v>
      </c>
      <c r="AO36" s="59">
        <f t="shared" si="36"/>
        <v>256.77417912163997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11.5</v>
      </c>
      <c r="BD36" s="12">
        <f>IF('Données projet'!$A$88&gt;35,BD35+BC36-BL35,IF(A36&lt;'Données projet'!$A$88,$BA$205^A36,IF(A36='Données projet'!$A$88,'Données projet'!$B$88,BD35+BC36-BL35)))</f>
        <v>141.99999999999994</v>
      </c>
      <c r="BE36" s="13">
        <f>BD36*VLOOKUP('Données projet'!$B$11,Paramètres!$A$1:$I$89,3,0)*VLOOKUP('Données projet'!$B$11,Paramètres!$A$1:$I$89,5,0)</f>
        <v>110.75999999999996</v>
      </c>
      <c r="BF36" s="13">
        <f t="shared" si="37"/>
        <v>29.509974682362923</v>
      </c>
      <c r="BG36" s="20">
        <f t="shared" si="7"/>
        <v>244.30353923844871</v>
      </c>
      <c r="BH36" s="59">
        <f t="shared" si="8"/>
        <v>537.63687257178208</v>
      </c>
      <c r="BI36" s="59">
        <f ca="1">AVERAGE(OFFSET($BH$3,0,0,'Données projet'!$E$11+1,1))-AVERAGE(OFFSET($H$3,0,0,'Données projet'!$E$11+1,1))</f>
        <v>293.20194140252903</v>
      </c>
      <c r="BJ36" s="59">
        <f t="shared" si="38"/>
        <v>280.69048279989266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8.7945167622151565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8.7945167622151565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10.8</v>
      </c>
      <c r="BY36" s="12">
        <f>IF('Données projet'!$A$114&gt;35,BY35+BX36-CG35,IF(A36&lt;'Données projet'!$A$114,$BV$205^A36,IF(A36='Données projet'!$A$114,'Données projet'!$B$114,BY35+BX36-CG35)))</f>
        <v>150.4</v>
      </c>
      <c r="BZ36" s="13">
        <f>BY36*VLOOKUP('Données projet'!$B$12,Paramètres!$A$1:$I$89,3,0)*VLOOKUP('Données projet'!$B$12,Paramètres!$A$1:$I$89,5,0)</f>
        <v>119.65824000000002</v>
      </c>
      <c r="CA36" s="13">
        <f t="shared" si="39"/>
        <v>31.595276160231336</v>
      </c>
      <c r="CB36" s="20">
        <f t="shared" si="10"/>
        <v>263.43320731240294</v>
      </c>
      <c r="CC36" s="59">
        <f t="shared" si="11"/>
        <v>556.76654064573631</v>
      </c>
      <c r="CD36" s="59">
        <f ca="1">AVERAGE(OFFSET($CC$3,0,0,'Données projet'!$E$12+1,1))-AVERAGE(OFFSET($H$3,0,0,'Données projet'!$E$12+1,1))</f>
        <v>271.25628946149067</v>
      </c>
      <c r="CE36" s="59">
        <f t="shared" si="40"/>
        <v>292.57799203101769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9.0494806343924648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9.0494806343924648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14.4</v>
      </c>
      <c r="CT36" s="12">
        <f>IF('Données projet'!$A$140&gt;35,CT35+CS36-DB35,IF(A36&lt;'Données projet'!$A$140,$CQ$205^A36,IF(A36='Données projet'!$A$140,'Données projet'!$B$140,CT35+CS36-DB35)))</f>
        <v>219.20000000000007</v>
      </c>
      <c r="CU36" s="17">
        <f>CT36*VLOOKUP('Données projet'!$B$13,Paramètres!$A$1:$I$89,3,0)*VLOOKUP('Données projet'!$B$13,Paramètres!$A$1:$I$89,5,0)</f>
        <v>119.68320000000003</v>
      </c>
      <c r="CV36" s="13">
        <f t="shared" si="41"/>
        <v>31.601099532596194</v>
      </c>
      <c r="CW36" s="20">
        <f t="shared" si="13"/>
        <v>263.48682168593842</v>
      </c>
      <c r="CX36" s="59">
        <f t="shared" si="14"/>
        <v>556.82015501927174</v>
      </c>
      <c r="CY36" s="59">
        <f ca="1">AVERAGE(OFFSET($CX$3,0,0,'Données projet'!$E$13+1,1))-AVERAGE(OFFSET($H$3,0,0,'Données projet'!$E$13+1,1))</f>
        <v>210.03861149060413</v>
      </c>
      <c r="CZ36" s="59">
        <f t="shared" si="42"/>
        <v>298.74602928001929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15.028504911336054</v>
      </c>
      <c r="DG36" s="21">
        <f>EXP(-LN(2)/25)*DG35+(1-EXP(-LN(2)/25))/(LN(2)/25)*Calculateur!DB36*Calculateur!DD36*VLOOKUP('Données projet'!$B$13,Paramètres!$A$1:$I$89,3,0)*0.475*44/12</f>
        <v>22.521903257441501</v>
      </c>
      <c r="DH36" s="21">
        <f>EXP(-LN(2)/2)*DH35+(1-EXP(-LN(2)/2))/(LN(2)/2)*DB36*DE36*VLOOKUP('Données projet'!$B$13,Paramètres!$A$1:$I$89,3,0)*0.475*44/12</f>
        <v>3.4656776179754618</v>
      </c>
      <c r="DI36" s="22">
        <f t="shared" si="15"/>
        <v>41.01608578675301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21.354000000000003</v>
      </c>
      <c r="DO36" s="12">
        <f>IF('Données projet'!$A$166&gt;35,DO35+DN36-DW35,IF(A36&lt;'Données projet'!$A$166,$DL$205^A36,IF(A36='Données projet'!$A$166,'Données projet'!$B$166,DO35+DN36-DW35)))</f>
        <v>251.70400000000009</v>
      </c>
      <c r="DP36" s="17">
        <f>DO36*VLOOKUP('Données projet'!$B$14,Paramètres!$A$1:$I$89,3,0)*VLOOKUP('Données projet'!$B$14,Paramètres!$A$1:$I$89,5,0)</f>
        <v>150.51899200000008</v>
      </c>
      <c r="DQ36" s="13">
        <f t="shared" si="43"/>
        <v>38.696504695699332</v>
      </c>
      <c r="DR36" s="20">
        <f t="shared" si="16"/>
        <v>329.55032341167646</v>
      </c>
      <c r="DS36" s="59">
        <f t="shared" si="17"/>
        <v>622.88365674500983</v>
      </c>
      <c r="DT36" s="59">
        <f ca="1">AVERAGE(OFFSET($DS$3,0,0,'Données projet'!$E$14+1,1))-AVERAGE(OFFSET($H$3,0,0,'Données projet'!$E$14+1,1))</f>
        <v>402.28353929315114</v>
      </c>
      <c r="DU36" s="59">
        <f t="shared" si="44"/>
        <v>376.94419168335463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7.1952104687670646</v>
      </c>
      <c r="EB36" s="21">
        <f>EXP(-LN(2)/25)*EB35+(1-EXP(-LN(2)/25))/(LN(2)/25)*Calculateur!DW36*Calculateur!DY36*VLOOKUP('Données projet'!$B$14,Paramètres!$A$1:$I$89,3,0)*0.475*44/12</f>
        <v>21.72714836187102</v>
      </c>
      <c r="EC36" s="21">
        <f>EXP(-LN(2)/2)*EC35+(1-EXP(-LN(2)/2))/(LN(2)/2)*DW36*DZ36*VLOOKUP('Données projet'!$B$14,Paramètres!$A$1:$I$89,3,0)*0.475*44/12</f>
        <v>6.1917174219339959</v>
      </c>
      <c r="ED36" s="22">
        <f t="shared" si="18"/>
        <v>35.114076252572083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14</v>
      </c>
      <c r="EJ36" s="12">
        <f>IF('Données projet'!$A$192&gt;35,EJ35+EI36-ER35,IF(A36&lt;'Données projet'!$A$192,$EG$205^A36,IF(A36='Données projet'!$A$192,'Données projet'!$B$192,EJ35+EI36-ER35)))</f>
        <v>202</v>
      </c>
      <c r="EK36" s="17">
        <f>EJ36*VLOOKUP('Données projet'!$B$15,Paramètres!$A$1:$I$89,3,0)*VLOOKUP('Données projet'!$B$15,Paramètres!$A$1:$I$89,5,0)</f>
        <v>94.536000000000001</v>
      </c>
      <c r="EL36" s="13">
        <f t="shared" si="45"/>
        <v>25.656048664271697</v>
      </c>
      <c r="EM36" s="20">
        <f t="shared" si="19"/>
        <v>209.33448475693987</v>
      </c>
      <c r="EN36" s="59">
        <f t="shared" si="20"/>
        <v>502.66781809027316</v>
      </c>
      <c r="EO36" s="59">
        <f ca="1">AVERAGE(OFFSET($EN$3,0,0,'Données projet'!$E$15+1,1))-AVERAGE(OFFSET($H$3,0,0,'Données projet'!$E$15+1,1))</f>
        <v>273.3012268683454</v>
      </c>
      <c r="EP36" s="59">
        <f t="shared" si="46"/>
        <v>254.08208375594052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3.2176168528123226</v>
      </c>
      <c r="EW36" s="21">
        <f>EXP(-LN(2)/25)*EW35+(1-EXP(-LN(2)/25))/(LN(2)/25)*Calculateur!ER36*Calculateur!ET36*VLOOKUP('Données projet'!$B$15,Paramètres!$A$1:$I$89,3,0)*0.475*44/12</f>
        <v>12.354732956744355</v>
      </c>
      <c r="EX36" s="21">
        <f>EXP(-LN(2)/2)*EX35+(1-EXP(-LN(2)/2))/(LN(2)/2)*ER36*EU36*VLOOKUP('Données projet'!$B$15,Paramètres!$A$1:$I$89,3,0)*0.475*44/12</f>
        <v>3.3815328054398206</v>
      </c>
      <c r="EY36" s="22">
        <f t="shared" si="21"/>
        <v>18.953882614996498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10.8</v>
      </c>
      <c r="N37" s="13">
        <f>IF('Données projet'!$A$36&gt;35,N36+M37-V36,IF(A37&lt;'Données projet'!$A$36,$K$205^A37,IF(A37='Données projet'!$A$36,'Données projet'!$B$36,N36+M37-V36)))</f>
        <v>136.20000000000002</v>
      </c>
      <c r="O37" s="13">
        <f>N37*VLOOKUP('Données projet'!$B$9,Paramètres!$A$1:$I$89,3,0)*VLOOKUP('Données projet'!$B$9,Paramètres!$A$1:$I$89,5,0)</f>
        <v>123.23376000000002</v>
      </c>
      <c r="P37" s="13">
        <f t="shared" si="33"/>
        <v>32.428049504876491</v>
      </c>
      <c r="Q37" s="20">
        <f t="shared" si="53"/>
        <v>271.11098488765992</v>
      </c>
      <c r="R37" s="59">
        <f t="shared" si="0"/>
        <v>564.44431822099318</v>
      </c>
      <c r="S37" s="59">
        <f ca="1">AVERAGE(OFFSET($R$3,0,0,'Données projet'!$E$9+1,1))-AVERAGE(OFFSET($H$3,0,0,'Données projet'!$E$9+1,1))</f>
        <v>453.52760163325451</v>
      </c>
      <c r="T37" s="59">
        <f t="shared" si="34"/>
        <v>344.23959526427001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10.199999999999999</v>
      </c>
      <c r="AI37" s="13">
        <f>IF('Données projet'!$A$62&gt;35,AI36+AH37-AQ36,IF(A37&lt;'Données projet'!$A$62,$AF$205^A37,IF(A37='Données projet'!$A$62,'Données projet'!$B$62,AI36+AH37-AQ36)))</f>
        <v>128.80000000000001</v>
      </c>
      <c r="AJ37" s="13">
        <f>AI37*VLOOKUP('Données projet'!$B$10,Paramètres!$A$1:$I$89,3,0)*VLOOKUP('Données projet'!$B$10,Paramètres!$A$1:$I$89,5,0)</f>
        <v>110.51040000000003</v>
      </c>
      <c r="AK37" s="13">
        <f t="shared" si="35"/>
        <v>29.451206375056412</v>
      </c>
      <c r="AL37" s="20">
        <f t="shared" si="4"/>
        <v>243.76646443655662</v>
      </c>
      <c r="AM37" s="59">
        <f t="shared" si="5"/>
        <v>537.09979776988996</v>
      </c>
      <c r="AN37" s="59">
        <f ca="1">AVERAGE(OFFSET($AM$3,0,0,'Données projet'!$E$10+1,1))-AVERAGE(OFFSET($H$3,0,0,'Données projet'!$E$10+1,1))</f>
        <v>397.45670821030774</v>
      </c>
      <c r="AO37" s="59">
        <f t="shared" si="36"/>
        <v>256.77417912163997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11.5</v>
      </c>
      <c r="BD37" s="12">
        <f>IF('Données projet'!$A$88&gt;35,BD36+BC37-BL36,IF(A37&lt;'Données projet'!$A$88,$BA$205^A37,IF(A37='Données projet'!$A$88,'Données projet'!$B$88,BD36+BC37-BL36)))</f>
        <v>153.49999999999994</v>
      </c>
      <c r="BE37" s="13">
        <f>BD37*VLOOKUP('Données projet'!$B$11,Paramètres!$A$1:$I$89,3,0)*VLOOKUP('Données projet'!$B$11,Paramètres!$A$1:$I$89,5,0)</f>
        <v>119.72999999999996</v>
      </c>
      <c r="BF37" s="13">
        <f t="shared" si="37"/>
        <v>31.612017974790529</v>
      </c>
      <c r="BG37" s="20">
        <f t="shared" si="7"/>
        <v>263.58734797276003</v>
      </c>
      <c r="BH37" s="59">
        <f t="shared" si="8"/>
        <v>556.92068130609334</v>
      </c>
      <c r="BI37" s="59">
        <f ca="1">AVERAGE(OFFSET($BH$3,0,0,'Données projet'!$E$11+1,1))-AVERAGE(OFFSET($H$3,0,0,'Données projet'!$E$11+1,1))</f>
        <v>293.20194140252903</v>
      </c>
      <c r="BJ37" s="59">
        <f t="shared" si="38"/>
        <v>280.69048279989266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8.6220616526336791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8.6220616526336791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10.8</v>
      </c>
      <c r="BY37" s="12">
        <f>IF('Données projet'!$A$114&gt;35,BY36+BX37-CG36,IF(A37&lt;'Données projet'!$A$114,$BV$205^A37,IF(A37='Données projet'!$A$114,'Données projet'!$B$114,BY36+BX37-CG36)))</f>
        <v>161.20000000000002</v>
      </c>
      <c r="BZ37" s="13">
        <f>BY37*VLOOKUP('Données projet'!$B$12,Paramètres!$A$1:$I$89,3,0)*VLOOKUP('Données projet'!$B$12,Paramètres!$A$1:$I$89,5,0)</f>
        <v>128.25072</v>
      </c>
      <c r="CA37" s="13">
        <f t="shared" si="39"/>
        <v>33.591833937449593</v>
      </c>
      <c r="CB37" s="20">
        <f t="shared" si="10"/>
        <v>281.875781441058</v>
      </c>
      <c r="CC37" s="59">
        <f t="shared" si="11"/>
        <v>575.20911477439131</v>
      </c>
      <c r="CD37" s="59">
        <f ca="1">AVERAGE(OFFSET($CC$3,0,0,'Données projet'!$E$12+1,1))-AVERAGE(OFFSET($H$3,0,0,'Données projet'!$E$12+1,1))</f>
        <v>271.25628946149067</v>
      </c>
      <c r="CE37" s="59">
        <f t="shared" si="40"/>
        <v>292.57799203101769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8.8720258387901971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8.8720258387901971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14.4</v>
      </c>
      <c r="CT37" s="12">
        <f>IF('Données projet'!$A$140&gt;35,CT36+CS37-DB36,IF(A37&lt;'Données projet'!$A$140,$CQ$205^A37,IF(A37='Données projet'!$A$140,'Données projet'!$B$140,CT36+CS37-DB36)))</f>
        <v>233.60000000000008</v>
      </c>
      <c r="CU37" s="17">
        <f>CT37*VLOOKUP('Données projet'!$B$13,Paramètres!$A$1:$I$89,3,0)*VLOOKUP('Données projet'!$B$13,Paramètres!$A$1:$I$89,5,0)</f>
        <v>127.54560000000004</v>
      </c>
      <c r="CV37" s="13">
        <f t="shared" si="41"/>
        <v>33.428591950384806</v>
      </c>
      <c r="CW37" s="20">
        <f t="shared" si="13"/>
        <v>280.36338431358689</v>
      </c>
      <c r="CX37" s="59">
        <f t="shared" si="14"/>
        <v>573.69671764692021</v>
      </c>
      <c r="CY37" s="59">
        <f ca="1">AVERAGE(OFFSET($CX$3,0,0,'Données projet'!$E$13+1,1))-AVERAGE(OFFSET($H$3,0,0,'Données projet'!$E$13+1,1))</f>
        <v>210.03861149060413</v>
      </c>
      <c r="CZ37" s="59">
        <f t="shared" si="42"/>
        <v>298.74602928001929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14.733805096507634</v>
      </c>
      <c r="DG37" s="21">
        <f>EXP(-LN(2)/25)*DG36+(1-EXP(-LN(2)/25))/(LN(2)/25)*Calculateur!DB37*Calculateur!DD37*VLOOKUP('Données projet'!$B$13,Paramètres!$A$1:$I$89,3,0)*0.475*44/12</f>
        <v>21.906040628491347</v>
      </c>
      <c r="DH37" s="21">
        <f>EXP(-LN(2)/2)*DH36+(1-EXP(-LN(2)/2))/(LN(2)/2)*DB37*DE37*VLOOKUP('Données projet'!$B$13,Paramètres!$A$1:$I$89,3,0)*0.475*44/12</f>
        <v>2.4506041450768903</v>
      </c>
      <c r="DI37" s="22">
        <f t="shared" si="15"/>
        <v>39.090449870075865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21.354000000000003</v>
      </c>
      <c r="DO37" s="12">
        <f>IF('Données projet'!$A$166&gt;35,DO36+DN37-DW36,IF(A37&lt;'Données projet'!$A$166,$DL$205^A37,IF(A37='Données projet'!$A$166,'Données projet'!$B$166,DO36+DN37-DW36)))</f>
        <v>273.05800000000011</v>
      </c>
      <c r="DP37" s="17">
        <f>DO37*VLOOKUP('Données projet'!$B$14,Paramètres!$A$1:$I$89,3,0)*VLOOKUP('Données projet'!$B$14,Paramètres!$A$1:$I$89,5,0)</f>
        <v>163.28868400000007</v>
      </c>
      <c r="DQ37" s="13">
        <f t="shared" si="43"/>
        <v>41.583406626001775</v>
      </c>
      <c r="DR37" s="20">
        <f t="shared" si="16"/>
        <v>356.81889117361993</v>
      </c>
      <c r="DS37" s="59">
        <f t="shared" si="17"/>
        <v>650.15222450695319</v>
      </c>
      <c r="DT37" s="59">
        <f ca="1">AVERAGE(OFFSET($DS$3,0,0,'Données projet'!$E$14+1,1))-AVERAGE(OFFSET($H$3,0,0,'Données projet'!$E$14+1,1))</f>
        <v>402.28353929315114</v>
      </c>
      <c r="DU37" s="59">
        <f t="shared" si="44"/>
        <v>376.94419168335463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7.0541167801195854</v>
      </c>
      <c r="EB37" s="21">
        <f>EXP(-LN(2)/25)*EB36+(1-EXP(-LN(2)/25))/(LN(2)/25)*Calculateur!DW37*Calculateur!DY37*VLOOKUP('Données projet'!$B$14,Paramètres!$A$1:$I$89,3,0)*0.475*44/12</f>
        <v>21.133018347334584</v>
      </c>
      <c r="EC37" s="21">
        <f>EXP(-LN(2)/2)*EC36+(1-EXP(-LN(2)/2))/(LN(2)/2)*DW37*DZ37*VLOOKUP('Données projet'!$B$14,Paramètres!$A$1:$I$89,3,0)*0.475*44/12</f>
        <v>4.3782053762404161</v>
      </c>
      <c r="ED37" s="22">
        <f t="shared" si="18"/>
        <v>32.565340503694586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14</v>
      </c>
      <c r="EJ37" s="12">
        <f>IF('Données projet'!$A$192&gt;35,EJ36+EI37-ER36,IF(A37&lt;'Données projet'!$A$192,$EG$205^A37,IF(A37='Données projet'!$A$192,'Données projet'!$B$192,EJ36+EI37-ER36)))</f>
        <v>216</v>
      </c>
      <c r="EK37" s="17">
        <f>EJ37*VLOOKUP('Données projet'!$B$15,Paramètres!$A$1:$I$89,3,0)*VLOOKUP('Données projet'!$B$15,Paramètres!$A$1:$I$89,5,0)</f>
        <v>101.08799999999999</v>
      </c>
      <c r="EL37" s="13">
        <f t="shared" si="45"/>
        <v>27.221035075711939</v>
      </c>
      <c r="EM37" s="20">
        <f t="shared" si="19"/>
        <v>223.47156942353161</v>
      </c>
      <c r="EN37" s="59">
        <f t="shared" si="20"/>
        <v>516.80490275686498</v>
      </c>
      <c r="EO37" s="59">
        <f ca="1">AVERAGE(OFFSET($EN$3,0,0,'Données projet'!$E$15+1,1))-AVERAGE(OFFSET($H$3,0,0,'Données projet'!$E$15+1,1))</f>
        <v>273.3012268683454</v>
      </c>
      <c r="EP37" s="59">
        <f t="shared" si="46"/>
        <v>254.08208375594052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3.154521348881167</v>
      </c>
      <c r="EW37" s="21">
        <f>EXP(-LN(2)/25)*EW36+(1-EXP(-LN(2)/25))/(LN(2)/25)*Calculateur!ER37*Calculateur!ET37*VLOOKUP('Données projet'!$B$15,Paramètres!$A$1:$I$89,3,0)*0.475*44/12</f>
        <v>12.016892134335011</v>
      </c>
      <c r="EX37" s="21">
        <f>EXP(-LN(2)/2)*EX36+(1-EXP(-LN(2)/2))/(LN(2)/2)*ER37*EU37*VLOOKUP('Données projet'!$B$15,Paramètres!$A$1:$I$89,3,0)*0.475*44/12</f>
        <v>2.3911047775312677</v>
      </c>
      <c r="EY37" s="22">
        <f t="shared" si="21"/>
        <v>17.562518260747446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147</v>
      </c>
      <c r="L38" s="12">
        <f>VLOOKUP(A38,'Données projet'!$A$35:$I$55,9,0)</f>
        <v>10.8</v>
      </c>
      <c r="M38" s="12">
        <f t="array" ref="M38">INDEX(L:L,MIN(IF(ISNUMBER(L38:L234),ROW(L38:L234),"")))</f>
        <v>10.8</v>
      </c>
      <c r="N38" s="13">
        <f>IF('Données projet'!$A$36&gt;35,N37+M38-V37,IF(A38&lt;'Données projet'!$A$36,$K$205^A38,IF(A38='Données projet'!$A$36,'Données projet'!$B$36,N37+M38-V37)))</f>
        <v>147.00000000000003</v>
      </c>
      <c r="O38" s="13">
        <f>N38*VLOOKUP('Données projet'!$B$9,Paramètres!$A$1:$I$89,3,0)*VLOOKUP('Données projet'!$B$9,Paramètres!$A$1:$I$89,5,0)</f>
        <v>133.00560000000002</v>
      </c>
      <c r="P38" s="13">
        <f t="shared" si="33"/>
        <v>34.689938673073549</v>
      </c>
      <c r="Q38" s="20">
        <f t="shared" si="53"/>
        <v>292.06972985560316</v>
      </c>
      <c r="R38" s="59">
        <f t="shared" si="0"/>
        <v>585.40306318893647</v>
      </c>
      <c r="S38" s="59">
        <f ca="1">AVERAGE(OFFSET($R$3,0,0,'Données projet'!$E$9+1,1))-AVERAGE(OFFSET($H$3,0,0,'Données projet'!$E$9+1,1))</f>
        <v>453.52760163325451</v>
      </c>
      <c r="T38" s="59">
        <f t="shared" si="34"/>
        <v>344.23959526427001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28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139</v>
      </c>
      <c r="AG38" s="12">
        <f>VLOOKUP(A38,'Données projet'!$A$61:$I$81,9,0)</f>
        <v>10.199999999999999</v>
      </c>
      <c r="AH38" s="12">
        <f t="array" ref="AH38">INDEX(AG:AG,MIN(IF(ISNUMBER(AG38:AG234),ROW(AG38:AG234),"")))</f>
        <v>10.199999999999999</v>
      </c>
      <c r="AI38" s="13">
        <f>IF('Données projet'!$A$62&gt;35,AI37+AH38-AQ37,IF(A38&lt;'Données projet'!$A$62,$AF$205^A38,IF(A38='Données projet'!$A$62,'Données projet'!$B$62,AI37+AH38-AQ37)))</f>
        <v>139</v>
      </c>
      <c r="AJ38" s="13">
        <f>AI38*VLOOKUP('Données projet'!$B$10,Paramètres!$A$1:$I$89,3,0)*VLOOKUP('Données projet'!$B$10,Paramètres!$A$1:$I$89,5,0)</f>
        <v>119.26200000000001</v>
      </c>
      <c r="AK38" s="13">
        <f t="shared" si="35"/>
        <v>31.502811162802828</v>
      </c>
      <c r="AL38" s="20">
        <f t="shared" si="4"/>
        <v>262.58204610854824</v>
      </c>
      <c r="AM38" s="59">
        <f t="shared" si="5"/>
        <v>555.91537944188156</v>
      </c>
      <c r="AN38" s="59">
        <f ca="1">AVERAGE(OFFSET($AM$3,0,0,'Données projet'!$E$10+1,1))-AVERAGE(OFFSET($H$3,0,0,'Données projet'!$E$10+1,1))</f>
        <v>397.45670821030774</v>
      </c>
      <c r="AO38" s="59">
        <f t="shared" si="36"/>
        <v>256.77417912163997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28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11.5</v>
      </c>
      <c r="BD38" s="12">
        <f>IF('Données projet'!$A$88&gt;35,BD37+BC38-BL37,IF(A38&lt;'Données projet'!$A$88,$BA$205^A38,IF(A38='Données projet'!$A$88,'Données projet'!$B$88,BD37+BC38-BL37)))</f>
        <v>164.99999999999994</v>
      </c>
      <c r="BE38" s="13">
        <f>BD38*VLOOKUP('Données projet'!$B$11,Paramètres!$A$1:$I$89,3,0)*VLOOKUP('Données projet'!$B$11,Paramètres!$A$1:$I$89,5,0)</f>
        <v>128.69999999999996</v>
      </c>
      <c r="BF38" s="13">
        <f t="shared" si="37"/>
        <v>33.695792019186115</v>
      </c>
      <c r="BG38" s="20">
        <f t="shared" si="7"/>
        <v>282.83933776674911</v>
      </c>
      <c r="BH38" s="59">
        <f t="shared" si="8"/>
        <v>576.17267110008243</v>
      </c>
      <c r="BI38" s="59">
        <f ca="1">AVERAGE(OFFSET($BH$3,0,0,'Données projet'!$E$11+1,1))-AVERAGE(OFFSET($H$3,0,0,'Données projet'!$E$11+1,1))</f>
        <v>293.20194140252903</v>
      </c>
      <c r="BJ38" s="59">
        <f t="shared" si="38"/>
        <v>280.69048279989266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8.4529882825638634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8.4529882825638634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172</v>
      </c>
      <c r="BW38" s="12">
        <f>VLOOKUP(A38,'Données projet'!$A$113:$I$133,9,0)</f>
        <v>10.8</v>
      </c>
      <c r="BX38" s="12">
        <f t="array" ref="BX38">INDEX(BW:BW,MIN(IF(ISNUMBER(BW38:BW234),ROW(BW38:BW234),"")))</f>
        <v>10.8</v>
      </c>
      <c r="BY38" s="12">
        <f>IF('Données projet'!$A$114&gt;35,BY37+BX38-CG37,IF(A38&lt;'Données projet'!$A$114,$BV$205^A38,IF(A38='Données projet'!$A$114,'Données projet'!$B$114,BY37+BX38-CG37)))</f>
        <v>172.00000000000003</v>
      </c>
      <c r="BZ38" s="13">
        <f>BY38*VLOOKUP('Données projet'!$B$12,Paramètres!$A$1:$I$89,3,0)*VLOOKUP('Données projet'!$B$12,Paramètres!$A$1:$I$89,5,0)</f>
        <v>136.84320000000002</v>
      </c>
      <c r="CA38" s="13">
        <f t="shared" si="39"/>
        <v>35.572869837729648</v>
      </c>
      <c r="CB38" s="20">
        <f t="shared" si="10"/>
        <v>300.2913216340458</v>
      </c>
      <c r="CC38" s="59">
        <f t="shared" si="11"/>
        <v>593.62465496737912</v>
      </c>
      <c r="CD38" s="59">
        <f ca="1">AVERAGE(OFFSET($CC$3,0,0,'Données projet'!$E$12+1,1))-AVERAGE(OFFSET($H$3,0,0,'Données projet'!$E$12+1,1))</f>
        <v>271.25628946149067</v>
      </c>
      <c r="CE38" s="59">
        <f t="shared" si="40"/>
        <v>292.57799203101769</v>
      </c>
      <c r="CF38" s="15">
        <f>IF(ISNA(VLOOKUP(A38,'Données projet'!$A$113:$I$133,3,0)),0,VLOOKUP(A38,'Données projet'!$A$113:$I$133,3,0))</f>
        <v>5</v>
      </c>
      <c r="CG38" s="15">
        <f>IF(ISNA(VLOOKUP(A38,'Données projet'!$A$113:$I$133,4,0)),0,VLOOKUP(A38,'Données projet'!$A$113:$I$133,4,0))</f>
        <v>28</v>
      </c>
      <c r="CH38" s="16">
        <f>IF(ISNA(VLOOKUP(A38,'Données projet'!$A$113:$I$133,5,0)),0%,VLOOKUP(A38,'Données projet'!$A$113:$I$133,5,0)*VLOOKUP('Données projet'!$B$12,Paramètres!$A$1:$I$89,7,0))</f>
        <v>0.21200000000000002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13.918835444258232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13.918835444258232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248</v>
      </c>
      <c r="CR38" s="12">
        <f>VLOOKUP(A38,'Données projet'!$A$139:$I$159,9,0)</f>
        <v>14.4</v>
      </c>
      <c r="CS38" s="12">
        <f t="array" ref="CS38">INDEX(CR:CR,MIN(IF(ISNUMBER(CR38:CR234),ROW(CR38:CR234),"")))</f>
        <v>14.4</v>
      </c>
      <c r="CT38" s="12">
        <f>IF('Données projet'!$A$140&gt;35,CT37+CS38-DB37,IF(A38&lt;'Données projet'!$A$140,$CQ$205^A38,IF(A38='Données projet'!$A$140,'Données projet'!$B$140,CT37+CS38-DB37)))</f>
        <v>248.00000000000009</v>
      </c>
      <c r="CU38" s="17">
        <f>CT38*VLOOKUP('Données projet'!$B$13,Paramètres!$A$1:$I$89,3,0)*VLOOKUP('Données projet'!$B$13,Paramètres!$A$1:$I$89,5,0)</f>
        <v>135.40800000000004</v>
      </c>
      <c r="CV38" s="13">
        <f t="shared" si="41"/>
        <v>35.243009677478732</v>
      </c>
      <c r="CW38" s="20">
        <f t="shared" si="13"/>
        <v>297.21717518827558</v>
      </c>
      <c r="CX38" s="59">
        <f t="shared" si="14"/>
        <v>590.55050852160889</v>
      </c>
      <c r="CY38" s="59">
        <f ca="1">AVERAGE(OFFSET($CX$3,0,0,'Données projet'!$E$13+1,1))-AVERAGE(OFFSET($H$3,0,0,'Données projet'!$E$13+1,1))</f>
        <v>210.03861149060413</v>
      </c>
      <c r="CZ38" s="59">
        <f t="shared" si="42"/>
        <v>298.74602928001929</v>
      </c>
      <c r="DA38" s="15">
        <f>IF(ISNA(VLOOKUP(A38,'Données projet'!$A$139:$I$159,3,0)),0,VLOOKUP(A38,'Données projet'!$A$139:$I$159,3,0))</f>
        <v>6</v>
      </c>
      <c r="DB38" s="15">
        <f>IF(ISNA(VLOOKUP(A38,'Données projet'!$A$139:$I$159,4,0)),0,VLOOKUP(A38,'Données projet'!$A$139:$I$159,4,0))</f>
        <v>42</v>
      </c>
      <c r="DC38" s="16">
        <f>IF(ISNA(VLOOKUP(A38,'Données projet'!$A$139:$I$159,5,0)),0%,VLOOKUP(A38,'Données projet'!$A$139:$I$159,5,0)*VLOOKUP('Données projet'!$B$13,Paramètres!$A$1:$I$89,7,0))</f>
        <v>0.24</v>
      </c>
      <c r="DD38" s="16">
        <f>IF(ISNA(VLOOKUP(A38,'Données projet'!$A$139:$I$159,6,0)),0%,VLOOKUP(A38,'Données projet'!$A$139:$I$159,6,0)*VLOOKUP('Données projet'!$B$13,Paramètres!$A$1:$I$89,7,0))</f>
        <v>0.20400000000000001</v>
      </c>
      <c r="DE38" s="16">
        <f>IF(ISNA(VLOOKUP(A38,'Données projet'!$A$139:$I$159,7,0)),0%,VLOOKUP(A38,'Données projet'!$A$139:$I$159,7,0))</f>
        <v>0.26</v>
      </c>
      <c r="DF38" s="21">
        <f>EXP(-LN(2)/35)*DF37+(1-EXP(-LN(2)/35))/(LN(2)/35)*DB38*DC38*VLOOKUP('Données projet'!$B$13,Paramètres!$A$1:$I$89,3,0)*0.475*44/12</f>
        <v>21.745870427412349</v>
      </c>
      <c r="DG38" s="21">
        <f>EXP(-LN(2)/25)*DG37+(1-EXP(-LN(2)/25))/(LN(2)/25)*Calculateur!DB38*Calculateur!DD38*VLOOKUP('Données projet'!$B$13,Paramètres!$A$1:$I$89,3,0)*0.475*44/12</f>
        <v>27.488422368226473</v>
      </c>
      <c r="DH38" s="21">
        <f>EXP(-LN(2)/2)*DH37+(1-EXP(-LN(2)/2))/(LN(2)/2)*DB38*DE38*VLOOKUP('Données projet'!$B$13,Paramètres!$A$1:$I$89,3,0)*0.475*44/12</f>
        <v>8.4835700811757295</v>
      </c>
      <c r="DI38" s="22">
        <f t="shared" si="15"/>
        <v>57.71786287681455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21.354000000000003</v>
      </c>
      <c r="DO38" s="12">
        <f>IF('Données projet'!$A$166&gt;35,DO37+DN38-DW37,IF(A38&lt;'Données projet'!$A$166,$DL$205^A38,IF(A38='Données projet'!$A$166,'Données projet'!$B$166,DO37+DN38-DW37)))</f>
        <v>294.41200000000009</v>
      </c>
      <c r="DP38" s="17">
        <f>DO38*VLOOKUP('Données projet'!$B$14,Paramètres!$A$1:$I$89,3,0)*VLOOKUP('Données projet'!$B$14,Paramètres!$A$1:$I$89,5,0)</f>
        <v>176.05837600000007</v>
      </c>
      <c r="DQ38" s="13">
        <f t="shared" si="43"/>
        <v>44.444120610316297</v>
      </c>
      <c r="DR38" s="20">
        <f t="shared" si="16"/>
        <v>384.04184826296768</v>
      </c>
      <c r="DS38" s="59">
        <f t="shared" si="17"/>
        <v>677.37518159630099</v>
      </c>
      <c r="DT38" s="59">
        <f ca="1">AVERAGE(OFFSET($DS$3,0,0,'Données projet'!$E$14+1,1))-AVERAGE(OFFSET($H$3,0,0,'Données projet'!$E$14+1,1))</f>
        <v>402.28353929315114</v>
      </c>
      <c r="DU38" s="59">
        <f t="shared" si="44"/>
        <v>376.94419168335463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6.9157898526478307</v>
      </c>
      <c r="EB38" s="21">
        <f>EXP(-LN(2)/25)*EB37+(1-EXP(-LN(2)/25))/(LN(2)/25)*Calculateur!DW38*Calculateur!DY38*VLOOKUP('Données projet'!$B$14,Paramètres!$A$1:$I$89,3,0)*0.475*44/12</f>
        <v>20.555134849289587</v>
      </c>
      <c r="EC38" s="21">
        <f>EXP(-LN(2)/2)*EC37+(1-EXP(-LN(2)/2))/(LN(2)/2)*DW38*DZ38*VLOOKUP('Données projet'!$B$14,Paramètres!$A$1:$I$89,3,0)*0.475*44/12</f>
        <v>3.0958587109669979</v>
      </c>
      <c r="ED38" s="22">
        <f t="shared" si="18"/>
        <v>30.566783412904414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14</v>
      </c>
      <c r="EJ38" s="12">
        <f>IF('Données projet'!$A$192&gt;35,EJ37+EI38-ER37,IF(A38&lt;'Données projet'!$A$192,$EG$205^A38,IF(A38='Données projet'!$A$192,'Données projet'!$B$192,EJ37+EI38-ER37)))</f>
        <v>230</v>
      </c>
      <c r="EK38" s="17">
        <f>EJ38*VLOOKUP('Données projet'!$B$15,Paramètres!$A$1:$I$89,3,0)*VLOOKUP('Données projet'!$B$15,Paramètres!$A$1:$I$89,5,0)</f>
        <v>107.64</v>
      </c>
      <c r="EL38" s="13">
        <f t="shared" si="45"/>
        <v>28.774250263353583</v>
      </c>
      <c r="EM38" s="20">
        <f t="shared" si="19"/>
        <v>237.58815254200749</v>
      </c>
      <c r="EN38" s="59">
        <f t="shared" si="20"/>
        <v>530.92148587534075</v>
      </c>
      <c r="EO38" s="59">
        <f ca="1">AVERAGE(OFFSET($EN$3,0,0,'Données projet'!$E$15+1,1))-AVERAGE(OFFSET($H$3,0,0,'Données projet'!$E$15+1,1))</f>
        <v>273.3012268683454</v>
      </c>
      <c r="EP38" s="59">
        <f t="shared" si="46"/>
        <v>254.08208375594052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3.0926631092976442</v>
      </c>
      <c r="EW38" s="21">
        <f>EXP(-LN(2)/25)*EW37+(1-EXP(-LN(2)/25))/(LN(2)/25)*Calculateur!ER38*Calculateur!ET38*VLOOKUP('Données projet'!$B$15,Paramètres!$A$1:$I$89,3,0)*0.475*44/12</f>
        <v>11.688289586980728</v>
      </c>
      <c r="EX38" s="21">
        <f>EXP(-LN(2)/2)*EX37+(1-EXP(-LN(2)/2))/(LN(2)/2)*ER38*EU38*VLOOKUP('Données projet'!$B$15,Paramètres!$A$1:$I$89,3,0)*0.475*44/12</f>
        <v>1.6907664027199105</v>
      </c>
      <c r="EY38" s="22">
        <f t="shared" si="21"/>
        <v>16.471719098998282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11.2</v>
      </c>
      <c r="N39" s="13">
        <f>IF('Données projet'!$A$36&gt;35,N38+M39-V38,IF(A39&lt;'Données projet'!$A$36,$K$205^A39,IF(A39='Données projet'!$A$36,'Données projet'!$B$36,N38+M39-V38)))</f>
        <v>130.20000000000002</v>
      </c>
      <c r="O39" s="13">
        <f>N39*VLOOKUP('Données projet'!$B$9,Paramètres!$A$1:$I$89,3,0)*VLOOKUP('Données projet'!$B$9,Paramètres!$A$1:$I$89,5,0)</f>
        <v>117.80496000000001</v>
      </c>
      <c r="P39" s="13">
        <f t="shared" si="33"/>
        <v>31.162493487829593</v>
      </c>
      <c r="Q39" s="20">
        <f t="shared" si="53"/>
        <v>259.45164815796988</v>
      </c>
      <c r="R39" s="59">
        <f t="shared" si="0"/>
        <v>552.78498149130314</v>
      </c>
      <c r="S39" s="59">
        <f ca="1">AVERAGE(OFFSET($R$3,0,0,'Données projet'!$E$9+1,1))-AVERAGE(OFFSET($H$3,0,0,'Données projet'!$E$9+1,1))</f>
        <v>453.52760163325451</v>
      </c>
      <c r="T39" s="59">
        <f t="shared" si="34"/>
        <v>344.23959526427001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10.4</v>
      </c>
      <c r="AI39" s="13">
        <f>IF('Données projet'!$A$62&gt;35,AI38+AH39-AQ38,IF(A39&lt;'Données projet'!$A$62,$AF$205^A39,IF(A39='Données projet'!$A$62,'Données projet'!$B$62,AI38+AH39-AQ38)))</f>
        <v>121.4</v>
      </c>
      <c r="AJ39" s="13">
        <f>AI39*VLOOKUP('Données projet'!$B$10,Paramètres!$A$1:$I$89,3,0)*VLOOKUP('Données projet'!$B$10,Paramètres!$A$1:$I$89,5,0)</f>
        <v>104.16120000000002</v>
      </c>
      <c r="AK39" s="13">
        <f t="shared" si="35"/>
        <v>27.95098158074293</v>
      </c>
      <c r="AL39" s="20">
        <f t="shared" si="4"/>
        <v>230.09538291979393</v>
      </c>
      <c r="AM39" s="59">
        <f t="shared" si="5"/>
        <v>523.42871625312728</v>
      </c>
      <c r="AN39" s="59">
        <f ca="1">AVERAGE(OFFSET($AM$3,0,0,'Données projet'!$E$10+1,1))-AVERAGE(OFFSET($H$3,0,0,'Données projet'!$E$10+1,1))</f>
        <v>397.45670821030774</v>
      </c>
      <c r="AO39" s="59">
        <f t="shared" si="36"/>
        <v>256.77417912163997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11.5</v>
      </c>
      <c r="BD39" s="12">
        <f>IF('Données projet'!$A$88&gt;35,BD38+BC39-BL38,IF(A39&lt;'Données projet'!$A$88,$BA$205^A39,IF(A39='Données projet'!$A$88,'Données projet'!$B$88,BD38+BC39-BL38)))</f>
        <v>176.49999999999994</v>
      </c>
      <c r="BE39" s="13">
        <f>BD39*VLOOKUP('Données projet'!$B$11,Paramètres!$A$1:$I$89,3,0)*VLOOKUP('Données projet'!$B$11,Paramètres!$A$1:$I$89,5,0)</f>
        <v>137.66999999999996</v>
      </c>
      <c r="BF39" s="13">
        <f t="shared" si="37"/>
        <v>35.762714965854656</v>
      </c>
      <c r="BG39" s="20">
        <f t="shared" si="7"/>
        <v>302.06197856553007</v>
      </c>
      <c r="BH39" s="59">
        <f t="shared" si="8"/>
        <v>595.39531189886338</v>
      </c>
      <c r="BI39" s="59">
        <f ca="1">AVERAGE(OFFSET($BH$3,0,0,'Données projet'!$E$11+1,1))-AVERAGE(OFFSET($H$3,0,0,'Données projet'!$E$11+1,1))</f>
        <v>293.20194140252903</v>
      </c>
      <c r="BJ39" s="59">
        <f t="shared" si="38"/>
        <v>280.69048279989266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8.2872303381565438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8.2872303381565438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9.6</v>
      </c>
      <c r="BY39" s="12">
        <f>IF('Données projet'!$A$114&gt;35,BY38+BX39-CG38,IF(A39&lt;'Données projet'!$A$114,$BV$205^A39,IF(A39='Données projet'!$A$114,'Données projet'!$B$114,BY38+BX39-CG38)))</f>
        <v>153.60000000000002</v>
      </c>
      <c r="BZ39" s="13">
        <f>BY39*VLOOKUP('Données projet'!$B$12,Paramètres!$A$1:$I$89,3,0)*VLOOKUP('Données projet'!$B$12,Paramètres!$A$1:$I$89,5,0)</f>
        <v>122.20416000000003</v>
      </c>
      <c r="CA39" s="13">
        <f t="shared" si="39"/>
        <v>32.188537573102472</v>
      </c>
      <c r="CB39" s="20">
        <f t="shared" si="10"/>
        <v>268.90061493982017</v>
      </c>
      <c r="CC39" s="59">
        <f t="shared" si="11"/>
        <v>562.23394827315349</v>
      </c>
      <c r="CD39" s="59">
        <f ca="1">AVERAGE(OFFSET($CC$3,0,0,'Données projet'!$E$12+1,1))-AVERAGE(OFFSET($H$3,0,0,'Données projet'!$E$12+1,1))</f>
        <v>271.25628946149067</v>
      </c>
      <c r="CE39" s="59">
        <f t="shared" si="40"/>
        <v>292.57799203101769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13.645895570847665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13.645895570847665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13.2</v>
      </c>
      <c r="CT39" s="12">
        <f>IF('Données projet'!$A$140&gt;35,CT38+CS39-DB38,IF(A39&lt;'Données projet'!$A$140,$CQ$205^A39,IF(A39='Données projet'!$A$140,'Données projet'!$B$140,CT38+CS39-DB38)))</f>
        <v>219.2000000000001</v>
      </c>
      <c r="CU39" s="17">
        <f>CT39*VLOOKUP('Données projet'!$B$13,Paramètres!$A$1:$I$89,3,0)*VLOOKUP('Données projet'!$B$13,Paramètres!$A$1:$I$89,5,0)</f>
        <v>119.68320000000006</v>
      </c>
      <c r="CV39" s="13">
        <f t="shared" si="41"/>
        <v>31.601099532596194</v>
      </c>
      <c r="CW39" s="20">
        <f t="shared" si="13"/>
        <v>263.48682168593848</v>
      </c>
      <c r="CX39" s="59">
        <f t="shared" si="14"/>
        <v>556.82015501927185</v>
      </c>
      <c r="CY39" s="59">
        <f ca="1">AVERAGE(OFFSET($CX$3,0,0,'Données projet'!$E$13+1,1))-AVERAGE(OFFSET($H$3,0,0,'Données projet'!$E$13+1,1))</f>
        <v>210.03861149060413</v>
      </c>
      <c r="CZ39" s="59">
        <f t="shared" si="42"/>
        <v>298.74602928001929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21.319447172002075</v>
      </c>
      <c r="DG39" s="21">
        <f>EXP(-LN(2)/25)*DG38+(1-EXP(-LN(2)/25))/(LN(2)/25)*Calculateur!DB39*Calculateur!DD39*VLOOKUP('Données projet'!$B$13,Paramètres!$A$1:$I$89,3,0)*0.475*44/12</f>
        <v>26.736750013014014</v>
      </c>
      <c r="DH39" s="21">
        <f>EXP(-LN(2)/2)*DH38+(1-EXP(-LN(2)/2))/(LN(2)/2)*DB39*DE39*VLOOKUP('Données projet'!$B$13,Paramètres!$A$1:$I$89,3,0)*0.475*44/12</f>
        <v>5.9987899330706682</v>
      </c>
      <c r="DI39" s="22">
        <f t="shared" si="15"/>
        <v>54.054987118086757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21.354000000000003</v>
      </c>
      <c r="DO39" s="12">
        <f>IF('Données projet'!$A$166&gt;35,DO38+DN39-DW38,IF(A39&lt;'Données projet'!$A$166,$DL$205^A39,IF(A39='Données projet'!$A$166,'Données projet'!$B$166,DO38+DN39-DW38)))</f>
        <v>315.76600000000008</v>
      </c>
      <c r="DP39" s="17">
        <f>DO39*VLOOKUP('Données projet'!$B$14,Paramètres!$A$1:$I$89,3,0)*VLOOKUP('Données projet'!$B$14,Paramètres!$A$1:$I$89,5,0)</f>
        <v>188.82806800000006</v>
      </c>
      <c r="DQ39" s="13">
        <f t="shared" si="43"/>
        <v>47.280762100017121</v>
      </c>
      <c r="DR39" s="20">
        <f t="shared" si="16"/>
        <v>411.22287909086322</v>
      </c>
      <c r="DS39" s="59">
        <f t="shared" si="17"/>
        <v>704.55621242419647</v>
      </c>
      <c r="DT39" s="59">
        <f ca="1">AVERAGE(OFFSET($DS$3,0,0,'Données projet'!$E$14+1,1))-AVERAGE(OFFSET($H$3,0,0,'Données projet'!$E$14+1,1))</f>
        <v>402.28353929315114</v>
      </c>
      <c r="DU39" s="59">
        <f t="shared" si="44"/>
        <v>376.94419168335463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6.7801754318527028</v>
      </c>
      <c r="EB39" s="21">
        <f>EXP(-LN(2)/25)*EB38+(1-EXP(-LN(2)/25))/(LN(2)/25)*Calculateur!DW39*Calculateur!DY39*VLOOKUP('Données projet'!$B$14,Paramètres!$A$1:$I$89,3,0)*0.475*44/12</f>
        <v>19.9930536058882</v>
      </c>
      <c r="EC39" s="21">
        <f>EXP(-LN(2)/2)*EC38+(1-EXP(-LN(2)/2))/(LN(2)/2)*DW39*DZ39*VLOOKUP('Données projet'!$B$14,Paramètres!$A$1:$I$89,3,0)*0.475*44/12</f>
        <v>2.189102688120208</v>
      </c>
      <c r="ED39" s="22">
        <f t="shared" si="18"/>
        <v>28.962331725861112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14</v>
      </c>
      <c r="EJ39" s="12">
        <f>IF('Données projet'!$A$192&gt;35,EJ38+EI39-ER38,IF(A39&lt;'Données projet'!$A$192,$EG$205^A39,IF(A39='Données projet'!$A$192,'Données projet'!$B$192,EJ38+EI39-ER38)))</f>
        <v>244</v>
      </c>
      <c r="EK39" s="17">
        <f>EJ39*VLOOKUP('Données projet'!$B$15,Paramètres!$A$1:$I$89,3,0)*VLOOKUP('Données projet'!$B$15,Paramètres!$A$1:$I$89,5,0)</f>
        <v>114.19200000000001</v>
      </c>
      <c r="EL39" s="13">
        <f t="shared" si="45"/>
        <v>30.316492326242802</v>
      </c>
      <c r="EM39" s="20">
        <f t="shared" si="19"/>
        <v>251.68562413487288</v>
      </c>
      <c r="EN39" s="59">
        <f t="shared" si="20"/>
        <v>545.01895746820617</v>
      </c>
      <c r="EO39" s="59">
        <f ca="1">AVERAGE(OFFSET($EN$3,0,0,'Données projet'!$E$15+1,1))-AVERAGE(OFFSET($H$3,0,0,'Données projet'!$E$15+1,1))</f>
        <v>273.3012268683454</v>
      </c>
      <c r="EP39" s="59">
        <f t="shared" si="46"/>
        <v>254.08208375594052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3.0320178720625535</v>
      </c>
      <c r="EW39" s="21">
        <f>EXP(-LN(2)/25)*EW38+(1-EXP(-LN(2)/25))/(LN(2)/25)*Calculateur!ER39*Calculateur!ET39*VLOOKUP('Données projet'!$B$15,Paramètres!$A$1:$I$89,3,0)*0.475*44/12</f>
        <v>11.368672693564305</v>
      </c>
      <c r="EX39" s="21">
        <f>EXP(-LN(2)/2)*EX38+(1-EXP(-LN(2)/2))/(LN(2)/2)*ER39*EU39*VLOOKUP('Données projet'!$B$15,Paramètres!$A$1:$I$89,3,0)*0.475*44/12</f>
        <v>1.1955523887656339</v>
      </c>
      <c r="EY39" s="22">
        <f t="shared" si="21"/>
        <v>15.596242954392492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11.2</v>
      </c>
      <c r="N40" s="13">
        <f>IF('Données projet'!$A$36&gt;35,N39+M40-V39,IF(A40&lt;'Données projet'!$A$36,$K$205^A40,IF(A40='Données projet'!$A$36,'Données projet'!$B$36,N39+M40-V39)))</f>
        <v>141.4</v>
      </c>
      <c r="O40" s="13">
        <f>N40*VLOOKUP('Données projet'!$B$9,Paramètres!$A$1:$I$89,3,0)*VLOOKUP('Données projet'!$B$9,Paramètres!$A$1:$I$89,5,0)</f>
        <v>127.93872</v>
      </c>
      <c r="P40" s="13">
        <f t="shared" si="33"/>
        <v>33.519615889545641</v>
      </c>
      <c r="Q40" s="20">
        <f t="shared" si="53"/>
        <v>281.20660167429202</v>
      </c>
      <c r="R40" s="59">
        <f t="shared" si="0"/>
        <v>574.53993500762533</v>
      </c>
      <c r="S40" s="59">
        <f ca="1">AVERAGE(OFFSET($R$3,0,0,'Données projet'!$E$9+1,1))-AVERAGE(OFFSET($H$3,0,0,'Données projet'!$E$9+1,1))</f>
        <v>453.52760163325451</v>
      </c>
      <c r="T40" s="59">
        <f t="shared" si="34"/>
        <v>344.23959526427001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10.4</v>
      </c>
      <c r="AI40" s="13">
        <f>IF('Données projet'!$A$62&gt;35,AI39+AH40-AQ39,IF(A40&lt;'Données projet'!$A$62,$AF$205^A40,IF(A40='Données projet'!$A$62,'Données projet'!$B$62,AI39+AH40-AQ39)))</f>
        <v>131.80000000000001</v>
      </c>
      <c r="AJ40" s="13">
        <f>AI40*VLOOKUP('Données projet'!$B$10,Paramètres!$A$1:$I$89,3,0)*VLOOKUP('Données projet'!$B$10,Paramètres!$A$1:$I$89,5,0)</f>
        <v>113.08440000000002</v>
      </c>
      <c r="AK40" s="13">
        <f t="shared" si="35"/>
        <v>30.05651952806824</v>
      </c>
      <c r="AL40" s="20">
        <f t="shared" si="4"/>
        <v>249.3037681780522</v>
      </c>
      <c r="AM40" s="59">
        <f t="shared" si="5"/>
        <v>542.63710151138548</v>
      </c>
      <c r="AN40" s="59">
        <f ca="1">AVERAGE(OFFSET($AM$3,0,0,'Données projet'!$E$10+1,1))-AVERAGE(OFFSET($H$3,0,0,'Données projet'!$E$10+1,1))</f>
        <v>397.45670821030774</v>
      </c>
      <c r="AO40" s="59">
        <f t="shared" si="36"/>
        <v>256.77417912163997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>
        <f>VLOOKUP(A40,'Données projet'!$A$87:$I$107,2,0)</f>
        <v>188</v>
      </c>
      <c r="BB40" s="12">
        <f>VLOOKUP(A40,'Données projet'!$A$87:$I$107,9,0)</f>
        <v>11.5</v>
      </c>
      <c r="BC40" s="12">
        <f t="array" ref="BC40">INDEX(BB:BB,MIN(IF(ISNUMBER(BB40:BB236),ROW(BB40:BB236),"")))</f>
        <v>11.5</v>
      </c>
      <c r="BD40" s="12">
        <f>IF('Données projet'!$A$88&gt;35,BD39+BC40-BL39,IF(A40&lt;'Données projet'!$A$88,$BA$205^A40,IF(A40='Données projet'!$A$88,'Données projet'!$B$88,BD39+BC40-BL39)))</f>
        <v>187.99999999999994</v>
      </c>
      <c r="BE40" s="13">
        <f>BD40*VLOOKUP('Données projet'!$B$11,Paramètres!$A$1:$I$89,3,0)*VLOOKUP('Données projet'!$B$11,Paramètres!$A$1:$I$89,5,0)</f>
        <v>146.63999999999996</v>
      </c>
      <c r="BF40" s="13">
        <f t="shared" si="37"/>
        <v>37.814009712703026</v>
      </c>
      <c r="BG40" s="20">
        <f t="shared" si="7"/>
        <v>321.25740024962437</v>
      </c>
      <c r="BH40" s="59">
        <f t="shared" si="8"/>
        <v>614.59073358295768</v>
      </c>
      <c r="BI40" s="59">
        <f ca="1">AVERAGE(OFFSET($BH$3,0,0,'Données projet'!$E$11+1,1))-AVERAGE(OFFSET($H$3,0,0,'Données projet'!$E$11+1,1))</f>
        <v>293.20194140252903</v>
      </c>
      <c r="BJ40" s="59">
        <f t="shared" si="38"/>
        <v>280.69048279989266</v>
      </c>
      <c r="BK40" s="15">
        <f>IF(ISNA(VLOOKUP(A40,'Données projet'!$A$87:$I$107,3,0)),0,VLOOKUP(A40,'Données projet'!$A$87:$I$107,3,0))</f>
        <v>5</v>
      </c>
      <c r="BL40" s="15">
        <f>IF(ISNA(VLOOKUP(A40,'Données projet'!$A$87:$I$107,4,0)),0,VLOOKUP(A40,'Données projet'!$A$87:$I$107,4,0))</f>
        <v>36</v>
      </c>
      <c r="BM40" s="16">
        <f>IF(ISNA(VLOOKUP(A40,'Données projet'!$A$87:$I$107,5,0)),0%,VLOOKUP(A40,'Données projet'!$A$87:$I$107,5,0)*VLOOKUP('Données projet'!$B$11,Paramètres!$A$1:$I$89,7,0))</f>
        <v>0.17200000000000001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13.463879426189749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13.463879426189749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9.6</v>
      </c>
      <c r="BY40" s="12">
        <f>IF('Données projet'!$A$114&gt;35,BY39+BX40-CG39,IF(A40&lt;'Données projet'!$A$114,$BV$205^A40,IF(A40='Données projet'!$A$114,'Données projet'!$B$114,BY39+BX40-CG39)))</f>
        <v>163.20000000000002</v>
      </c>
      <c r="BZ40" s="13">
        <f>BY40*VLOOKUP('Données projet'!$B$12,Paramètres!$A$1:$I$89,3,0)*VLOOKUP('Données projet'!$B$12,Paramètres!$A$1:$I$89,5,0)</f>
        <v>129.84192000000002</v>
      </c>
      <c r="CA40" s="13">
        <f t="shared" si="39"/>
        <v>33.959829099416851</v>
      </c>
      <c r="CB40" s="20">
        <f t="shared" si="10"/>
        <v>285.288046348151</v>
      </c>
      <c r="CC40" s="59">
        <f t="shared" si="11"/>
        <v>578.62137968148431</v>
      </c>
      <c r="CD40" s="59">
        <f ca="1">AVERAGE(OFFSET($CC$3,0,0,'Données projet'!$E$12+1,1))-AVERAGE(OFFSET($H$3,0,0,'Données projet'!$E$12+1,1))</f>
        <v>271.25628946149067</v>
      </c>
      <c r="CE40" s="59">
        <f t="shared" si="40"/>
        <v>292.57799203101769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13.378307881877795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13.378307881877795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13.2</v>
      </c>
      <c r="CT40" s="12">
        <f>IF('Données projet'!$A$140&gt;35,CT39+CS40-DB39,IF(A40&lt;'Données projet'!$A$140,$CQ$205^A40,IF(A40='Données projet'!$A$140,'Données projet'!$B$140,CT39+CS40-DB39)))</f>
        <v>232.40000000000009</v>
      </c>
      <c r="CU40" s="17">
        <f>CT40*VLOOKUP('Données projet'!$B$13,Paramètres!$A$1:$I$89,3,0)*VLOOKUP('Données projet'!$B$13,Paramètres!$A$1:$I$89,5,0)</f>
        <v>126.89040000000004</v>
      </c>
      <c r="CV40" s="13">
        <f t="shared" si="41"/>
        <v>33.276812746552586</v>
      </c>
      <c r="CW40" s="20">
        <f t="shared" si="13"/>
        <v>278.95789553357918</v>
      </c>
      <c r="CX40" s="59">
        <f t="shared" si="14"/>
        <v>572.29122886691243</v>
      </c>
      <c r="CY40" s="59">
        <f ca="1">AVERAGE(OFFSET($CX$3,0,0,'Données projet'!$E$13+1,1))-AVERAGE(OFFSET($H$3,0,0,'Données projet'!$E$13+1,1))</f>
        <v>210.03861149060413</v>
      </c>
      <c r="CZ40" s="59">
        <f t="shared" si="42"/>
        <v>298.74602928001929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20.901385816537893</v>
      </c>
      <c r="DG40" s="21">
        <f>EXP(-LN(2)/25)*DG39+(1-EXP(-LN(2)/25))/(LN(2)/25)*Calculateur!DB40*Calculateur!DD40*VLOOKUP('Données projet'!$B$13,Paramètres!$A$1:$I$89,3,0)*0.475*44/12</f>
        <v>26.00563217788357</v>
      </c>
      <c r="DH40" s="21">
        <f>EXP(-LN(2)/2)*DH39+(1-EXP(-LN(2)/2))/(LN(2)/2)*DB40*DE40*VLOOKUP('Données projet'!$B$13,Paramètres!$A$1:$I$89,3,0)*0.475*44/12</f>
        <v>4.2417850405878657</v>
      </c>
      <c r="DI40" s="22">
        <f t="shared" si="15"/>
        <v>51.14880303500933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>
        <f>VLOOKUP(A40,'Données projet'!$A$165:$I$185,2,0)</f>
        <v>337.12</v>
      </c>
      <c r="DM40" s="12">
        <f>VLOOKUP(A40,'Données projet'!$A$165:$I$185,9,0)</f>
        <v>21.354000000000003</v>
      </c>
      <c r="DN40" s="12">
        <f t="array" ref="DN40">INDEX(DM:DM,MIN(IF(ISNUMBER(DM40:DM236),ROW(DM40:DM236),"")))</f>
        <v>21.354000000000003</v>
      </c>
      <c r="DO40" s="12">
        <f>IF('Données projet'!$A$166&gt;35,DO39+DN40-DW39,IF(A40&lt;'Données projet'!$A$166,$DL$205^A40,IF(A40='Données projet'!$A$166,'Données projet'!$B$166,DO39+DN40-DW39)))</f>
        <v>337.12000000000006</v>
      </c>
      <c r="DP40" s="17">
        <f>DO40*VLOOKUP('Données projet'!$B$14,Paramètres!$A$1:$I$89,3,0)*VLOOKUP('Données projet'!$B$14,Paramètres!$A$1:$I$89,5,0)</f>
        <v>201.59776000000005</v>
      </c>
      <c r="DQ40" s="13">
        <f t="shared" si="43"/>
        <v>50.095144235751</v>
      </c>
      <c r="DR40" s="20">
        <f t="shared" si="16"/>
        <v>438.36514154393308</v>
      </c>
      <c r="DS40" s="59">
        <f t="shared" si="17"/>
        <v>731.69847487726634</v>
      </c>
      <c r="DT40" s="59">
        <f ca="1">AVERAGE(OFFSET($DS$3,0,0,'Données projet'!$E$14+1,1))-AVERAGE(OFFSET($H$3,0,0,'Données projet'!$E$14+1,1))</f>
        <v>402.28353929315114</v>
      </c>
      <c r="DU40" s="59">
        <f t="shared" si="44"/>
        <v>376.94419168335463</v>
      </c>
      <c r="DV40" s="15">
        <f>IF(ISNA(VLOOKUP(A40,'Données projet'!$A$165:$I$185,3,0)),0,VLOOKUP(A40,'Données projet'!$A$165:$I$185,3,0))</f>
        <v>6</v>
      </c>
      <c r="DW40" s="15">
        <f>IF(ISNA(VLOOKUP(A40,'Données projet'!$A$165:$I$185,4,0)),0,VLOOKUP(A40,'Données projet'!$A$165:$I$185,4,0))</f>
        <v>55</v>
      </c>
      <c r="DX40" s="16">
        <f>IF(ISNA(VLOOKUP(A40,'Données projet'!$A$165:$I$185,5,0)),0%,VLOOKUP(A40,'Données projet'!$A$165:$I$185,5,0)*VLOOKUP('Données projet'!$B$14,Paramètres!$A$1:$I$89,7,0))</f>
        <v>0.13500000000000001</v>
      </c>
      <c r="DY40" s="16">
        <f>IF(ISNA(VLOOKUP(A40,'Données projet'!$A$165:$I$185,6,0)),0%,VLOOKUP(A40,'Données projet'!$A$165:$I$185,6,0)*VLOOKUP('Données projet'!$B$14,Paramètres!$A$1:$I$89,7,0))</f>
        <v>0.17550000000000002</v>
      </c>
      <c r="DZ40" s="16">
        <f>IF(ISNA(VLOOKUP(A40,'Données projet'!$A$165:$I$185,7,0)),0%,VLOOKUP(A40,'Données projet'!$A$165:$I$185,7,0))</f>
        <v>0.31</v>
      </c>
      <c r="EA40" s="21">
        <f>EXP(-LN(2)/35)*EA39+(1-EXP(-LN(2)/35))/(LN(2)/35)*DW40*DX40*VLOOKUP('Données projet'!$B$14,Paramètres!$A$1:$I$89,3,0)*0.475*44/12</f>
        <v>12.537365493952613</v>
      </c>
      <c r="EB40" s="21">
        <f>EXP(-LN(2)/25)*EB39+(1-EXP(-LN(2)/25))/(LN(2)/25)*Calculateur!DW40*Calculateur!DY40*VLOOKUP('Données projet'!$B$14,Paramètres!$A$1:$I$89,3,0)*0.475*44/12</f>
        <v>27.07338195091609</v>
      </c>
      <c r="EC40" s="21">
        <f>EXP(-LN(2)/2)*EC39+(1-EXP(-LN(2)/2))/(LN(2)/2)*DW40*DZ40*VLOOKUP('Données projet'!$B$14,Paramètres!$A$1:$I$89,3,0)*0.475*44/12</f>
        <v>13.092056637833593</v>
      </c>
      <c r="ED40" s="22">
        <f t="shared" si="18"/>
        <v>52.702804082702301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14</v>
      </c>
      <c r="EJ40" s="12">
        <f>IF('Données projet'!$A$192&gt;35,EJ39+EI40-ER39,IF(A40&lt;'Données projet'!$A$192,$EG$205^A40,IF(A40='Données projet'!$A$192,'Données projet'!$B$192,EJ39+EI40-ER39)))</f>
        <v>258</v>
      </c>
      <c r="EK40" s="17">
        <f>EJ40*VLOOKUP('Données projet'!$B$15,Paramètres!$A$1:$I$89,3,0)*VLOOKUP('Données projet'!$B$15,Paramètres!$A$1:$I$89,5,0)</f>
        <v>120.744</v>
      </c>
      <c r="EL40" s="13">
        <f t="shared" si="45"/>
        <v>31.848462605207807</v>
      </c>
      <c r="EM40" s="20">
        <f t="shared" si="19"/>
        <v>265.76520570407024</v>
      </c>
      <c r="EN40" s="59">
        <f t="shared" si="20"/>
        <v>559.0985390374035</v>
      </c>
      <c r="EO40" s="59">
        <f ca="1">AVERAGE(OFFSET($EN$3,0,0,'Données projet'!$E$15+1,1))-AVERAGE(OFFSET($H$3,0,0,'Données projet'!$E$15+1,1))</f>
        <v>273.3012268683454</v>
      </c>
      <c r="EP40" s="59">
        <f t="shared" si="46"/>
        <v>254.08208375594052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2.9725618509397007</v>
      </c>
      <c r="EW40" s="21">
        <f>EXP(-LN(2)/25)*EW39+(1-EXP(-LN(2)/25))/(LN(2)/25)*Calculateur!ER40*Calculateur!ET40*VLOOKUP('Données projet'!$B$15,Paramètres!$A$1:$I$89,3,0)*0.475*44/12</f>
        <v>11.057795740906275</v>
      </c>
      <c r="EX40" s="21">
        <f>EXP(-LN(2)/2)*EX39+(1-EXP(-LN(2)/2))/(LN(2)/2)*ER40*EU40*VLOOKUP('Données projet'!$B$15,Paramètres!$A$1:$I$89,3,0)*0.475*44/12</f>
        <v>0.84538320135995526</v>
      </c>
      <c r="EY40" s="22">
        <f t="shared" si="21"/>
        <v>14.875740793205932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11.2</v>
      </c>
      <c r="N41" s="13">
        <f>IF('Données projet'!$A$36&gt;35,N40+M41-V40,IF(A41&lt;'Données projet'!$A$36,$K$205^A41,IF(A41='Données projet'!$A$36,'Données projet'!$B$36,N40+M41-V40)))</f>
        <v>152.6</v>
      </c>
      <c r="O41" s="13">
        <f>N41*VLOOKUP('Données projet'!$B$9,Paramètres!$A$1:$I$89,3,0)*VLOOKUP('Données projet'!$B$9,Paramètres!$A$1:$I$89,5,0)</f>
        <v>138.07247999999998</v>
      </c>
      <c r="P41" s="13">
        <f t="shared" si="33"/>
        <v>35.855082076777961</v>
      </c>
      <c r="Q41" s="20">
        <f t="shared" si="53"/>
        <v>302.92383728372158</v>
      </c>
      <c r="R41" s="59">
        <f t="shared" si="0"/>
        <v>596.25717061705495</v>
      </c>
      <c r="S41" s="59">
        <f ca="1">AVERAGE(OFFSET($R$3,0,0,'Données projet'!$E$9+1,1))-AVERAGE(OFFSET($H$3,0,0,'Données projet'!$E$9+1,1))</f>
        <v>453.52760163325451</v>
      </c>
      <c r="T41" s="59">
        <f t="shared" si="34"/>
        <v>344.23959526427001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10.4</v>
      </c>
      <c r="AI41" s="13">
        <f>IF('Données projet'!$A$62&gt;35,AI40+AH41-AQ40,IF(A41&lt;'Données projet'!$A$62,$AF$205^A41,IF(A41='Données projet'!$A$62,'Données projet'!$B$62,AI40+AH41-AQ40)))</f>
        <v>142.20000000000002</v>
      </c>
      <c r="AJ41" s="13">
        <f>AI41*VLOOKUP('Données projet'!$B$10,Paramètres!$A$1:$I$89,3,0)*VLOOKUP('Données projet'!$B$10,Paramètres!$A$1:$I$89,5,0)</f>
        <v>122.00760000000004</v>
      </c>
      <c r="AK41" s="13">
        <f t="shared" si="35"/>
        <v>32.142785920703616</v>
      </c>
      <c r="AL41" s="20">
        <f t="shared" si="4"/>
        <v>268.47858881189217</v>
      </c>
      <c r="AM41" s="59">
        <f t="shared" si="5"/>
        <v>561.81192214522548</v>
      </c>
      <c r="AN41" s="59">
        <f ca="1">AVERAGE(OFFSET($AM$3,0,0,'Données projet'!$E$10+1,1))-AVERAGE(OFFSET($H$3,0,0,'Données projet'!$E$10+1,1))</f>
        <v>397.45670821030774</v>
      </c>
      <c r="AO41" s="59">
        <f t="shared" si="36"/>
        <v>256.77417912163997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11.142857142857142</v>
      </c>
      <c r="BD41" s="12">
        <f>IF('Données projet'!$A$88&gt;35,BD40+BC41-BL40,IF(A41&lt;'Données projet'!$A$88,$BA$205^A41,IF(A41='Données projet'!$A$88,'Données projet'!$B$88,BD40+BC41-BL40)))</f>
        <v>163.14285714285708</v>
      </c>
      <c r="BE41" s="13">
        <f>BD41*VLOOKUP('Données projet'!$B$11,Paramètres!$A$1:$I$89,3,0)*VLOOKUP('Données projet'!$B$11,Paramètres!$A$1:$I$89,5,0)</f>
        <v>127.25142857142853</v>
      </c>
      <c r="BF41" s="13">
        <f t="shared" si="37"/>
        <v>33.360457439554281</v>
      </c>
      <c r="BG41" s="20">
        <f t="shared" si="7"/>
        <v>279.73236813579501</v>
      </c>
      <c r="BH41" s="59">
        <f t="shared" si="8"/>
        <v>573.06570146912827</v>
      </c>
      <c r="BI41" s="59">
        <f ca="1">AVERAGE(OFFSET($BH$3,0,0,'Données projet'!$E$11+1,1))-AVERAGE(OFFSET($H$3,0,0,'Données projet'!$E$11+1,1))</f>
        <v>293.20194140252903</v>
      </c>
      <c r="BJ41" s="59">
        <f t="shared" si="38"/>
        <v>280.69048279989266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13.199860962797734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13.199860962797734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9.6</v>
      </c>
      <c r="BY41" s="12">
        <f>IF('Données projet'!$A$114&gt;35,BY40+BX41-CG40,IF(A41&lt;'Données projet'!$A$114,$BV$205^A41,IF(A41='Données projet'!$A$114,'Données projet'!$B$114,BY40+BX41-CG40)))</f>
        <v>172.8</v>
      </c>
      <c r="BZ41" s="13">
        <f>BY41*VLOOKUP('Données projet'!$B$12,Paramètres!$A$1:$I$89,3,0)*VLOOKUP('Données projet'!$B$12,Paramètres!$A$1:$I$89,5,0)</f>
        <v>137.47968000000003</v>
      </c>
      <c r="CA41" s="13">
        <f t="shared" si="39"/>
        <v>35.719026553355249</v>
      </c>
      <c r="CB41" s="20">
        <f t="shared" si="10"/>
        <v>301.65441391376049</v>
      </c>
      <c r="CC41" s="59">
        <f t="shared" si="11"/>
        <v>594.98774724709381</v>
      </c>
      <c r="CD41" s="59">
        <f ca="1">AVERAGE(OFFSET($CC$3,0,0,'Données projet'!$E$12+1,1))-AVERAGE(OFFSET($H$3,0,0,'Données projet'!$E$12+1,1))</f>
        <v>271.25628946149067</v>
      </c>
      <c r="CE41" s="59">
        <f t="shared" si="40"/>
        <v>292.57799203101769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13.115967424276251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13.115967424276251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13.2</v>
      </c>
      <c r="CT41" s="12">
        <f>IF('Données projet'!$A$140&gt;35,CT40+CS41-DB40,IF(A41&lt;'Données projet'!$A$140,$CQ$205^A41,IF(A41='Données projet'!$A$140,'Données projet'!$B$140,CT40+CS41-DB40)))</f>
        <v>245.60000000000008</v>
      </c>
      <c r="CU41" s="17">
        <f>CT41*VLOOKUP('Données projet'!$B$13,Paramètres!$A$1:$I$89,3,0)*VLOOKUP('Données projet'!$B$13,Paramètres!$A$1:$I$89,5,0)</f>
        <v>134.09760000000006</v>
      </c>
      <c r="CV41" s="13">
        <f t="shared" si="41"/>
        <v>34.941477489420123</v>
      </c>
      <c r="CW41" s="20">
        <f t="shared" si="13"/>
        <v>294.40972662740677</v>
      </c>
      <c r="CX41" s="59">
        <f t="shared" si="14"/>
        <v>587.74305996074008</v>
      </c>
      <c r="CY41" s="59">
        <f ca="1">AVERAGE(OFFSET($CX$3,0,0,'Données projet'!$E$13+1,1))-AVERAGE(OFFSET($H$3,0,0,'Données projet'!$E$13+1,1))</f>
        <v>210.03861149060413</v>
      </c>
      <c r="CZ41" s="59">
        <f t="shared" si="42"/>
        <v>298.74602928001929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20.491522389262116</v>
      </c>
      <c r="DG41" s="21">
        <f>EXP(-LN(2)/25)*DG40+(1-EXP(-LN(2)/25))/(LN(2)/25)*Calculateur!DB41*Calculateur!DD41*VLOOKUP('Données projet'!$B$13,Paramètres!$A$1:$I$89,3,0)*0.475*44/12</f>
        <v>25.294506798402583</v>
      </c>
      <c r="DH41" s="21">
        <f>EXP(-LN(2)/2)*DH40+(1-EXP(-LN(2)/2))/(LN(2)/2)*DB41*DE41*VLOOKUP('Données projet'!$B$13,Paramètres!$A$1:$I$89,3,0)*0.475*44/12</f>
        <v>2.9993949665353346</v>
      </c>
      <c r="DI41" s="22">
        <f t="shared" si="15"/>
        <v>48.78542415420003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20.269999999999996</v>
      </c>
      <c r="DO41" s="12">
        <f>IF('Données projet'!$A$166&gt;35,DO40+DN41-DW40,IF(A41&lt;'Données projet'!$A$166,$DL$205^A41,IF(A41='Données projet'!$A$166,'Données projet'!$B$166,DO40+DN41-DW40)))</f>
        <v>302.39000000000004</v>
      </c>
      <c r="DP41" s="17">
        <f>DO41*VLOOKUP('Données projet'!$B$14,Paramètres!$A$1:$I$89,3,0)*VLOOKUP('Données projet'!$B$14,Paramètres!$A$1:$I$89,5,0)</f>
        <v>180.82922000000005</v>
      </c>
      <c r="DQ41" s="13">
        <f t="shared" si="43"/>
        <v>45.506622960271066</v>
      </c>
      <c r="DR41" s="20">
        <f t="shared" si="16"/>
        <v>394.20159315580548</v>
      </c>
      <c r="DS41" s="59">
        <f t="shared" si="17"/>
        <v>687.5349264891388</v>
      </c>
      <c r="DT41" s="59">
        <f ca="1">AVERAGE(OFFSET($DS$3,0,0,'Données projet'!$E$14+1,1))-AVERAGE(OFFSET($H$3,0,0,'Données projet'!$E$14+1,1))</f>
        <v>402.28353929315114</v>
      </c>
      <c r="DU41" s="59">
        <f t="shared" si="44"/>
        <v>376.94419168335463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12.291515403654072</v>
      </c>
      <c r="EB41" s="21">
        <f>EXP(-LN(2)/25)*EB40+(1-EXP(-LN(2)/25))/(LN(2)/25)*Calculateur!DW41*Calculateur!DY41*VLOOKUP('Données projet'!$B$14,Paramètres!$A$1:$I$89,3,0)*0.475*44/12</f>
        <v>26.333058897741012</v>
      </c>
      <c r="EC41" s="21">
        <f>EXP(-LN(2)/2)*EC40+(1-EXP(-LN(2)/2))/(LN(2)/2)*DW41*DZ41*VLOOKUP('Données projet'!$B$14,Paramètres!$A$1:$I$89,3,0)*0.475*44/12</f>
        <v>9.2574820282904859</v>
      </c>
      <c r="ED41" s="22">
        <f t="shared" si="18"/>
        <v>47.882056329685568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14</v>
      </c>
      <c r="EJ41" s="12">
        <f>IF('Données projet'!$A$192&gt;35,EJ40+EI41-ER40,IF(A41&lt;'Données projet'!$A$192,$EG$205^A41,IF(A41='Données projet'!$A$192,'Données projet'!$B$192,EJ40+EI41-ER40)))</f>
        <v>272</v>
      </c>
      <c r="EK41" s="17">
        <f>EJ41*VLOOKUP('Données projet'!$B$15,Paramètres!$A$1:$I$89,3,0)*VLOOKUP('Données projet'!$B$15,Paramètres!$A$1:$I$89,5,0)</f>
        <v>127.29600000000001</v>
      </c>
      <c r="EL41" s="13">
        <f t="shared" si="45"/>
        <v>33.370782027774453</v>
      </c>
      <c r="EM41" s="20">
        <f t="shared" si="19"/>
        <v>279.82797869837384</v>
      </c>
      <c r="EN41" s="59">
        <f t="shared" si="20"/>
        <v>573.16131203170721</v>
      </c>
      <c r="EO41" s="59">
        <f ca="1">AVERAGE(OFFSET($EN$3,0,0,'Données projet'!$E$15+1,1))-AVERAGE(OFFSET($H$3,0,0,'Données projet'!$E$15+1,1))</f>
        <v>273.3012268683454</v>
      </c>
      <c r="EP41" s="59">
        <f t="shared" si="46"/>
        <v>254.08208375594052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2.9142717261264752</v>
      </c>
      <c r="EW41" s="21">
        <f>EXP(-LN(2)/25)*EW40+(1-EXP(-LN(2)/25))/(LN(2)/25)*Calculateur!ER41*Calculateur!ET41*VLOOKUP('Données projet'!$B$15,Paramètres!$A$1:$I$89,3,0)*0.475*44/12</f>
        <v>10.755419734866988</v>
      </c>
      <c r="EX41" s="21">
        <f>EXP(-LN(2)/2)*EX40+(1-EXP(-LN(2)/2))/(LN(2)/2)*ER41*EU41*VLOOKUP('Données projet'!$B$15,Paramètres!$A$1:$I$89,3,0)*0.475*44/12</f>
        <v>0.59777619438281693</v>
      </c>
      <c r="EY41" s="22">
        <f t="shared" si="21"/>
        <v>14.267467655376281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11.2</v>
      </c>
      <c r="N42" s="13">
        <f>IF('Données projet'!$A$36&gt;35,N41+M42-V41,IF(A42&lt;'Données projet'!$A$36,$K$205^A42,IF(A42='Données projet'!$A$36,'Données projet'!$B$36,N41+M42-V41)))</f>
        <v>163.79999999999998</v>
      </c>
      <c r="O42" s="13">
        <f>N42*VLOOKUP('Données projet'!$B$9,Paramètres!$A$1:$I$89,3,0)*VLOOKUP('Données projet'!$B$9,Paramètres!$A$1:$I$89,5,0)</f>
        <v>148.20623999999998</v>
      </c>
      <c r="P42" s="13">
        <f t="shared" si="33"/>
        <v>38.170662245893794</v>
      </c>
      <c r="Q42" s="20">
        <f t="shared" si="53"/>
        <v>324.60643807826494</v>
      </c>
      <c r="R42" s="59">
        <f t="shared" si="0"/>
        <v>617.93977141159826</v>
      </c>
      <c r="S42" s="59">
        <f ca="1">AVERAGE(OFFSET($R$3,0,0,'Données projet'!$E$9+1,1))-AVERAGE(OFFSET($H$3,0,0,'Données projet'!$E$9+1,1))</f>
        <v>453.52760163325451</v>
      </c>
      <c r="T42" s="59">
        <f t="shared" si="34"/>
        <v>344.23959526427001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10.4</v>
      </c>
      <c r="AI42" s="13">
        <f>IF('Données projet'!$A$62&gt;35,AI41+AH42-AQ41,IF(A42&lt;'Données projet'!$A$62,$AF$205^A42,IF(A42='Données projet'!$A$62,'Données projet'!$B$62,AI41+AH42-AQ41)))</f>
        <v>152.60000000000002</v>
      </c>
      <c r="AJ42" s="13">
        <f>AI42*VLOOKUP('Données projet'!$B$10,Paramètres!$A$1:$I$89,3,0)*VLOOKUP('Données projet'!$B$10,Paramètres!$A$1:$I$89,5,0)</f>
        <v>130.93080000000003</v>
      </c>
      <c r="AK42" s="13">
        <f t="shared" si="35"/>
        <v>34.211350494649842</v>
      </c>
      <c r="AL42" s="20">
        <f t="shared" si="4"/>
        <v>287.62257877818189</v>
      </c>
      <c r="AM42" s="59">
        <f t="shared" si="5"/>
        <v>580.9559121115152</v>
      </c>
      <c r="AN42" s="59">
        <f ca="1">AVERAGE(OFFSET($AM$3,0,0,'Données projet'!$E$10+1,1))-AVERAGE(OFFSET($H$3,0,0,'Données projet'!$E$10+1,1))</f>
        <v>397.45670821030774</v>
      </c>
      <c r="AO42" s="59">
        <f t="shared" si="36"/>
        <v>256.77417912163997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11.142857142857142</v>
      </c>
      <c r="BD42" s="12">
        <f>IF('Données projet'!$A$88&gt;35,BD41+BC42-BL41,IF(A42&lt;'Données projet'!$A$88,$BA$205^A42,IF(A42='Données projet'!$A$88,'Données projet'!$B$88,BD41+BC42-BL41)))</f>
        <v>174.28571428571422</v>
      </c>
      <c r="BE42" s="13">
        <f>BD42*VLOOKUP('Données projet'!$B$11,Paramètres!$A$1:$I$89,3,0)*VLOOKUP('Données projet'!$B$11,Paramètres!$A$1:$I$89,5,0)</f>
        <v>135.94285714285709</v>
      </c>
      <c r="BF42" s="13">
        <f t="shared" si="37"/>
        <v>35.365986273808367</v>
      </c>
      <c r="BG42" s="20">
        <f t="shared" si="7"/>
        <v>298.36290228402567</v>
      </c>
      <c r="BH42" s="59">
        <f t="shared" si="8"/>
        <v>591.69623561735898</v>
      </c>
      <c r="BI42" s="59">
        <f ca="1">AVERAGE(OFFSET($BH$3,0,0,'Données projet'!$E$11+1,1))-AVERAGE(OFFSET($H$3,0,0,'Données projet'!$E$11+1,1))</f>
        <v>293.20194140252903</v>
      </c>
      <c r="BJ42" s="59">
        <f t="shared" si="38"/>
        <v>280.69048279989266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12.941019740437476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12.941019740437476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9.6</v>
      </c>
      <c r="BY42" s="12">
        <f>IF('Données projet'!$A$114&gt;35,BY41+BX42-CG41,IF(A42&lt;'Données projet'!$A$114,$BV$205^A42,IF(A42='Données projet'!$A$114,'Données projet'!$B$114,BY41+BX42-CG41)))</f>
        <v>182.4</v>
      </c>
      <c r="BZ42" s="13">
        <f>BY42*VLOOKUP('Données projet'!$B$12,Paramètres!$A$1:$I$89,3,0)*VLOOKUP('Données projet'!$B$12,Paramètres!$A$1:$I$89,5,0)</f>
        <v>145.11744000000002</v>
      </c>
      <c r="CA42" s="13">
        <f t="shared" si="39"/>
        <v>37.466878406916173</v>
      </c>
      <c r="CB42" s="20">
        <f t="shared" si="10"/>
        <v>318.00102122537902</v>
      </c>
      <c r="CC42" s="59">
        <f t="shared" si="11"/>
        <v>611.33435455871233</v>
      </c>
      <c r="CD42" s="59">
        <f ca="1">AVERAGE(OFFSET($CC$3,0,0,'Données projet'!$E$12+1,1))-AVERAGE(OFFSET($H$3,0,0,'Données projet'!$E$12+1,1))</f>
        <v>271.25628946149067</v>
      </c>
      <c r="CE42" s="59">
        <f t="shared" si="40"/>
        <v>292.57799203101769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12.858771303036393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12.858771303036393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13.2</v>
      </c>
      <c r="CT42" s="12">
        <f>IF('Données projet'!$A$140&gt;35,CT41+CS42-DB41,IF(A42&lt;'Données projet'!$A$140,$CQ$205^A42,IF(A42='Données projet'!$A$140,'Données projet'!$B$140,CT41+CS42-DB41)))</f>
        <v>258.80000000000007</v>
      </c>
      <c r="CU42" s="17">
        <f>CT42*VLOOKUP('Données projet'!$B$13,Paramètres!$A$1:$I$89,3,0)*VLOOKUP('Données projet'!$B$13,Paramètres!$A$1:$I$89,5,0)</f>
        <v>141.30480000000003</v>
      </c>
      <c r="CV42" s="13">
        <f t="shared" si="41"/>
        <v>36.595755275288994</v>
      </c>
      <c r="CW42" s="20">
        <f t="shared" si="13"/>
        <v>309.84346710446169</v>
      </c>
      <c r="CX42" s="59">
        <f t="shared" si="14"/>
        <v>603.17680043779501</v>
      </c>
      <c r="CY42" s="59">
        <f ca="1">AVERAGE(OFFSET($CX$3,0,0,'Données projet'!$E$13+1,1))-AVERAGE(OFFSET($H$3,0,0,'Données projet'!$E$13+1,1))</f>
        <v>210.03861149060413</v>
      </c>
      <c r="CZ42" s="59">
        <f t="shared" si="42"/>
        <v>298.74602928001929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20.089696133803209</v>
      </c>
      <c r="DG42" s="21">
        <f>EXP(-LN(2)/25)*DG41+(1-EXP(-LN(2)/25))/(LN(2)/25)*Calculateur!DB42*Calculateur!DD42*VLOOKUP('Données projet'!$B$13,Paramètres!$A$1:$I$89,3,0)*0.475*44/12</f>
        <v>24.602827179819965</v>
      </c>
      <c r="DH42" s="21">
        <f>EXP(-LN(2)/2)*DH41+(1-EXP(-LN(2)/2))/(LN(2)/2)*DB42*DE42*VLOOKUP('Données projet'!$B$13,Paramètres!$A$1:$I$89,3,0)*0.475*44/12</f>
        <v>2.1208925202939328</v>
      </c>
      <c r="DI42" s="22">
        <f t="shared" si="15"/>
        <v>46.813415833917105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20.269999999999996</v>
      </c>
      <c r="DO42" s="12">
        <f>IF('Données projet'!$A$166&gt;35,DO41+DN42-DW41,IF(A42&lt;'Données projet'!$A$166,$DL$205^A42,IF(A42='Données projet'!$A$166,'Données projet'!$B$166,DO41+DN42-DW41)))</f>
        <v>322.66000000000003</v>
      </c>
      <c r="DP42" s="17">
        <f>DO42*VLOOKUP('Données projet'!$B$14,Paramètres!$A$1:$I$89,3,0)*VLOOKUP('Données projet'!$B$14,Paramètres!$A$1:$I$89,5,0)</f>
        <v>192.95068000000003</v>
      </c>
      <c r="DQ42" s="13">
        <f t="shared" si="43"/>
        <v>48.191720061592335</v>
      </c>
      <c r="DR42" s="20">
        <f t="shared" si="16"/>
        <v>419.98968010727327</v>
      </c>
      <c r="DS42" s="59">
        <f t="shared" si="17"/>
        <v>713.32301344060659</v>
      </c>
      <c r="DT42" s="59">
        <f ca="1">AVERAGE(OFFSET($DS$3,0,0,'Données projet'!$E$14+1,1))-AVERAGE(OFFSET($H$3,0,0,'Données projet'!$E$14+1,1))</f>
        <v>402.28353929315114</v>
      </c>
      <c r="DU42" s="59">
        <f t="shared" si="44"/>
        <v>376.94419168335463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12.050486283672537</v>
      </c>
      <c r="EB42" s="21">
        <f>EXP(-LN(2)/25)*EB41+(1-EXP(-LN(2)/25))/(LN(2)/25)*Calculateur!DW42*Calculateur!DY42*VLOOKUP('Données projet'!$B$14,Paramètres!$A$1:$I$89,3,0)*0.475*44/12</f>
        <v>25.612980017386903</v>
      </c>
      <c r="EC42" s="21">
        <f>EXP(-LN(2)/2)*EC41+(1-EXP(-LN(2)/2))/(LN(2)/2)*DW42*DZ42*VLOOKUP('Données projet'!$B$14,Paramètres!$A$1:$I$89,3,0)*0.475*44/12</f>
        <v>6.5460283189167976</v>
      </c>
      <c r="ED42" s="22">
        <f t="shared" si="18"/>
        <v>44.20949461997624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14</v>
      </c>
      <c r="EJ42" s="12">
        <f>IF('Données projet'!$A$192&gt;35,EJ41+EI42-ER41,IF(A42&lt;'Données projet'!$A$192,$EG$205^A42,IF(A42='Données projet'!$A$192,'Données projet'!$B$192,EJ41+EI42-ER41)))</f>
        <v>286</v>
      </c>
      <c r="EK42" s="17">
        <f>EJ42*VLOOKUP('Données projet'!$B$15,Paramètres!$A$1:$I$89,3,0)*VLOOKUP('Données projet'!$B$15,Paramètres!$A$1:$I$89,5,0)</f>
        <v>133.84799999999998</v>
      </c>
      <c r="EL42" s="13">
        <f t="shared" si="45"/>
        <v>34.884003992121656</v>
      </c>
      <c r="EM42" s="20">
        <f t="shared" si="19"/>
        <v>293.8749069529452</v>
      </c>
      <c r="EN42" s="59">
        <f t="shared" si="20"/>
        <v>587.20824028627851</v>
      </c>
      <c r="EO42" s="59">
        <f ca="1">AVERAGE(OFFSET($EN$3,0,0,'Données projet'!$E$15+1,1))-AVERAGE(OFFSET($H$3,0,0,'Données projet'!$E$15+1,1))</f>
        <v>273.3012268683454</v>
      </c>
      <c r="EP42" s="59">
        <f t="shared" si="46"/>
        <v>254.08208375594052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2.8571246351073714</v>
      </c>
      <c r="EW42" s="21">
        <f>EXP(-LN(2)/25)*EW41+(1-EXP(-LN(2)/25))/(LN(2)/25)*Calculateur!ER42*Calculateur!ET42*VLOOKUP('Données projet'!$B$15,Paramètres!$A$1:$I$89,3,0)*0.475*44/12</f>
        <v>10.461312216614109</v>
      </c>
      <c r="EX42" s="21">
        <f>EXP(-LN(2)/2)*EX41+(1-EXP(-LN(2)/2))/(LN(2)/2)*ER42*EU42*VLOOKUP('Données projet'!$B$15,Paramètres!$A$1:$I$89,3,0)*0.475*44/12</f>
        <v>0.42269160067997763</v>
      </c>
      <c r="EY42" s="22">
        <f t="shared" si="21"/>
        <v>13.741128452401458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175</v>
      </c>
      <c r="L43" s="12">
        <f>VLOOKUP(A43,'Données projet'!$A$35:$I$55,9,0)</f>
        <v>11.2</v>
      </c>
      <c r="M43" s="12">
        <f t="array" ref="M43">INDEX(L:L,MIN(IF(ISNUMBER(L43:L239),ROW(L43:L239),"")))</f>
        <v>11.2</v>
      </c>
      <c r="N43" s="13">
        <f>IF('Données projet'!$A$36&gt;35,N42+M43-V42,IF(A43&lt;'Données projet'!$A$36,$K$205^A43,IF(A43='Données projet'!$A$36,'Données projet'!$B$36,N42+M43-V42)))</f>
        <v>174.99999999999997</v>
      </c>
      <c r="O43" s="13">
        <f>N43*VLOOKUP('Données projet'!$B$9,Paramètres!$A$1:$I$89,3,0)*VLOOKUP('Données projet'!$B$9,Paramètres!$A$1:$I$89,5,0)</f>
        <v>158.33999999999997</v>
      </c>
      <c r="P43" s="13">
        <f t="shared" si="33"/>
        <v>40.467870812652819</v>
      </c>
      <c r="Q43" s="20">
        <f t="shared" si="53"/>
        <v>346.25704166537025</v>
      </c>
      <c r="R43" s="59">
        <f t="shared" si="0"/>
        <v>639.59037499870351</v>
      </c>
      <c r="S43" s="59">
        <f ca="1">AVERAGE(OFFSET($R$3,0,0,'Données projet'!$E$9+1,1))-AVERAGE(OFFSET($H$3,0,0,'Données projet'!$E$9+1,1))</f>
        <v>453.52760163325451</v>
      </c>
      <c r="T43" s="59">
        <f t="shared" si="34"/>
        <v>344.23959526427001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28</v>
      </c>
      <c r="W43" s="16">
        <f>IF(ISNA(VLOOKUP(A43,'Données projet'!$A$35:$I$55,5,0)),0%,VLOOKUP(A43,'Données projet'!$A$35:$I$55,5,0)*VLOOKUP('Données projet'!$B$9,Paramètres!$A$1:$I$89,7,0))</f>
        <v>8.6000000000000007E-2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2.4085528753586032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2.4085528753586032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163</v>
      </c>
      <c r="AG43" s="12">
        <f>VLOOKUP(A43,'Données projet'!$A$61:$I$81,9,0)</f>
        <v>10.4</v>
      </c>
      <c r="AH43" s="12">
        <f t="array" ref="AH43">INDEX(AG:AG,MIN(IF(ISNUMBER(AG43:AG239),ROW(AG43:AG239),"")))</f>
        <v>10.4</v>
      </c>
      <c r="AI43" s="13">
        <f>IF('Données projet'!$A$62&gt;35,AI42+AH43-AQ42,IF(A43&lt;'Données projet'!$A$62,$AF$205^A43,IF(A43='Données projet'!$A$62,'Données projet'!$B$62,AI42+AH43-AQ42)))</f>
        <v>163.00000000000003</v>
      </c>
      <c r="AJ43" s="13">
        <f>AI43*VLOOKUP('Données projet'!$B$10,Paramètres!$A$1:$I$89,3,0)*VLOOKUP('Données projet'!$B$10,Paramètres!$A$1:$I$89,5,0)</f>
        <v>139.85400000000004</v>
      </c>
      <c r="AK43" s="13">
        <f t="shared" si="35"/>
        <v>36.263556914404674</v>
      </c>
      <c r="AL43" s="20">
        <f t="shared" si="4"/>
        <v>306.73807829258823</v>
      </c>
      <c r="AM43" s="59">
        <f t="shared" si="5"/>
        <v>600.07141162592154</v>
      </c>
      <c r="AN43" s="59">
        <f ca="1">AVERAGE(OFFSET($AM$3,0,0,'Données projet'!$E$10+1,1))-AVERAGE(OFFSET($H$3,0,0,'Données projet'!$E$10+1,1))</f>
        <v>397.45670821030774</v>
      </c>
      <c r="AO43" s="59">
        <f t="shared" si="36"/>
        <v>256.77417912163997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28</v>
      </c>
      <c r="AR43" s="16">
        <f>IF(ISNA(VLOOKUP(A43,'Données projet'!$A$61:$I$81,5,0)),0%,VLOOKUP(A43,'Données projet'!$A$61:$I$81,5,0)*VLOOKUP('Données projet'!$B$10,Paramètres!$A$1:$I$89,7,0))</f>
        <v>0.10600000000000001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2.8151289621773565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2.8151289621773565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11.142857142857142</v>
      </c>
      <c r="BD43" s="12">
        <f>IF('Données projet'!$A$88&gt;35,BD42+BC43-BL42,IF(A43&lt;'Données projet'!$A$88,$BA$205^A43,IF(A43='Données projet'!$A$88,'Données projet'!$B$88,BD42+BC43-BL42)))</f>
        <v>185.42857142857136</v>
      </c>
      <c r="BE43" s="13">
        <f>BD43*VLOOKUP('Données projet'!$B$11,Paramètres!$A$1:$I$89,3,0)*VLOOKUP('Données projet'!$B$11,Paramètres!$A$1:$I$89,5,0)</f>
        <v>144.63428571428565</v>
      </c>
      <c r="BF43" s="13">
        <f t="shared" si="37"/>
        <v>37.356634728420524</v>
      </c>
      <c r="BG43" s="20">
        <f t="shared" si="7"/>
        <v>316.96751977104657</v>
      </c>
      <c r="BH43" s="59">
        <f t="shared" si="8"/>
        <v>610.30085310437994</v>
      </c>
      <c r="BI43" s="59">
        <f ca="1">AVERAGE(OFFSET($BH$3,0,0,'Données projet'!$E$11+1,1))-AVERAGE(OFFSET($H$3,0,0,'Données projet'!$E$11+1,1))</f>
        <v>293.20194140252903</v>
      </c>
      <c r="BJ43" s="59">
        <f t="shared" si="38"/>
        <v>280.69048279989266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12.687254236570146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12.687254236570146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192</v>
      </c>
      <c r="BW43" s="12">
        <f>VLOOKUP(A43,'Données projet'!$A$113:$I$133,9,0)</f>
        <v>9.6</v>
      </c>
      <c r="BX43" s="12">
        <f t="array" ref="BX43">INDEX(BW:BW,MIN(IF(ISNUMBER(BW43:BW239),ROW(BW43:BW239),"")))</f>
        <v>9.6</v>
      </c>
      <c r="BY43" s="12">
        <f>IF('Données projet'!$A$114&gt;35,BY42+BX43-CG42,IF(A43&lt;'Données projet'!$A$114,$BV$205^A43,IF(A43='Données projet'!$A$114,'Données projet'!$B$114,BY42+BX43-CG42)))</f>
        <v>192</v>
      </c>
      <c r="BZ43" s="13">
        <f>BY43*VLOOKUP('Données projet'!$B$12,Paramètres!$A$1:$I$89,3,0)*VLOOKUP('Données projet'!$B$12,Paramètres!$A$1:$I$89,5,0)</f>
        <v>152.7552</v>
      </c>
      <c r="CA43" s="13">
        <f t="shared" si="39"/>
        <v>39.204049895729561</v>
      </c>
      <c r="CB43" s="20">
        <f t="shared" si="10"/>
        <v>334.32902690172892</v>
      </c>
      <c r="CC43" s="59">
        <f t="shared" si="11"/>
        <v>627.66236023506224</v>
      </c>
      <c r="CD43" s="59">
        <f ca="1">AVERAGE(OFFSET($CC$3,0,0,'Données projet'!$E$12+1,1))-AVERAGE(OFFSET($H$3,0,0,'Données projet'!$E$12+1,1))</f>
        <v>271.25628946149067</v>
      </c>
      <c r="CE43" s="59">
        <f t="shared" si="40"/>
        <v>292.57799203101769</v>
      </c>
      <c r="CF43" s="15">
        <f>IF(ISNA(VLOOKUP(A43,'Données projet'!$A$113:$I$133,3,0)),0,VLOOKUP(A43,'Données projet'!$A$113:$I$133,3,0))</f>
        <v>6</v>
      </c>
      <c r="CG43" s="15">
        <f>IF(ISNA(VLOOKUP(A43,'Données projet'!$A$113:$I$133,4,0)),0,VLOOKUP(A43,'Données projet'!$A$113:$I$133,4,0))</f>
        <v>28</v>
      </c>
      <c r="CH43" s="16">
        <f>IF(ISNA(VLOOKUP(A43,'Données projet'!$A$113:$I$133,5,0)),0%,VLOOKUP(A43,'Données projet'!$A$113:$I$133,5,0)*VLOOKUP('Données projet'!$B$12,Paramètres!$A$1:$I$89,7,0))</f>
        <v>0.26500000000000001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19.132599416816504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19.132599416816504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272</v>
      </c>
      <c r="CR43" s="12">
        <f>VLOOKUP(A43,'Données projet'!$A$139:$I$159,9,0)</f>
        <v>13.2</v>
      </c>
      <c r="CS43" s="12">
        <f t="array" ref="CS43">INDEX(CR:CR,MIN(IF(ISNUMBER(CR43:CR239),ROW(CR43:CR239),"")))</f>
        <v>13.2</v>
      </c>
      <c r="CT43" s="12">
        <f>IF('Données projet'!$A$140&gt;35,CT42+CS43-DB42,IF(A43&lt;'Données projet'!$A$140,$CQ$205^A43,IF(A43='Données projet'!$A$140,'Données projet'!$B$140,CT42+CS43-DB42)))</f>
        <v>272.00000000000006</v>
      </c>
      <c r="CU43" s="17">
        <f>CT43*VLOOKUP('Données projet'!$B$13,Paramètres!$A$1:$I$89,3,0)*VLOOKUP('Données projet'!$B$13,Paramètres!$A$1:$I$89,5,0)</f>
        <v>148.51200000000003</v>
      </c>
      <c r="CV43" s="13">
        <f t="shared" si="41"/>
        <v>38.240236326053513</v>
      </c>
      <c r="CW43" s="20">
        <f t="shared" si="13"/>
        <v>325.26014493454323</v>
      </c>
      <c r="CX43" s="59">
        <f t="shared" si="14"/>
        <v>618.59347826787655</v>
      </c>
      <c r="CY43" s="59">
        <f ca="1">AVERAGE(OFFSET($CX$3,0,0,'Données projet'!$E$13+1,1))-AVERAGE(OFFSET($H$3,0,0,'Données projet'!$E$13+1,1))</f>
        <v>210.03861149060413</v>
      </c>
      <c r="CZ43" s="59">
        <f t="shared" si="42"/>
        <v>298.74602928001929</v>
      </c>
      <c r="DA43" s="15">
        <f>IF(ISNA(VLOOKUP(A43,'Données projet'!$A$139:$I$159,3,0)),0,VLOOKUP(A43,'Données projet'!$A$139:$I$159,3,0))</f>
        <v>7</v>
      </c>
      <c r="DB43" s="15">
        <f>IF(ISNA(VLOOKUP(A43,'Données projet'!$A$139:$I$159,4,0)),0,VLOOKUP(A43,'Données projet'!$A$139:$I$159,4,0))</f>
        <v>38</v>
      </c>
      <c r="DC43" s="16">
        <f>IF(ISNA(VLOOKUP(A43,'Données projet'!$A$139:$I$159,5,0)),0%,VLOOKUP(A43,'Données projet'!$A$139:$I$159,5,0)*VLOOKUP('Données projet'!$B$13,Paramètres!$A$1:$I$89,7,0))</f>
        <v>0.24</v>
      </c>
      <c r="DD43" s="16">
        <f>IF(ISNA(VLOOKUP(A43,'Données projet'!$A$139:$I$159,6,0)),0%,VLOOKUP(A43,'Données projet'!$A$139:$I$159,6,0)*VLOOKUP('Données projet'!$B$13,Paramètres!$A$1:$I$89,7,0))</f>
        <v>0.20400000000000001</v>
      </c>
      <c r="DE43" s="16">
        <f>IF(ISNA(VLOOKUP(A43,'Données projet'!$A$139:$I$159,7,0)),0%,VLOOKUP(A43,'Données projet'!$A$139:$I$159,7,0))</f>
        <v>0.26</v>
      </c>
      <c r="DF43" s="21">
        <f>EXP(-LN(2)/35)*DF42+(1-EXP(-LN(2)/35))/(LN(2)/35)*DB43*DC43*VLOOKUP('Données projet'!$B$13,Paramètres!$A$1:$I$89,3,0)*0.475*44/12</f>
        <v>26.301403683274334</v>
      </c>
      <c r="DG43" s="21">
        <f>EXP(-LN(2)/25)*DG42+(1-EXP(-LN(2)/25))/(LN(2)/25)*Calculateur!DB43*Calculateur!DD43*VLOOKUP('Données projet'!$B$13,Paramètres!$A$1:$I$89,3,0)*0.475*44/12</f>
        <v>29.52276004732833</v>
      </c>
      <c r="DH43" s="21">
        <f>EXP(-LN(2)/2)*DH42+(1-EXP(-LN(2)/2))/(LN(2)/2)*DB43*DE43*VLOOKUP('Données projet'!$B$13,Paramètres!$A$1:$I$89,3,0)*0.475*44/12</f>
        <v>7.6075019676282372</v>
      </c>
      <c r="DI43" s="22">
        <f t="shared" si="15"/>
        <v>63.431665698230901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20.269999999999996</v>
      </c>
      <c r="DO43" s="12">
        <f>IF('Données projet'!$A$166&gt;35,DO42+DN43-DW42,IF(A43&lt;'Données projet'!$A$166,$DL$205^A43,IF(A43='Données projet'!$A$166,'Données projet'!$B$166,DO42+DN43-DW42)))</f>
        <v>342.93</v>
      </c>
      <c r="DP43" s="17">
        <f>DO43*VLOOKUP('Données projet'!$B$14,Paramètres!$A$1:$I$89,3,0)*VLOOKUP('Données projet'!$B$14,Paramètres!$A$1:$I$89,5,0)</f>
        <v>205.07214000000002</v>
      </c>
      <c r="DQ43" s="13">
        <f t="shared" si="43"/>
        <v>50.857240608097577</v>
      </c>
      <c r="DR43" s="20">
        <f t="shared" si="16"/>
        <v>445.74367122576996</v>
      </c>
      <c r="DS43" s="59">
        <f t="shared" si="17"/>
        <v>739.07700455910322</v>
      </c>
      <c r="DT43" s="59">
        <f ca="1">AVERAGE(OFFSET($DS$3,0,0,'Données projet'!$E$14+1,1))-AVERAGE(OFFSET($H$3,0,0,'Données projet'!$E$14+1,1))</f>
        <v>402.28353929315114</v>
      </c>
      <c r="DU43" s="59">
        <f t="shared" si="44"/>
        <v>376.94419168335463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11.814183597720593</v>
      </c>
      <c r="EB43" s="21">
        <f>EXP(-LN(2)/25)*EB42+(1-EXP(-LN(2)/25))/(LN(2)/25)*Calculateur!DW43*Calculateur!DY43*VLOOKUP('Données projet'!$B$14,Paramètres!$A$1:$I$89,3,0)*0.475*44/12</f>
        <v>24.912591731883378</v>
      </c>
      <c r="EC43" s="21">
        <f>EXP(-LN(2)/2)*EC42+(1-EXP(-LN(2)/2))/(LN(2)/2)*DW43*DZ43*VLOOKUP('Données projet'!$B$14,Paramètres!$A$1:$I$89,3,0)*0.475*44/12</f>
        <v>4.6287410141452439</v>
      </c>
      <c r="ED43" s="22">
        <f t="shared" si="18"/>
        <v>41.355516343749208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300</v>
      </c>
      <c r="EH43" s="12">
        <f>VLOOKUP(A43,'Données projet'!$A$191:$I$211,9,0)</f>
        <v>14</v>
      </c>
      <c r="EI43" s="12">
        <f t="array" ref="EI43">INDEX(EH:EH,MIN(IF(ISNUMBER(EH43:EH239),ROW(EH43:EH239),"")))</f>
        <v>14</v>
      </c>
      <c r="EJ43" s="12">
        <f>IF('Données projet'!$A$192&gt;35,EJ42+EI43-ER42,IF(A43&lt;'Données projet'!$A$192,$EG$205^A43,IF(A43='Données projet'!$A$192,'Données projet'!$B$192,EJ42+EI43-ER42)))</f>
        <v>300</v>
      </c>
      <c r="EK43" s="17">
        <f>EJ43*VLOOKUP('Données projet'!$B$15,Paramètres!$A$1:$I$89,3,0)*VLOOKUP('Données projet'!$B$15,Paramètres!$A$1:$I$89,5,0)</f>
        <v>140.4</v>
      </c>
      <c r="EL43" s="13">
        <f t="shared" si="45"/>
        <v>36.388624656711201</v>
      </c>
      <c r="EM43" s="20">
        <f t="shared" si="19"/>
        <v>307.90685461043864</v>
      </c>
      <c r="EN43" s="59">
        <f t="shared" si="20"/>
        <v>601.24018794377196</v>
      </c>
      <c r="EO43" s="59">
        <f ca="1">AVERAGE(OFFSET($EN$3,0,0,'Données projet'!$E$15+1,1))-AVERAGE(OFFSET($H$3,0,0,'Données projet'!$E$15+1,1))</f>
        <v>273.3012268683454</v>
      </c>
      <c r="EP43" s="59">
        <f t="shared" si="46"/>
        <v>254.08208375594052</v>
      </c>
      <c r="EQ43" s="15">
        <f>IF(ISNA(VLOOKUP(A43,'Données projet'!$A$191:$I$211,3,0)),0,VLOOKUP(A43,'Données projet'!$A$191:$I$211,3,0))</f>
        <v>3</v>
      </c>
      <c r="ER43" s="15">
        <f>IF(ISNA(VLOOKUP(A43,'Données projet'!$A$191:$I$211,4,0)),0,VLOOKUP(A43,'Données projet'!$A$191:$I$211,4,0))</f>
        <v>50</v>
      </c>
      <c r="ES43" s="16">
        <f>IF(ISNA(VLOOKUP(A43,'Données projet'!$A$191:$I$211,5,0)),0%,VLOOKUP(A43,'Données projet'!$A$191:$I$211,5,0)*VLOOKUP('Données projet'!$B$15,Paramètres!$A$1:$I$89,7,0))</f>
        <v>0.16500000000000001</v>
      </c>
      <c r="ET43" s="16">
        <f>IF(ISNA(VLOOKUP(A43,'Données projet'!$A$191:$I$211,6,0)),0%,VLOOKUP(A43,'Données projet'!$A$191:$I$211,6,0)*VLOOKUP('Données projet'!$B$15,Paramètres!$A$1:$I$89,7,0))</f>
        <v>0.21450000000000002</v>
      </c>
      <c r="EU43" s="16">
        <f>IF(ISNA(VLOOKUP(A43,'Données projet'!$A$191:$I$211,7,0)),0%,VLOOKUP(A43,'Données projet'!$A$191:$I$211,7,0))</f>
        <v>0.31</v>
      </c>
      <c r="EV43" s="21">
        <f>EXP(-LN(2)/35)*EV42+(1-EXP(-LN(2)/35))/(LN(2)/35)*ER43*ES43*VLOOKUP('Données projet'!$B$15,Paramètres!$A$1:$I$89,3,0)*0.475*44/12</f>
        <v>7.9229635261389344</v>
      </c>
      <c r="EW43" s="21">
        <f>EXP(-LN(2)/25)*EW42+(1-EXP(-LN(2)/25))/(LN(2)/25)*Calculateur!ER43*Calculateur!ET43*VLOOKUP('Données projet'!$B$15,Paramètres!$A$1:$I$89,3,0)*0.475*44/12</f>
        <v>16.8074552989316</v>
      </c>
      <c r="EX43" s="21">
        <f>EXP(-LN(2)/2)*EX42+(1-EXP(-LN(2)/2))/(LN(2)/2)*ER43*EU43*VLOOKUP('Données projet'!$B$15,Paramètres!$A$1:$I$89,3,0)*0.475*44/12</f>
        <v>8.5121011834483884</v>
      </c>
      <c r="EY43" s="22">
        <f t="shared" si="21"/>
        <v>33.242520008518923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11.4</v>
      </c>
      <c r="N44" s="13">
        <f>IF('Données projet'!$A$36&gt;35,N43+M44-V43,IF(A44&lt;'Données projet'!$A$36,$K$205^A44,IF(A44='Données projet'!$A$36,'Données projet'!$B$36,N43+M44-V43)))</f>
        <v>158.39999999999998</v>
      </c>
      <c r="O44" s="13">
        <f>N44*VLOOKUP('Données projet'!$B$9,Paramètres!$A$1:$I$89,3,0)*VLOOKUP('Données projet'!$B$9,Paramètres!$A$1:$I$89,5,0)</f>
        <v>143.32031999999998</v>
      </c>
      <c r="P44" s="13">
        <f t="shared" si="33"/>
        <v>37.056603420232349</v>
      </c>
      <c r="Q44" s="20">
        <f t="shared" si="53"/>
        <v>314.15647495690467</v>
      </c>
      <c r="R44" s="59">
        <f t="shared" si="0"/>
        <v>607.48980829023799</v>
      </c>
      <c r="S44" s="59">
        <f ca="1">AVERAGE(OFFSET($R$3,0,0,'Données projet'!$E$9+1,1))-AVERAGE(OFFSET($H$3,0,0,'Données projet'!$E$9+1,1))</f>
        <v>453.52760163325451</v>
      </c>
      <c r="T44" s="59">
        <f t="shared" si="34"/>
        <v>344.23959526427001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2.3613226225450159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2.3613226225450159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</v>
      </c>
      <c r="AI44" s="13">
        <f>IF('Données projet'!$A$62&gt;35,AI43+AH44-AQ43,IF(A44&lt;'Données projet'!$A$62,$AF$205^A44,IF(A44='Données projet'!$A$62,'Données projet'!$B$62,AI43+AH44-AQ43)))</f>
        <v>146.00000000000003</v>
      </c>
      <c r="AJ44" s="13">
        <f>AI44*VLOOKUP('Données projet'!$B$10,Paramètres!$A$1:$I$89,3,0)*VLOOKUP('Données projet'!$B$10,Paramètres!$A$1:$I$89,5,0)</f>
        <v>125.26800000000004</v>
      </c>
      <c r="AK44" s="13">
        <f t="shared" si="35"/>
        <v>32.9005846700787</v>
      </c>
      <c r="AL44" s="20">
        <f t="shared" si="4"/>
        <v>275.47695163372049</v>
      </c>
      <c r="AM44" s="59">
        <f t="shared" si="5"/>
        <v>568.8102849670538</v>
      </c>
      <c r="AN44" s="59">
        <f ca="1">AVERAGE(OFFSET($AM$3,0,0,'Données projet'!$E$10+1,1))-AVERAGE(OFFSET($H$3,0,0,'Données projet'!$E$10+1,1))</f>
        <v>397.45670821030774</v>
      </c>
      <c r="AO44" s="59">
        <f t="shared" si="36"/>
        <v>256.77417912163997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2.7599260002881798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2.7599260002881798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11.142857142857142</v>
      </c>
      <c r="BD44" s="12">
        <f>IF('Données projet'!$A$88&gt;35,BD43+BC44-BL43,IF(A44&lt;'Données projet'!$A$88,$BA$205^A44,IF(A44='Données projet'!$A$88,'Données projet'!$B$88,BD43+BC44-BL43)))</f>
        <v>196.5714285714285</v>
      </c>
      <c r="BE44" s="13">
        <f>BD44*VLOOKUP('Données projet'!$B$11,Paramètres!$A$1:$I$89,3,0)*VLOOKUP('Données projet'!$B$11,Paramètres!$A$1:$I$89,5,0)</f>
        <v>153.32571428571424</v>
      </c>
      <c r="BF44" s="13">
        <f t="shared" si="37"/>
        <v>39.333398837614155</v>
      </c>
      <c r="BG44" s="20">
        <f t="shared" si="7"/>
        <v>335.5479553564636</v>
      </c>
      <c r="BH44" s="59">
        <f t="shared" si="8"/>
        <v>628.88128868979697</v>
      </c>
      <c r="BI44" s="59">
        <f ca="1">AVERAGE(OFFSET($BH$3,0,0,'Données projet'!$E$11+1,1))-AVERAGE(OFFSET($H$3,0,0,'Données projet'!$E$11+1,1))</f>
        <v>293.20194140252903</v>
      </c>
      <c r="BJ44" s="59">
        <f t="shared" si="38"/>
        <v>280.69048279989266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12.438464919451981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12.438464919451981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8.1999999999999993</v>
      </c>
      <c r="BY44" s="12">
        <f>IF('Données projet'!$A$114&gt;35,BY43+BX44-CG43,IF(A44&lt;'Données projet'!$A$114,$BV$205^A44,IF(A44='Données projet'!$A$114,'Données projet'!$B$114,BY43+BX44-CG43)))</f>
        <v>172.2</v>
      </c>
      <c r="BZ44" s="13">
        <f>BY44*VLOOKUP('Données projet'!$B$12,Paramètres!$A$1:$I$89,3,0)*VLOOKUP('Données projet'!$B$12,Paramètres!$A$1:$I$89,5,0)</f>
        <v>137.00232</v>
      </c>
      <c r="CA44" s="13">
        <f t="shared" si="39"/>
        <v>35.609416420931346</v>
      </c>
      <c r="CB44" s="20">
        <f t="shared" si="10"/>
        <v>300.63210759978875</v>
      </c>
      <c r="CC44" s="59">
        <f t="shared" si="11"/>
        <v>593.96544093312207</v>
      </c>
      <c r="CD44" s="59">
        <f ca="1">AVERAGE(OFFSET($CC$3,0,0,'Données projet'!$E$12+1,1))-AVERAGE(OFFSET($H$3,0,0,'Données projet'!$E$12+1,1))</f>
        <v>271.25628946149067</v>
      </c>
      <c r="CE44" s="59">
        <f t="shared" si="40"/>
        <v>292.57799203101769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18.757420811986087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18.757420811986087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11.8</v>
      </c>
      <c r="CT44" s="12">
        <f>IF('Données projet'!$A$140&gt;35,CT43+CS44-DB43,IF(A44&lt;'Données projet'!$A$140,$CQ$205^A44,IF(A44='Données projet'!$A$140,'Données projet'!$B$140,CT43+CS44-DB43)))</f>
        <v>245.80000000000007</v>
      </c>
      <c r="CU44" s="17">
        <f>CT44*VLOOKUP('Données projet'!$B$13,Paramètres!$A$1:$I$89,3,0)*VLOOKUP('Données projet'!$B$13,Paramètres!$A$1:$I$89,5,0)</f>
        <v>134.20680000000002</v>
      </c>
      <c r="CV44" s="13">
        <f t="shared" si="41"/>
        <v>34.966618227769111</v>
      </c>
      <c r="CW44" s="20">
        <f t="shared" si="13"/>
        <v>294.64370341336456</v>
      </c>
      <c r="CX44" s="59">
        <f t="shared" si="14"/>
        <v>587.97703674669788</v>
      </c>
      <c r="CY44" s="59">
        <f ca="1">AVERAGE(OFFSET($CX$3,0,0,'Données projet'!$E$13+1,1))-AVERAGE(OFFSET($H$3,0,0,'Données projet'!$E$13+1,1))</f>
        <v>210.03861149060413</v>
      </c>
      <c r="CZ44" s="59">
        <f t="shared" si="42"/>
        <v>298.74602928001929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25.785649199317529</v>
      </c>
      <c r="DG44" s="21">
        <f>EXP(-LN(2)/25)*DG43+(1-EXP(-LN(2)/25))/(LN(2)/25)*Calculateur!DB44*Calculateur!DD44*VLOOKUP('Données projet'!$B$13,Paramètres!$A$1:$I$89,3,0)*0.475*44/12</f>
        <v>28.715458621299661</v>
      </c>
      <c r="DH44" s="21">
        <f>EXP(-LN(2)/2)*DH43+(1-EXP(-LN(2)/2))/(LN(2)/2)*DB44*DE44*VLOOKUP('Données projet'!$B$13,Paramètres!$A$1:$I$89,3,0)*0.475*44/12</f>
        <v>5.3793162291999304</v>
      </c>
      <c r="DI44" s="22">
        <f t="shared" si="15"/>
        <v>59.880424049817123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>
        <f>VLOOKUP(A44,'Données projet'!$A$165:$I$185,2,0)</f>
        <v>363.2</v>
      </c>
      <c r="DM44" s="12">
        <f>VLOOKUP(A44,'Données projet'!$A$165:$I$185,9,0)</f>
        <v>20.269999999999996</v>
      </c>
      <c r="DN44" s="12">
        <f t="array" ref="DN44">INDEX(DM:DM,MIN(IF(ISNUMBER(DM44:DM240),ROW(DM44:DM240),"")))</f>
        <v>20.269999999999996</v>
      </c>
      <c r="DO44" s="12">
        <f>IF('Données projet'!$A$166&gt;35,DO43+DN44-DW43,IF(A44&lt;'Données projet'!$A$166,$DL$205^A44,IF(A44='Données projet'!$A$166,'Données projet'!$B$166,DO43+DN44-DW43)))</f>
        <v>363.2</v>
      </c>
      <c r="DP44" s="17">
        <f>DO44*VLOOKUP('Données projet'!$B$14,Paramètres!$A$1:$I$89,3,0)*VLOOKUP('Données projet'!$B$14,Paramètres!$A$1:$I$89,5,0)</f>
        <v>217.1936</v>
      </c>
      <c r="DQ44" s="13">
        <f t="shared" si="43"/>
        <v>53.504473537536725</v>
      </c>
      <c r="DR44" s="20">
        <f t="shared" si="16"/>
        <v>471.46581141120981</v>
      </c>
      <c r="DS44" s="59">
        <f t="shared" si="17"/>
        <v>764.79914474454313</v>
      </c>
      <c r="DT44" s="59">
        <f ca="1">AVERAGE(OFFSET($DS$3,0,0,'Données projet'!$E$14+1,1))-AVERAGE(OFFSET($H$3,0,0,'Données projet'!$E$14+1,1))</f>
        <v>402.28353929315114</v>
      </c>
      <c r="DU44" s="59">
        <f t="shared" si="44"/>
        <v>376.94419168335463</v>
      </c>
      <c r="DV44" s="15">
        <f>IF(ISNA(VLOOKUP(A44,'Données projet'!$A$165:$I$185,3,0)),0,VLOOKUP(A44,'Données projet'!$A$165:$I$185,3,0))</f>
        <v>8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0.13500000000000001</v>
      </c>
      <c r="DY44" s="16">
        <f>IF(ISNA(VLOOKUP(A44,'Données projet'!$A$165:$I$185,6,0)),0%,VLOOKUP(A44,'Données projet'!$A$165:$I$185,6,0)*VLOOKUP('Données projet'!$B$14,Paramètres!$A$1:$I$89,7,0))</f>
        <v>0.17550000000000002</v>
      </c>
      <c r="DZ44" s="16">
        <f>IF(ISNA(VLOOKUP(A44,'Données projet'!$A$165:$I$185,7,0)),0%,VLOOKUP(A44,'Données projet'!$A$165:$I$185,7,0))</f>
        <v>0.31</v>
      </c>
      <c r="EA44" s="21">
        <f>EXP(-LN(2)/35)*EA43+(1-EXP(-LN(2)/35))/(LN(2)/35)*DW44*DX44*VLOOKUP('Données projet'!$B$14,Paramètres!$A$1:$I$89,3,0)*0.475*44/12</f>
        <v>11.582514663309759</v>
      </c>
      <c r="EB44" s="21">
        <f>EXP(-LN(2)/25)*EB43+(1-EXP(-LN(2)/25))/(LN(2)/25)*Calculateur!DW44*Calculateur!DY44*VLOOKUP('Données projet'!$B$14,Paramètres!$A$1:$I$89,3,0)*0.475*44/12</f>
        <v>24.231355600878768</v>
      </c>
      <c r="EC44" s="21">
        <f>EXP(-LN(2)/2)*EC43+(1-EXP(-LN(2)/2))/(LN(2)/2)*DW44*DZ44*VLOOKUP('Données projet'!$B$14,Paramètres!$A$1:$I$89,3,0)*0.475*44/12</f>
        <v>3.2730141594583992</v>
      </c>
      <c r="ED44" s="22">
        <f t="shared" si="18"/>
        <v>39.086884423646922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14</v>
      </c>
      <c r="EJ44" s="12">
        <f>IF('Données projet'!$A$192&gt;35,EJ43+EI44-ER43,IF(A44&lt;'Données projet'!$A$192,$EG$205^A44,IF(A44='Données projet'!$A$192,'Données projet'!$B$192,EJ43+EI44-ER43)))</f>
        <v>264</v>
      </c>
      <c r="EK44" s="17">
        <f>EJ44*VLOOKUP('Données projet'!$B$15,Paramètres!$A$1:$I$89,3,0)*VLOOKUP('Données projet'!$B$15,Paramètres!$A$1:$I$89,5,0)</f>
        <v>123.55199999999999</v>
      </c>
      <c r="EL44" s="13">
        <f t="shared" si="45"/>
        <v>32.502033262579566</v>
      </c>
      <c r="EM44" s="20">
        <f t="shared" si="19"/>
        <v>271.79410793232609</v>
      </c>
      <c r="EN44" s="59">
        <f t="shared" si="20"/>
        <v>565.1274412656594</v>
      </c>
      <c r="EO44" s="59">
        <f ca="1">AVERAGE(OFFSET($EN$3,0,0,'Données projet'!$E$15+1,1))-AVERAGE(OFFSET($H$3,0,0,'Données projet'!$E$15+1,1))</f>
        <v>273.3012268683454</v>
      </c>
      <c r="EP44" s="59">
        <f t="shared" si="46"/>
        <v>254.08208375594052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7.767599043921928</v>
      </c>
      <c r="EW44" s="21">
        <f>EXP(-LN(2)/25)*EW43+(1-EXP(-LN(2)/25))/(LN(2)/25)*Calculateur!ER44*Calculateur!ET44*VLOOKUP('Données projet'!$B$15,Paramètres!$A$1:$I$89,3,0)*0.475*44/12</f>
        <v>16.347854549916654</v>
      </c>
      <c r="EX44" s="21">
        <f>EXP(-LN(2)/2)*EX43+(1-EXP(-LN(2)/2))/(LN(2)/2)*ER44*EU44*VLOOKUP('Données projet'!$B$15,Paramètres!$A$1:$I$89,3,0)*0.475*44/12</f>
        <v>6.018964468962392</v>
      </c>
      <c r="EY44" s="22">
        <f t="shared" si="21"/>
        <v>30.134418062800972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11.4</v>
      </c>
      <c r="N45" s="13">
        <f>IF('Données projet'!$A$36&gt;35,N44+M45-V44,IF(A45&lt;'Données projet'!$A$36,$K$205^A45,IF(A45='Données projet'!$A$36,'Données projet'!$B$36,N44+M45-V44)))</f>
        <v>169.79999999999998</v>
      </c>
      <c r="O45" s="13">
        <f>N45*VLOOKUP('Données projet'!$B$9,Paramètres!$A$1:$I$89,3,0)*VLOOKUP('Données projet'!$B$9,Paramètres!$A$1:$I$89,5,0)</f>
        <v>153.63503999999998</v>
      </c>
      <c r="P45" s="13">
        <f t="shared" si="33"/>
        <v>39.403506785222667</v>
      </c>
      <c r="Q45" s="20">
        <f t="shared" si="53"/>
        <v>336.20880231759611</v>
      </c>
      <c r="R45" s="59">
        <f t="shared" si="0"/>
        <v>629.54213565092937</v>
      </c>
      <c r="S45" s="59">
        <f ca="1">AVERAGE(OFFSET($R$3,0,0,'Données projet'!$E$9+1,1))-AVERAGE(OFFSET($H$3,0,0,'Données projet'!$E$9+1,1))</f>
        <v>453.52760163325451</v>
      </c>
      <c r="T45" s="59">
        <f t="shared" si="34"/>
        <v>344.23959526427001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2.3150185261814937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2.3150185261814937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</v>
      </c>
      <c r="AI45" s="13">
        <f>IF('Données projet'!$A$62&gt;35,AI44+AH45-AQ44,IF(A45&lt;'Données projet'!$A$62,$AF$205^A45,IF(A45='Données projet'!$A$62,'Données projet'!$B$62,AI44+AH45-AQ44)))</f>
        <v>157.00000000000003</v>
      </c>
      <c r="AJ45" s="13">
        <f>AI45*VLOOKUP('Données projet'!$B$10,Paramètres!$A$1:$I$89,3,0)*VLOOKUP('Données projet'!$B$10,Paramètres!$A$1:$I$89,5,0)</f>
        <v>134.70600000000005</v>
      </c>
      <c r="AK45" s="13">
        <f t="shared" si="35"/>
        <v>35.081517028838505</v>
      </c>
      <c r="AL45" s="20">
        <f t="shared" si="4"/>
        <v>295.71325882522711</v>
      </c>
      <c r="AM45" s="59">
        <f t="shared" si="5"/>
        <v>589.04659215856043</v>
      </c>
      <c r="AN45" s="59">
        <f ca="1">AVERAGE(OFFSET($AM$3,0,0,'Données projet'!$E$10+1,1))-AVERAGE(OFFSET($H$3,0,0,'Données projet'!$E$10+1,1))</f>
        <v>397.45670821030774</v>
      </c>
      <c r="AO45" s="59">
        <f t="shared" si="36"/>
        <v>256.77417912163997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2.705805534811168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2.705805534811168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11.142857142857142</v>
      </c>
      <c r="BD45" s="12">
        <f>IF('Données projet'!$A$88&gt;35,BD44+BC45-BL44,IF(A45&lt;'Données projet'!$A$88,$BA$205^A45,IF(A45='Données projet'!$A$88,'Données projet'!$B$88,BD44+BC45-BL44)))</f>
        <v>207.71428571428564</v>
      </c>
      <c r="BE45" s="13">
        <f>BD45*VLOOKUP('Données projet'!$B$11,Paramètres!$A$1:$I$89,3,0)*VLOOKUP('Données projet'!$B$11,Paramètres!$A$1:$I$89,5,0)</f>
        <v>162.0171428571428</v>
      </c>
      <c r="BF45" s="13">
        <f t="shared" si="37"/>
        <v>41.29715533509664</v>
      </c>
      <c r="BG45" s="20">
        <f t="shared" si="7"/>
        <v>354.10573601815037</v>
      </c>
      <c r="BH45" s="59">
        <f t="shared" si="8"/>
        <v>647.43906935148368</v>
      </c>
      <c r="BI45" s="59">
        <f ca="1">AVERAGE(OFFSET($BH$3,0,0,'Données projet'!$E$11+1,1))-AVERAGE(OFFSET($H$3,0,0,'Données projet'!$E$11+1,1))</f>
        <v>293.20194140252903</v>
      </c>
      <c r="BJ45" s="59">
        <f t="shared" si="38"/>
        <v>280.69048279989266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12.194554209096003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12.194554209096003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8.1999999999999993</v>
      </c>
      <c r="BY45" s="12">
        <f>IF('Données projet'!$A$114&gt;35,BY44+BX45-CG44,IF(A45&lt;'Données projet'!$A$114,$BV$205^A45,IF(A45='Données projet'!$A$114,'Données projet'!$B$114,BY44+BX45-CG44)))</f>
        <v>180.39999999999998</v>
      </c>
      <c r="BZ45" s="13">
        <f>BY45*VLOOKUP('Données projet'!$B$12,Paramètres!$A$1:$I$89,3,0)*VLOOKUP('Données projet'!$B$12,Paramètres!$A$1:$I$89,5,0)</f>
        <v>143.52624</v>
      </c>
      <c r="CA45" s="13">
        <f t="shared" si="39"/>
        <v>37.103644337236275</v>
      </c>
      <c r="CB45" s="20">
        <f t="shared" si="10"/>
        <v>314.59704855401981</v>
      </c>
      <c r="CC45" s="59">
        <f t="shared" si="11"/>
        <v>607.93038188735318</v>
      </c>
      <c r="CD45" s="59">
        <f ca="1">AVERAGE(OFFSET($CC$3,0,0,'Données projet'!$E$12+1,1))-AVERAGE(OFFSET($H$3,0,0,'Données projet'!$E$12+1,1))</f>
        <v>271.25628946149067</v>
      </c>
      <c r="CE45" s="59">
        <f t="shared" si="40"/>
        <v>292.57799203101769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18.389599230760041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18.389599230760041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11.8</v>
      </c>
      <c r="CT45" s="12">
        <f>IF('Données projet'!$A$140&gt;35,CT44+CS45-DB44,IF(A45&lt;'Données projet'!$A$140,$CQ$205^A45,IF(A45='Données projet'!$A$140,'Données projet'!$B$140,CT44+CS45-DB44)))</f>
        <v>257.60000000000008</v>
      </c>
      <c r="CU45" s="17">
        <f>CT45*VLOOKUP('Données projet'!$B$13,Paramètres!$A$1:$I$89,3,0)*VLOOKUP('Données projet'!$B$13,Paramètres!$A$1:$I$89,5,0)</f>
        <v>140.64960000000005</v>
      </c>
      <c r="CV45" s="13">
        <f t="shared" si="41"/>
        <v>36.445779615258637</v>
      </c>
      <c r="CW45" s="20">
        <f t="shared" si="13"/>
        <v>308.44111949657554</v>
      </c>
      <c r="CX45" s="59">
        <f t="shared" si="14"/>
        <v>601.7744528299088</v>
      </c>
      <c r="CY45" s="59">
        <f ca="1">AVERAGE(OFFSET($CX$3,0,0,'Données projet'!$E$13+1,1))-AVERAGE(OFFSET($H$3,0,0,'Données projet'!$E$13+1,1))</f>
        <v>210.03861149060413</v>
      </c>
      <c r="CZ45" s="59">
        <f t="shared" si="42"/>
        <v>298.74602928001929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25.280008346211943</v>
      </c>
      <c r="DG45" s="21">
        <f>EXP(-LN(2)/25)*DG44+(1-EXP(-LN(2)/25))/(LN(2)/25)*Calculateur!DB45*Calculateur!DD45*VLOOKUP('Données projet'!$B$13,Paramètres!$A$1:$I$89,3,0)*0.475*44/12</f>
        <v>27.930232895219884</v>
      </c>
      <c r="DH45" s="21">
        <f>EXP(-LN(2)/2)*DH44+(1-EXP(-LN(2)/2))/(LN(2)/2)*DB45*DE45*VLOOKUP('Données projet'!$B$13,Paramètres!$A$1:$I$89,3,0)*0.475*44/12</f>
        <v>3.8037509838141195</v>
      </c>
      <c r="DI45" s="22">
        <f t="shared" si="15"/>
        <v>57.01399222524595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20.612000000000002</v>
      </c>
      <c r="DO45" s="12">
        <f>IF('Données projet'!$A$166&gt;35,DO44+DN45-DW44,IF(A45&lt;'Données projet'!$A$166,$DL$205^A45,IF(A45='Données projet'!$A$166,'Données projet'!$B$166,DO44+DN45-DW44)))</f>
        <v>383.81200000000001</v>
      </c>
      <c r="DP45" s="17">
        <f>DO45*VLOOKUP('Données projet'!$B$14,Paramètres!$A$1:$I$89,3,0)*VLOOKUP('Données projet'!$B$14,Paramètres!$A$1:$I$89,5,0)</f>
        <v>229.51957600000003</v>
      </c>
      <c r="DQ45" s="13">
        <f t="shared" si="43"/>
        <v>56.178789991832062</v>
      </c>
      <c r="DR45" s="20">
        <f t="shared" si="16"/>
        <v>497.59132076910754</v>
      </c>
      <c r="DS45" s="59">
        <f t="shared" si="17"/>
        <v>790.92465410244085</v>
      </c>
      <c r="DT45" s="59">
        <f ca="1">AVERAGE(OFFSET($DS$3,0,0,'Données projet'!$E$14+1,1))-AVERAGE(OFFSET($H$3,0,0,'Données projet'!$E$14+1,1))</f>
        <v>402.28353929315114</v>
      </c>
      <c r="DU45" s="59">
        <f t="shared" si="44"/>
        <v>376.94419168335463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11.355388615398624</v>
      </c>
      <c r="EB45" s="21">
        <f>EXP(-LN(2)/25)*EB44+(1-EXP(-LN(2)/25))/(LN(2)/25)*Calculateur!DW45*Calculateur!DY45*VLOOKUP('Données projet'!$B$14,Paramètres!$A$1:$I$89,3,0)*0.475*44/12</f>
        <v>23.568747907701127</v>
      </c>
      <c r="EC45" s="21">
        <f>EXP(-LN(2)/2)*EC44+(1-EXP(-LN(2)/2))/(LN(2)/2)*DW45*DZ45*VLOOKUP('Données projet'!$B$14,Paramètres!$A$1:$I$89,3,0)*0.475*44/12</f>
        <v>2.3143705070726224</v>
      </c>
      <c r="ED45" s="22">
        <f t="shared" si="18"/>
        <v>37.238507030172372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14</v>
      </c>
      <c r="EJ45" s="12">
        <f>IF('Données projet'!$A$192&gt;35,EJ44+EI45-ER44,IF(A45&lt;'Données projet'!$A$192,$EG$205^A45,IF(A45='Données projet'!$A$192,'Données projet'!$B$192,EJ44+EI45-ER44)))</f>
        <v>278</v>
      </c>
      <c r="EK45" s="17">
        <f>EJ45*VLOOKUP('Données projet'!$B$15,Paramètres!$A$1:$I$89,3,0)*VLOOKUP('Données projet'!$B$15,Paramètres!$A$1:$I$89,5,0)</f>
        <v>130.10400000000001</v>
      </c>
      <c r="EL45" s="13">
        <f t="shared" si="45"/>
        <v>34.020389560268086</v>
      </c>
      <c r="EM45" s="20">
        <f t="shared" si="19"/>
        <v>285.8499784841336</v>
      </c>
      <c r="EN45" s="59">
        <f t="shared" si="20"/>
        <v>579.18331181746692</v>
      </c>
      <c r="EO45" s="59">
        <f ca="1">AVERAGE(OFFSET($EN$3,0,0,'Données projet'!$E$15+1,1))-AVERAGE(OFFSET($H$3,0,0,'Données projet'!$E$15+1,1))</f>
        <v>273.3012268683454</v>
      </c>
      <c r="EP45" s="59">
        <f t="shared" si="46"/>
        <v>254.08208375594052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7.6152811644382199</v>
      </c>
      <c r="EW45" s="21">
        <f>EXP(-LN(2)/25)*EW44+(1-EXP(-LN(2)/25))/(LN(2)/25)*Calculateur!ER45*Calculateur!ET45*VLOOKUP('Données projet'!$B$15,Paramètres!$A$1:$I$89,3,0)*0.475*44/12</f>
        <v>15.900821607552876</v>
      </c>
      <c r="EX45" s="21">
        <f>EXP(-LN(2)/2)*EX44+(1-EXP(-LN(2)/2))/(LN(2)/2)*ER45*EU45*VLOOKUP('Données projet'!$B$15,Paramètres!$A$1:$I$89,3,0)*0.475*44/12</f>
        <v>4.2560505917241942</v>
      </c>
      <c r="EY45" s="22">
        <f t="shared" si="21"/>
        <v>27.77215336371529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11.4</v>
      </c>
      <c r="N46" s="13">
        <f>IF('Données projet'!$A$36&gt;35,N45+M46-V45,IF(A46&lt;'Données projet'!$A$36,$K$205^A46,IF(A46='Données projet'!$A$36,'Données projet'!$B$36,N45+M46-V45)))</f>
        <v>181.2</v>
      </c>
      <c r="O46" s="13">
        <f>N46*VLOOKUP('Données projet'!$B$9,Paramètres!$A$1:$I$89,3,0)*VLOOKUP('Données projet'!$B$9,Paramètres!$A$1:$I$89,5,0)</f>
        <v>163.94976</v>
      </c>
      <c r="P46" s="13">
        <f t="shared" si="33"/>
        <v>41.732126457893308</v>
      </c>
      <c r="Q46" s="20">
        <f t="shared" si="53"/>
        <v>358.22928558083089</v>
      </c>
      <c r="R46" s="59">
        <f t="shared" si="0"/>
        <v>651.5626189141642</v>
      </c>
      <c r="S46" s="59">
        <f ca="1">AVERAGE(OFFSET($R$3,0,0,'Données projet'!$E$9+1,1))-AVERAGE(OFFSET($H$3,0,0,'Données projet'!$E$9+1,1))</f>
        <v>453.52760163325451</v>
      </c>
      <c r="T46" s="59">
        <f t="shared" si="34"/>
        <v>344.23959526427001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2.2696224249049499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2.2696224249049499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</v>
      </c>
      <c r="AI46" s="13">
        <f>IF('Données projet'!$A$62&gt;35,AI45+AH46-AQ45,IF(A46&lt;'Données projet'!$A$62,$AF$205^A46,IF(A46='Données projet'!$A$62,'Données projet'!$B$62,AI45+AH46-AQ45)))</f>
        <v>168.00000000000003</v>
      </c>
      <c r="AJ46" s="13">
        <f>AI46*VLOOKUP('Données projet'!$B$10,Paramètres!$A$1:$I$89,3,0)*VLOOKUP('Données projet'!$B$10,Paramètres!$A$1:$I$89,5,0)</f>
        <v>144.14400000000003</v>
      </c>
      <c r="AK46" s="13">
        <f t="shared" si="35"/>
        <v>37.244720006976252</v>
      </c>
      <c r="AL46" s="20">
        <f t="shared" si="4"/>
        <v>315.9186873454837</v>
      </c>
      <c r="AM46" s="59">
        <f t="shared" si="5"/>
        <v>609.25202067881696</v>
      </c>
      <c r="AN46" s="59">
        <f ca="1">AVERAGE(OFFSET($AM$3,0,0,'Données projet'!$E$10+1,1))-AVERAGE(OFFSET($H$3,0,0,'Données projet'!$E$10+1,1))</f>
        <v>397.45670821030774</v>
      </c>
      <c r="AO46" s="59">
        <f t="shared" si="36"/>
        <v>256.77417912163997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2.6527463386519359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2.6527463386519359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11.142857142857142</v>
      </c>
      <c r="BD46" s="12">
        <f>IF('Données projet'!$A$88&gt;35,BD45+BC46-BL45,IF(A46&lt;'Données projet'!$A$88,$BA$205^A46,IF(A46='Données projet'!$A$88,'Données projet'!$B$88,BD45+BC46-BL45)))</f>
        <v>218.85714285714278</v>
      </c>
      <c r="BE46" s="13">
        <f>BD46*VLOOKUP('Données projet'!$B$11,Paramètres!$A$1:$I$89,3,0)*VLOOKUP('Données projet'!$B$11,Paramètres!$A$1:$I$89,5,0)</f>
        <v>170.70857142857136</v>
      </c>
      <c r="BF46" s="13">
        <f t="shared" si="37"/>
        <v>43.248681576985376</v>
      </c>
      <c r="BG46" s="20">
        <f t="shared" si="7"/>
        <v>372.64221565134466</v>
      </c>
      <c r="BH46" s="59">
        <f t="shared" si="8"/>
        <v>665.97554898467797</v>
      </c>
      <c r="BI46" s="59">
        <f ca="1">AVERAGE(OFFSET($BH$3,0,0,'Données projet'!$E$11+1,1))-AVERAGE(OFFSET($H$3,0,0,'Données projet'!$E$11+1,1))</f>
        <v>293.20194140252903</v>
      </c>
      <c r="BJ46" s="59">
        <f t="shared" si="38"/>
        <v>280.69048279989266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11.955426438999261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11.955426438999261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8.1999999999999993</v>
      </c>
      <c r="BY46" s="12">
        <f>IF('Données projet'!$A$114&gt;35,BY45+BX46-CG45,IF(A46&lt;'Données projet'!$A$114,$BV$205^A46,IF(A46='Données projet'!$A$114,'Données projet'!$B$114,BY45+BX46-CG45)))</f>
        <v>188.59999999999997</v>
      </c>
      <c r="BZ46" s="13">
        <f>BY46*VLOOKUP('Données projet'!$B$12,Paramètres!$A$1:$I$89,3,0)*VLOOKUP('Données projet'!$B$12,Paramètres!$A$1:$I$89,5,0)</f>
        <v>150.05015999999998</v>
      </c>
      <c r="CA46" s="13">
        <f t="shared" si="39"/>
        <v>38.589984439024569</v>
      </c>
      <c r="CB46" s="20">
        <f t="shared" si="10"/>
        <v>328.54825156463437</v>
      </c>
      <c r="CC46" s="59">
        <f t="shared" si="11"/>
        <v>621.88158489796774</v>
      </c>
      <c r="CD46" s="59">
        <f ca="1">AVERAGE(OFFSET($CC$3,0,0,'Données projet'!$E$12+1,1))-AVERAGE(OFFSET($H$3,0,0,'Données projet'!$E$12+1,1))</f>
        <v>271.25628946149067</v>
      </c>
      <c r="CE46" s="59">
        <f t="shared" si="40"/>
        <v>292.57799203101769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18.028990406392825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18.028990406392825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11.8</v>
      </c>
      <c r="CT46" s="12">
        <f>IF('Données projet'!$A$140&gt;35,CT45+CS46-DB45,IF(A46&lt;'Données projet'!$A$140,$CQ$205^A46,IF(A46='Données projet'!$A$140,'Données projet'!$B$140,CT45+CS46-DB45)))</f>
        <v>269.40000000000009</v>
      </c>
      <c r="CU46" s="17">
        <f>CT46*VLOOKUP('Données projet'!$B$13,Paramètres!$A$1:$I$89,3,0)*VLOOKUP('Données projet'!$B$13,Paramètres!$A$1:$I$89,5,0)</f>
        <v>147.09240000000005</v>
      </c>
      <c r="CV46" s="13">
        <f t="shared" si="41"/>
        <v>37.917072215873553</v>
      </c>
      <c r="CW46" s="20">
        <f t="shared" si="13"/>
        <v>322.22483077597991</v>
      </c>
      <c r="CX46" s="59">
        <f t="shared" si="14"/>
        <v>615.55816410931322</v>
      </c>
      <c r="CY46" s="59">
        <f ca="1">AVERAGE(OFFSET($CX$3,0,0,'Données projet'!$E$13+1,1))-AVERAGE(OFFSET($H$3,0,0,'Données projet'!$E$13+1,1))</f>
        <v>210.03861149060413</v>
      </c>
      <c r="CZ46" s="59">
        <f t="shared" si="42"/>
        <v>298.74602928001929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24.784282801825292</v>
      </c>
      <c r="DG46" s="21">
        <f>EXP(-LN(2)/25)*DG45+(1-EXP(-LN(2)/25))/(LN(2)/25)*Calculateur!DB46*Calculateur!DD46*VLOOKUP('Données projet'!$B$13,Paramètres!$A$1:$I$89,3,0)*0.475*44/12</f>
        <v>27.166479207912985</v>
      </c>
      <c r="DH46" s="21">
        <f>EXP(-LN(2)/2)*DH45+(1-EXP(-LN(2)/2))/(LN(2)/2)*DB46*DE46*VLOOKUP('Données projet'!$B$13,Paramètres!$A$1:$I$89,3,0)*0.475*44/12</f>
        <v>2.6896581145999656</v>
      </c>
      <c r="DI46" s="22">
        <f t="shared" si="15"/>
        <v>54.640420124338242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20.612000000000002</v>
      </c>
      <c r="DO46" s="12">
        <f>IF('Données projet'!$A$166&gt;35,DO45+DN46-DW45,IF(A46&lt;'Données projet'!$A$166,$DL$205^A46,IF(A46='Données projet'!$A$166,'Données projet'!$B$166,DO45+DN46-DW45)))</f>
        <v>404.42400000000004</v>
      </c>
      <c r="DP46" s="17">
        <f>DO46*VLOOKUP('Données projet'!$B$14,Paramètres!$A$1:$I$89,3,0)*VLOOKUP('Données projet'!$B$14,Paramètres!$A$1:$I$89,5,0)</f>
        <v>241.84555200000005</v>
      </c>
      <c r="DQ46" s="13">
        <f t="shared" si="43"/>
        <v>58.836432780420971</v>
      </c>
      <c r="DR46" s="20">
        <f t="shared" si="16"/>
        <v>523.68779015923326</v>
      </c>
      <c r="DS46" s="59">
        <f t="shared" si="17"/>
        <v>817.02112349256663</v>
      </c>
      <c r="DT46" s="59">
        <f ca="1">AVERAGE(OFFSET($DS$3,0,0,'Données projet'!$E$14+1,1))-AVERAGE(OFFSET($H$3,0,0,'Données projet'!$E$14+1,1))</f>
        <v>402.28353929315114</v>
      </c>
      <c r="DU46" s="59">
        <f t="shared" si="44"/>
        <v>376.94419168335463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11.132716370753817</v>
      </c>
      <c r="EB46" s="21">
        <f>EXP(-LN(2)/25)*EB45+(1-EXP(-LN(2)/25))/(LN(2)/25)*Calculateur!DW46*Calculateur!DY46*VLOOKUP('Données projet'!$B$14,Paramètres!$A$1:$I$89,3,0)*0.475*44/12</f>
        <v>22.924259256738456</v>
      </c>
      <c r="EC46" s="21">
        <f>EXP(-LN(2)/2)*EC45+(1-EXP(-LN(2)/2))/(LN(2)/2)*DW46*DZ46*VLOOKUP('Données projet'!$B$14,Paramètres!$A$1:$I$89,3,0)*0.475*44/12</f>
        <v>1.6365070797291998</v>
      </c>
      <c r="ED46" s="22">
        <f t="shared" si="18"/>
        <v>35.69348270722147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14</v>
      </c>
      <c r="EJ46" s="12">
        <f>IF('Données projet'!$A$192&gt;35,EJ45+EI46-ER45,IF(A46&lt;'Données projet'!$A$192,$EG$205^A46,IF(A46='Données projet'!$A$192,'Données projet'!$B$192,EJ45+EI46-ER45)))</f>
        <v>292</v>
      </c>
      <c r="EK46" s="17">
        <f>EJ46*VLOOKUP('Données projet'!$B$15,Paramètres!$A$1:$I$89,3,0)*VLOOKUP('Données projet'!$B$15,Paramètres!$A$1:$I$89,5,0)</f>
        <v>136.65600000000001</v>
      </c>
      <c r="EL46" s="13">
        <f t="shared" si="45"/>
        <v>35.52986752364091</v>
      </c>
      <c r="EM46" s="20">
        <f t="shared" si="19"/>
        <v>299.89038593700792</v>
      </c>
      <c r="EN46" s="59">
        <f t="shared" si="20"/>
        <v>593.22371927034123</v>
      </c>
      <c r="EO46" s="59">
        <f ca="1">AVERAGE(OFFSET($EN$3,0,0,'Données projet'!$E$15+1,1))-AVERAGE(OFFSET($H$3,0,0,'Données projet'!$E$15+1,1))</f>
        <v>273.3012268683454</v>
      </c>
      <c r="EP46" s="59">
        <f t="shared" si="46"/>
        <v>254.08208375594052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7.4659501456664543</v>
      </c>
      <c r="EW46" s="21">
        <f>EXP(-LN(2)/25)*EW45+(1-EXP(-LN(2)/25))/(LN(2)/25)*Calculateur!ER46*Calculateur!ET46*VLOOKUP('Données projet'!$B$15,Paramètres!$A$1:$I$89,3,0)*0.475*44/12</f>
        <v>15.466012804506477</v>
      </c>
      <c r="EX46" s="21">
        <f>EXP(-LN(2)/2)*EX45+(1-EXP(-LN(2)/2))/(LN(2)/2)*ER46*EU46*VLOOKUP('Données projet'!$B$15,Paramètres!$A$1:$I$89,3,0)*0.475*44/12</f>
        <v>3.009482234481196</v>
      </c>
      <c r="EY46" s="22">
        <f t="shared" si="21"/>
        <v>25.941445184654128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11.4</v>
      </c>
      <c r="N47" s="13">
        <f>IF('Données projet'!$A$36&gt;35,N46+M47-V46,IF(A47&lt;'Données projet'!$A$36,$K$205^A47,IF(A47='Données projet'!$A$36,'Données projet'!$B$36,N46+M47-V46)))</f>
        <v>192.6</v>
      </c>
      <c r="O47" s="13">
        <f>N47*VLOOKUP('Données projet'!$B$9,Paramètres!$A$1:$I$89,3,0)*VLOOKUP('Données projet'!$B$9,Paramètres!$A$1:$I$89,5,0)</f>
        <v>174.26447999999999</v>
      </c>
      <c r="P47" s="13">
        <f t="shared" si="33"/>
        <v>44.043743683739521</v>
      </c>
      <c r="Q47" s="20">
        <f t="shared" si="53"/>
        <v>380.22015624917964</v>
      </c>
      <c r="R47" s="59">
        <f t="shared" si="0"/>
        <v>673.55348958251295</v>
      </c>
      <c r="S47" s="59">
        <f ca="1">AVERAGE(OFFSET($R$3,0,0,'Données projet'!$E$9+1,1))-AVERAGE(OFFSET($H$3,0,0,'Données projet'!$E$9+1,1))</f>
        <v>453.52760163325451</v>
      </c>
      <c r="T47" s="59">
        <f t="shared" si="34"/>
        <v>344.23959526427001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2.2251165134855517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2.2251165134855517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</v>
      </c>
      <c r="AI47" s="13">
        <f>IF('Données projet'!$A$62&gt;35,AI46+AH47-AQ46,IF(A47&lt;'Données projet'!$A$62,$AF$205^A47,IF(A47='Données projet'!$A$62,'Données projet'!$B$62,AI46+AH47-AQ46)))</f>
        <v>179.00000000000003</v>
      </c>
      <c r="AJ47" s="13">
        <f>AI47*VLOOKUP('Données projet'!$B$10,Paramètres!$A$1:$I$89,3,0)*VLOOKUP('Données projet'!$B$10,Paramètres!$A$1:$I$89,5,0)</f>
        <v>153.58200000000002</v>
      </c>
      <c r="AK47" s="13">
        <f t="shared" si="35"/>
        <v>39.391486561628568</v>
      </c>
      <c r="AL47" s="20">
        <f t="shared" si="4"/>
        <v>336.09548909483647</v>
      </c>
      <c r="AM47" s="59">
        <f t="shared" si="5"/>
        <v>629.42882242816972</v>
      </c>
      <c r="AN47" s="59">
        <f ca="1">AVERAGE(OFFSET($AM$3,0,0,'Données projet'!$E$10+1,1))-AVERAGE(OFFSET($H$3,0,0,'Données projet'!$E$10+1,1))</f>
        <v>397.45670821030774</v>
      </c>
      <c r="AO47" s="59">
        <f t="shared" si="36"/>
        <v>256.77417912163997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2.6007276009664722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2.6007276009664722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>
        <f>VLOOKUP(A47,'Données projet'!$A$87:$I$107,2,0)</f>
        <v>230</v>
      </c>
      <c r="BB47" s="12">
        <f>VLOOKUP(A47,'Données projet'!$A$87:$I$107,9,0)</f>
        <v>11.142857142857142</v>
      </c>
      <c r="BC47" s="12">
        <f t="array" ref="BC47">INDEX(BB:BB,MIN(IF(ISNUMBER(BB47:BB243),ROW(BB47:BB243),"")))</f>
        <v>11.142857142857142</v>
      </c>
      <c r="BD47" s="12">
        <f>IF('Données projet'!$A$88&gt;35,BD46+BC47-BL46,IF(A47&lt;'Données projet'!$A$88,$BA$205^A47,IF(A47='Données projet'!$A$88,'Données projet'!$B$88,BD46+BC47-BL46)))</f>
        <v>229.99999999999991</v>
      </c>
      <c r="BE47" s="13">
        <f>BD47*VLOOKUP('Données projet'!$B$11,Paramètres!$A$1:$I$89,3,0)*VLOOKUP('Données projet'!$B$11,Paramètres!$A$1:$I$89,5,0)</f>
        <v>179.39999999999995</v>
      </c>
      <c r="BF47" s="13">
        <f t="shared" si="37"/>
        <v>45.188671291872232</v>
      </c>
      <c r="BG47" s="20">
        <f t="shared" si="7"/>
        <v>391.15860250001066</v>
      </c>
      <c r="BH47" s="59">
        <f t="shared" si="8"/>
        <v>684.49193583334397</v>
      </c>
      <c r="BI47" s="59">
        <f ca="1">AVERAGE(OFFSET($BH$3,0,0,'Données projet'!$E$11+1,1))-AVERAGE(OFFSET($H$3,0,0,'Données projet'!$E$11+1,1))</f>
        <v>293.20194140252903</v>
      </c>
      <c r="BJ47" s="59">
        <f t="shared" si="38"/>
        <v>280.69048279989266</v>
      </c>
      <c r="BK47" s="15">
        <f>IF(ISNA(VLOOKUP(A47,'Données projet'!$A$87:$I$107,3,0)),0,VLOOKUP(A47,'Données projet'!$A$87:$I$107,3,0))</f>
        <v>6</v>
      </c>
      <c r="BL47" s="15">
        <f>IF(ISNA(VLOOKUP(A47,'Données projet'!$A$87:$I$107,4,0)),0,VLOOKUP(A47,'Données projet'!$A$87:$I$107,4,0))</f>
        <v>43</v>
      </c>
      <c r="BM47" s="16">
        <f>IF(ISNA(VLOOKUP(A47,'Données projet'!$A$87:$I$107,5,0)),0%,VLOOKUP(A47,'Données projet'!$A$87:$I$107,5,0)*VLOOKUP('Données projet'!$B$11,Paramètres!$A$1:$I$89,7,0))</f>
        <v>0.215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19.692645272470635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19.692645272470635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8.1999999999999993</v>
      </c>
      <c r="BY47" s="12">
        <f>IF('Données projet'!$A$114&gt;35,BY46+BX47-CG46,IF(A47&lt;'Données projet'!$A$114,$BV$205^A47,IF(A47='Données projet'!$A$114,'Données projet'!$B$114,BY46+BX47-CG46)))</f>
        <v>196.79999999999995</v>
      </c>
      <c r="BZ47" s="13">
        <f>BY47*VLOOKUP('Données projet'!$B$12,Paramètres!$A$1:$I$89,3,0)*VLOOKUP('Données projet'!$B$12,Paramètres!$A$1:$I$89,5,0)</f>
        <v>156.57407999999998</v>
      </c>
      <c r="CA47" s="13">
        <f t="shared" si="39"/>
        <v>40.068818872547467</v>
      </c>
      <c r="CB47" s="20">
        <f t="shared" si="10"/>
        <v>342.48638220302013</v>
      </c>
      <c r="CC47" s="59">
        <f t="shared" si="11"/>
        <v>635.81971553635344</v>
      </c>
      <c r="CD47" s="59">
        <f ca="1">AVERAGE(OFFSET($CC$3,0,0,'Données projet'!$E$12+1,1))-AVERAGE(OFFSET($H$3,0,0,'Données projet'!$E$12+1,1))</f>
        <v>271.25628946149067</v>
      </c>
      <c r="CE47" s="59">
        <f t="shared" si="40"/>
        <v>292.57799203101769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17.675452901121787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17.675452901121787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11.8</v>
      </c>
      <c r="CT47" s="12">
        <f>IF('Données projet'!$A$140&gt;35,CT46+CS47-DB46,IF(A47&lt;'Données projet'!$A$140,$CQ$205^A47,IF(A47='Données projet'!$A$140,'Données projet'!$B$140,CT46+CS47-DB46)))</f>
        <v>281.2000000000001</v>
      </c>
      <c r="CU47" s="17">
        <f>CT47*VLOOKUP('Données projet'!$B$13,Paramètres!$A$1:$I$89,3,0)*VLOOKUP('Données projet'!$B$13,Paramètres!$A$1:$I$89,5,0)</f>
        <v>153.53520000000006</v>
      </c>
      <c r="CV47" s="13">
        <f t="shared" si="41"/>
        <v>39.380880080709709</v>
      </c>
      <c r="CW47" s="20">
        <f t="shared" si="13"/>
        <v>335.99550614056949</v>
      </c>
      <c r="CX47" s="59">
        <f t="shared" si="14"/>
        <v>629.3288394739028</v>
      </c>
      <c r="CY47" s="59">
        <f ca="1">AVERAGE(OFFSET($CX$3,0,0,'Données projet'!$E$13+1,1))-AVERAGE(OFFSET($H$3,0,0,'Données projet'!$E$13+1,1))</f>
        <v>210.03861149060413</v>
      </c>
      <c r="CZ47" s="59">
        <f t="shared" si="42"/>
        <v>298.74602928001929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24.298278133001336</v>
      </c>
      <c r="DG47" s="21">
        <f>EXP(-LN(2)/25)*DG46+(1-EXP(-LN(2)/25))/(LN(2)/25)*Calculateur!DB47*Calculateur!DD47*VLOOKUP('Données projet'!$B$13,Paramètres!$A$1:$I$89,3,0)*0.475*44/12</f>
        <v>26.423610405349553</v>
      </c>
      <c r="DH47" s="21">
        <f>EXP(-LN(2)/2)*DH46+(1-EXP(-LN(2)/2))/(LN(2)/2)*DB47*DE47*VLOOKUP('Données projet'!$B$13,Paramètres!$A$1:$I$89,3,0)*0.475*44/12</f>
        <v>1.90187549190706</v>
      </c>
      <c r="DI47" s="22">
        <f t="shared" si="15"/>
        <v>52.623764030257952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20.612000000000002</v>
      </c>
      <c r="DO47" s="12">
        <f>IF('Données projet'!$A$166&gt;35,DO46+DN47-DW46,IF(A47&lt;'Données projet'!$A$166,$DL$205^A47,IF(A47='Données projet'!$A$166,'Données projet'!$B$166,DO46+DN47-DW46)))</f>
        <v>425.03600000000006</v>
      </c>
      <c r="DP47" s="17">
        <f>DO47*VLOOKUP('Données projet'!$B$14,Paramètres!$A$1:$I$89,3,0)*VLOOKUP('Données projet'!$B$14,Paramètres!$A$1:$I$89,5,0)</f>
        <v>254.17152800000005</v>
      </c>
      <c r="DQ47" s="13">
        <f t="shared" si="43"/>
        <v>61.47834864609284</v>
      </c>
      <c r="DR47" s="20">
        <f t="shared" si="16"/>
        <v>549.75686849194506</v>
      </c>
      <c r="DS47" s="59">
        <f t="shared" si="17"/>
        <v>843.09020182527843</v>
      </c>
      <c r="DT47" s="59">
        <f ca="1">AVERAGE(OFFSET($DS$3,0,0,'Données projet'!$E$14+1,1))-AVERAGE(OFFSET($H$3,0,0,'Données projet'!$E$14+1,1))</f>
        <v>402.28353929315114</v>
      </c>
      <c r="DU47" s="59">
        <f t="shared" si="44"/>
        <v>376.94419168335463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10.914410593009835</v>
      </c>
      <c r="EB47" s="21">
        <f>EXP(-LN(2)/25)*EB46+(1-EXP(-LN(2)/25))/(LN(2)/25)*Calculateur!DW47*Calculateur!DY47*VLOOKUP('Données projet'!$B$14,Paramètres!$A$1:$I$89,3,0)*0.475*44/12</f>
        <v>22.297394181828544</v>
      </c>
      <c r="EC47" s="21">
        <f>EXP(-LN(2)/2)*EC46+(1-EXP(-LN(2)/2))/(LN(2)/2)*DW47*DZ47*VLOOKUP('Données projet'!$B$14,Paramètres!$A$1:$I$89,3,0)*0.475*44/12</f>
        <v>1.1571852535363112</v>
      </c>
      <c r="ED47" s="22">
        <f t="shared" si="18"/>
        <v>34.368990028374689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14</v>
      </c>
      <c r="EJ47" s="12">
        <f>IF('Données projet'!$A$192&gt;35,EJ46+EI47-ER46,IF(A47&lt;'Données projet'!$A$192,$EG$205^A47,IF(A47='Données projet'!$A$192,'Données projet'!$B$192,EJ46+EI47-ER46)))</f>
        <v>306</v>
      </c>
      <c r="EK47" s="17">
        <f>EJ47*VLOOKUP('Données projet'!$B$15,Paramètres!$A$1:$I$89,3,0)*VLOOKUP('Données projet'!$B$15,Paramètres!$A$1:$I$89,5,0)</f>
        <v>143.208</v>
      </c>
      <c r="EL47" s="13">
        <f t="shared" si="45"/>
        <v>37.030941422835802</v>
      </c>
      <c r="EM47" s="20">
        <f t="shared" si="19"/>
        <v>313.91615631143901</v>
      </c>
      <c r="EN47" s="59">
        <f t="shared" si="20"/>
        <v>607.24948964477232</v>
      </c>
      <c r="EO47" s="59">
        <f ca="1">AVERAGE(OFFSET($EN$3,0,0,'Données projet'!$E$15+1,1))-AVERAGE(OFFSET($H$3,0,0,'Données projet'!$E$15+1,1))</f>
        <v>273.3012268683454</v>
      </c>
      <c r="EP47" s="59">
        <f t="shared" si="46"/>
        <v>254.08208375594052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7.3195474170898756</v>
      </c>
      <c r="EW47" s="21">
        <f>EXP(-LN(2)/25)*EW46+(1-EXP(-LN(2)/25))/(LN(2)/25)*Calculateur!ER47*Calculateur!ET47*VLOOKUP('Données projet'!$B$15,Paramètres!$A$1:$I$89,3,0)*0.475*44/12</f>
        <v>15.043093871044981</v>
      </c>
      <c r="EX47" s="21">
        <f>EXP(-LN(2)/2)*EX46+(1-EXP(-LN(2)/2))/(LN(2)/2)*ER47*EU47*VLOOKUP('Données projet'!$B$15,Paramètres!$A$1:$I$89,3,0)*0.475*44/12</f>
        <v>2.1280252958620971</v>
      </c>
      <c r="EY47" s="22">
        <f t="shared" si="21"/>
        <v>24.490666583996955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204</v>
      </c>
      <c r="L48" s="12">
        <f>VLOOKUP(A48,'Données projet'!$A$35:$I$55,9,0)</f>
        <v>11.4</v>
      </c>
      <c r="M48" s="12">
        <f t="array" ref="M48">INDEX(L:L,MIN(IF(ISNUMBER(L48:L244),ROW(L48:L244),"")))</f>
        <v>11.4</v>
      </c>
      <c r="N48" s="13">
        <f>IF('Données projet'!$A$36&gt;35,N47+M48-V47,IF(A48&lt;'Données projet'!$A$36,$K$205^A48,IF(A48='Données projet'!$A$36,'Données projet'!$B$36,N47+M48-V47)))</f>
        <v>204</v>
      </c>
      <c r="O48" s="13">
        <f>N48*VLOOKUP('Données projet'!$B$9,Paramètres!$A$1:$I$89,3,0)*VLOOKUP('Données projet'!$B$9,Paramètres!$A$1:$I$89,5,0)</f>
        <v>184.57919999999999</v>
      </c>
      <c r="P48" s="13">
        <f t="shared" si="33"/>
        <v>46.339479465836618</v>
      </c>
      <c r="Q48" s="20">
        <f t="shared" si="53"/>
        <v>402.18336673633206</v>
      </c>
      <c r="R48" s="59">
        <f t="shared" si="0"/>
        <v>695.51670006966538</v>
      </c>
      <c r="S48" s="59">
        <f ca="1">AVERAGE(OFFSET($R$3,0,0,'Données projet'!$E$9+1,1))-AVERAGE(OFFSET($H$3,0,0,'Données projet'!$E$9+1,1))</f>
        <v>453.52760163325451</v>
      </c>
      <c r="T48" s="59">
        <f t="shared" si="34"/>
        <v>344.23959526427001</v>
      </c>
      <c r="U48" s="15">
        <f>IF(ISNA(VLOOKUP(A48,'Données projet'!$A$35:$I$55,3,0)),0,VLOOKUP(A48,'Données projet'!$A$35:$I$55,3,0))</f>
        <v>6</v>
      </c>
      <c r="V48" s="15">
        <f>IF(ISNA(VLOOKUP(A48,'Données projet'!$A$35:$I$55,4,0)),0,VLOOKUP(A48,'Données projet'!$A$35:$I$55,4,0))</f>
        <v>28</v>
      </c>
      <c r="W48" s="16">
        <f>IF(ISNA(VLOOKUP(A48,'Données projet'!$A$35:$I$55,5,0)),0%,VLOOKUP(A48,'Données projet'!$A$35:$I$55,5,0)*VLOOKUP('Données projet'!$B$9,Paramètres!$A$1:$I$89,7,0))</f>
        <v>8.6000000000000007E-2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4.590036211201765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4.590036211201765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190</v>
      </c>
      <c r="AG48" s="12">
        <f>VLOOKUP(A48,'Données projet'!$A$61:$I$81,9,0)</f>
        <v>11</v>
      </c>
      <c r="AH48" s="12">
        <f t="array" ref="AH48">INDEX(AG:AG,MIN(IF(ISNUMBER(AG48:AG244),ROW(AG48:AG244),"")))</f>
        <v>11</v>
      </c>
      <c r="AI48" s="13">
        <f>IF('Données projet'!$A$62&gt;35,AI47+AH48-AQ47,IF(A48&lt;'Données projet'!$A$62,$AF$205^A48,IF(A48='Données projet'!$A$62,'Données projet'!$B$62,AI47+AH48-AQ47)))</f>
        <v>190.00000000000003</v>
      </c>
      <c r="AJ48" s="13">
        <f>AI48*VLOOKUP('Données projet'!$B$10,Paramètres!$A$1:$I$89,3,0)*VLOOKUP('Données projet'!$B$10,Paramètres!$A$1:$I$89,5,0)</f>
        <v>163.02000000000004</v>
      </c>
      <c r="AK48" s="13">
        <f t="shared" si="35"/>
        <v>41.52294175893757</v>
      </c>
      <c r="AL48" s="20">
        <f t="shared" si="4"/>
        <v>356.24562356348298</v>
      </c>
      <c r="AM48" s="59">
        <f t="shared" si="5"/>
        <v>649.57895689681629</v>
      </c>
      <c r="AN48" s="59">
        <f ca="1">AVERAGE(OFFSET($AM$3,0,0,'Données projet'!$E$10+1,1))-AVERAGE(OFFSET($H$3,0,0,'Données projet'!$E$10+1,1))</f>
        <v>397.45670821030774</v>
      </c>
      <c r="AO48" s="59">
        <f t="shared" si="36"/>
        <v>256.77417912163997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28</v>
      </c>
      <c r="AR48" s="16">
        <f>IF(ISNA(VLOOKUP(A48,'Données projet'!$A$61:$I$81,5,0)),0%,VLOOKUP(A48,'Données projet'!$A$61:$I$81,5,0)*VLOOKUP('Données projet'!$B$10,Paramètres!$A$1:$I$89,7,0))</f>
        <v>0.10600000000000001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5.3648578811760803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5.3648578811760803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10.375</v>
      </c>
      <c r="BD48" s="12">
        <f>IF('Données projet'!$A$88&gt;35,BD47+BC48-BL47,IF(A48&lt;'Données projet'!$A$88,$BA$205^A48,IF(A48='Données projet'!$A$88,'Données projet'!$B$88,BD47+BC48-BL47)))</f>
        <v>197.37499999999991</v>
      </c>
      <c r="BE48" s="13">
        <f>BD48*VLOOKUP('Données projet'!$B$11,Paramètres!$A$1:$I$89,3,0)*VLOOKUP('Données projet'!$B$11,Paramètres!$A$1:$I$89,5,0)</f>
        <v>153.95249999999993</v>
      </c>
      <c r="BF48" s="13">
        <f t="shared" si="37"/>
        <v>39.475441267837361</v>
      </c>
      <c r="BG48" s="20">
        <f t="shared" si="7"/>
        <v>336.88699770814992</v>
      </c>
      <c r="BH48" s="59">
        <f t="shared" si="8"/>
        <v>630.22033104148318</v>
      </c>
      <c r="BI48" s="59">
        <f ca="1">AVERAGE(OFFSET($BH$3,0,0,'Données projet'!$E$11+1,1))-AVERAGE(OFFSET($H$3,0,0,'Données projet'!$E$11+1,1))</f>
        <v>293.20194140252903</v>
      </c>
      <c r="BJ48" s="59">
        <f t="shared" si="38"/>
        <v>280.69048279989266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19.306484510005081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19.306484510005081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205</v>
      </c>
      <c r="BW48" s="12">
        <f>VLOOKUP(A48,'Données projet'!$A$113:$I$133,9,0)</f>
        <v>8.1999999999999993</v>
      </c>
      <c r="BX48" s="12">
        <f t="array" ref="BX48">INDEX(BW:BW,MIN(IF(ISNUMBER(BW48:BW244),ROW(BW48:BW244),"")))</f>
        <v>8.1999999999999993</v>
      </c>
      <c r="BY48" s="12">
        <f>IF('Données projet'!$A$114&gt;35,BY47+BX48-CG47,IF(A48&lt;'Données projet'!$A$114,$BV$205^A48,IF(A48='Données projet'!$A$114,'Données projet'!$B$114,BY47+BX48-CG47)))</f>
        <v>204.99999999999994</v>
      </c>
      <c r="BZ48" s="13">
        <f>BY48*VLOOKUP('Données projet'!$B$12,Paramètres!$A$1:$I$89,3,0)*VLOOKUP('Données projet'!$B$12,Paramètres!$A$1:$I$89,5,0)</f>
        <v>163.09799999999996</v>
      </c>
      <c r="CA48" s="13">
        <f t="shared" si="39"/>
        <v>41.540496136845142</v>
      </c>
      <c r="CB48" s="20">
        <f t="shared" si="10"/>
        <v>356.4120474383385</v>
      </c>
      <c r="CC48" s="59">
        <f t="shared" si="11"/>
        <v>649.74538077167176</v>
      </c>
      <c r="CD48" s="59">
        <f ca="1">AVERAGE(OFFSET($CC$3,0,0,'Données projet'!$E$12+1,1))-AVERAGE(OFFSET($H$3,0,0,'Données projet'!$E$12+1,1))</f>
        <v>271.25628946149067</v>
      </c>
      <c r="CE48" s="59">
        <f t="shared" si="40"/>
        <v>292.57799203101769</v>
      </c>
      <c r="CF48" s="15">
        <f>IF(ISNA(VLOOKUP(A48,'Données projet'!$A$113:$I$133,3,0)),0,VLOOKUP(A48,'Données projet'!$A$113:$I$133,3,0))</f>
        <v>7</v>
      </c>
      <c r="CG48" s="15">
        <f>IF(ISNA(VLOOKUP(A48,'Données projet'!$A$113:$I$133,4,0)),0,VLOOKUP(A48,'Données projet'!$A$113:$I$133,4,0))</f>
        <v>22</v>
      </c>
      <c r="CH48" s="16">
        <f>IF(ISNA(VLOOKUP(A48,'Données projet'!$A$113:$I$133,5,0)),0%,VLOOKUP(A48,'Données projet'!$A$113:$I$133,5,0)*VLOOKUP('Données projet'!$B$12,Paramètres!$A$1:$I$89,7,0))</f>
        <v>0.26500000000000001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22.45640437465843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22.45640437465843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293</v>
      </c>
      <c r="CR48" s="12">
        <f>VLOOKUP(A48,'Données projet'!$A$139:$I$159,9,0)</f>
        <v>11.8</v>
      </c>
      <c r="CS48" s="12">
        <f t="array" ref="CS48">INDEX(CR:CR,MIN(IF(ISNUMBER(CR48:CR244),ROW(CR48:CR244),"")))</f>
        <v>11.8</v>
      </c>
      <c r="CT48" s="12">
        <f>IF('Données projet'!$A$140&gt;35,CT47+CS48-DB47,IF(A48&lt;'Données projet'!$A$140,$CQ$205^A48,IF(A48='Données projet'!$A$140,'Données projet'!$B$140,CT47+CS48-DB47)))</f>
        <v>293.00000000000011</v>
      </c>
      <c r="CU48" s="17">
        <f>CT48*VLOOKUP('Données projet'!$B$13,Paramètres!$A$1:$I$89,3,0)*VLOOKUP('Données projet'!$B$13,Paramètres!$A$1:$I$89,5,0)</f>
        <v>159.97800000000007</v>
      </c>
      <c r="CV48" s="13">
        <f t="shared" si="41"/>
        <v>40.8375532055748</v>
      </c>
      <c r="CW48" s="20">
        <f t="shared" si="13"/>
        <v>349.75375516637615</v>
      </c>
      <c r="CX48" s="59">
        <f t="shared" si="14"/>
        <v>643.08708849970947</v>
      </c>
      <c r="CY48" s="59">
        <f ca="1">AVERAGE(OFFSET($CX$3,0,0,'Données projet'!$E$13+1,1))-AVERAGE(OFFSET($H$3,0,0,'Données projet'!$E$13+1,1))</f>
        <v>210.03861149060413</v>
      </c>
      <c r="CZ48" s="59">
        <f t="shared" si="42"/>
        <v>298.74602928001929</v>
      </c>
      <c r="DA48" s="15">
        <f>IF(ISNA(VLOOKUP(A48,'Données projet'!$A$139:$I$159,3,0)),0,VLOOKUP(A48,'Données projet'!$A$139:$I$159,3,0))</f>
        <v>8</v>
      </c>
      <c r="DB48" s="15">
        <f>IF(ISNA(VLOOKUP(A48,'Données projet'!$A$139:$I$159,4,0)),0,VLOOKUP(A48,'Données projet'!$A$139:$I$159,4,0))</f>
        <v>34</v>
      </c>
      <c r="DC48" s="16">
        <f>IF(ISNA(VLOOKUP(A48,'Données projet'!$A$139:$I$159,5,0)),0%,VLOOKUP(A48,'Données projet'!$A$139:$I$159,5,0)*VLOOKUP('Données projet'!$B$13,Paramètres!$A$1:$I$89,7,0))</f>
        <v>0.3</v>
      </c>
      <c r="DD48" s="16">
        <f>IF(ISNA(VLOOKUP(A48,'Données projet'!$A$139:$I$159,6,0)),0%,VLOOKUP(A48,'Données projet'!$A$139:$I$159,6,0)*VLOOKUP('Données projet'!$B$13,Paramètres!$A$1:$I$89,7,0))</f>
        <v>0.16800000000000001</v>
      </c>
      <c r="DE48" s="16">
        <f>IF(ISNA(VLOOKUP(A48,'Données projet'!$A$139:$I$159,7,0)),0%,VLOOKUP(A48,'Données projet'!$A$139:$I$159,7,0))</f>
        <v>0.22</v>
      </c>
      <c r="DF48" s="21">
        <f>EXP(-LN(2)/35)*DF47+(1-EXP(-LN(2)/35))/(LN(2)/35)*DB48*DC48*VLOOKUP('Données projet'!$B$13,Paramètres!$A$1:$I$89,3,0)*0.475*44/12</f>
        <v>31.209706484533324</v>
      </c>
      <c r="DG48" s="21">
        <f>EXP(-LN(2)/25)*DG47+(1-EXP(-LN(2)/25))/(LN(2)/25)*Calculateur!DB48*Calculateur!DD48*VLOOKUP('Données projet'!$B$13,Paramètres!$A$1:$I$89,3,0)*0.475*44/12</f>
        <v>29.821991104397881</v>
      </c>
      <c r="DH48" s="21">
        <f>EXP(-LN(2)/2)*DH47+(1-EXP(-LN(2)/2))/(LN(2)/2)*DB48*DE48*VLOOKUP('Données projet'!$B$13,Paramètres!$A$1:$I$89,3,0)*0.475*44/12</f>
        <v>5.9689563389818714</v>
      </c>
      <c r="DI48" s="22">
        <f t="shared" si="15"/>
        <v>67.000653927913078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20.612000000000002</v>
      </c>
      <c r="DO48" s="12">
        <f>IF('Données projet'!$A$166&gt;35,DO47+DN48-DW47,IF(A48&lt;'Données projet'!$A$166,$DL$205^A48,IF(A48='Données projet'!$A$166,'Données projet'!$B$166,DO47+DN48-DW47)))</f>
        <v>445.64800000000008</v>
      </c>
      <c r="DP48" s="17">
        <f>DO48*VLOOKUP('Données projet'!$B$14,Paramètres!$A$1:$I$89,3,0)*VLOOKUP('Données projet'!$B$14,Paramètres!$A$1:$I$89,5,0)</f>
        <v>266.49750400000005</v>
      </c>
      <c r="DQ48" s="13">
        <f t="shared" si="43"/>
        <v>64.105387319635156</v>
      </c>
      <c r="DR48" s="20">
        <f t="shared" si="16"/>
        <v>575.80003571503119</v>
      </c>
      <c r="DS48" s="59">
        <f t="shared" si="17"/>
        <v>869.13336904836456</v>
      </c>
      <c r="DT48" s="59">
        <f ca="1">AVERAGE(OFFSET($DS$3,0,0,'Données projet'!$E$14+1,1))-AVERAGE(OFFSET($H$3,0,0,'Données projet'!$E$14+1,1))</f>
        <v>402.28353929315114</v>
      </c>
      <c r="DU48" s="59">
        <f t="shared" si="44"/>
        <v>376.94419168335463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10.700385658414037</v>
      </c>
      <c r="EB48" s="21">
        <f>EXP(-LN(2)/25)*EB47+(1-EXP(-LN(2)/25))/(LN(2)/25)*Calculateur!DW48*Calculateur!DY48*VLOOKUP('Données projet'!$B$14,Paramètres!$A$1:$I$89,3,0)*0.475*44/12</f>
        <v>21.687670765357442</v>
      </c>
      <c r="EC48" s="21">
        <f>EXP(-LN(2)/2)*EC47+(1-EXP(-LN(2)/2))/(LN(2)/2)*DW48*DZ48*VLOOKUP('Données projet'!$B$14,Paramètres!$A$1:$I$89,3,0)*0.475*44/12</f>
        <v>0.81825353986459992</v>
      </c>
      <c r="ED48" s="22">
        <f t="shared" si="18"/>
        <v>33.20630996363608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14</v>
      </c>
      <c r="EJ48" s="12">
        <f>IF('Données projet'!$A$192&gt;35,EJ47+EI48-ER47,IF(A48&lt;'Données projet'!$A$192,$EG$205^A48,IF(A48='Données projet'!$A$192,'Données projet'!$B$192,EJ47+EI48-ER47)))</f>
        <v>320</v>
      </c>
      <c r="EK48" s="17">
        <f>EJ48*VLOOKUP('Données projet'!$B$15,Paramètres!$A$1:$I$89,3,0)*VLOOKUP('Données projet'!$B$15,Paramètres!$A$1:$I$89,5,0)</f>
        <v>149.76</v>
      </c>
      <c r="EL48" s="13">
        <f t="shared" si="45"/>
        <v>38.524039677774802</v>
      </c>
      <c r="EM48" s="20">
        <f t="shared" si="19"/>
        <v>327.92803577212442</v>
      </c>
      <c r="EN48" s="59">
        <f t="shared" si="20"/>
        <v>621.26136910545779</v>
      </c>
      <c r="EO48" s="59">
        <f ca="1">AVERAGE(OFFSET($EN$3,0,0,'Données projet'!$E$15+1,1))-AVERAGE(OFFSET($H$3,0,0,'Données projet'!$E$15+1,1))</f>
        <v>273.3012268683454</v>
      </c>
      <c r="EP48" s="59">
        <f t="shared" si="46"/>
        <v>254.08208375594052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7.1760155567238364</v>
      </c>
      <c r="EW48" s="21">
        <f>EXP(-LN(2)/25)*EW47+(1-EXP(-LN(2)/25))/(LN(2)/25)*Calculateur!ER48*Calculateur!ET48*VLOOKUP('Données projet'!$B$15,Paramètres!$A$1:$I$89,3,0)*0.475*44/12</f>
        <v>14.631739678059331</v>
      </c>
      <c r="EX48" s="21">
        <f>EXP(-LN(2)/2)*EX47+(1-EXP(-LN(2)/2))/(LN(2)/2)*ER48*EU48*VLOOKUP('Données projet'!$B$15,Paramètres!$A$1:$I$89,3,0)*0.475*44/12</f>
        <v>1.504741117240598</v>
      </c>
      <c r="EY48" s="22">
        <f t="shared" si="21"/>
        <v>23.312496352023764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11</v>
      </c>
      <c r="N49" s="13">
        <f>IF('Données projet'!$A$36&gt;35,N48+M49-V48,IF(A49&lt;'Données projet'!$A$36,$K$205^A49,IF(A49='Données projet'!$A$36,'Données projet'!$B$36,N48+M49-V48)))</f>
        <v>187</v>
      </c>
      <c r="O49" s="13">
        <f>N49*VLOOKUP('Données projet'!$B$9,Paramètres!$A$1:$I$89,3,0)*VLOOKUP('Données projet'!$B$9,Paramètres!$A$1:$I$89,5,0)</f>
        <v>169.19759999999999</v>
      </c>
      <c r="P49" s="13">
        <f t="shared" si="33"/>
        <v>42.910263223432885</v>
      </c>
      <c r="Q49" s="20">
        <f t="shared" si="53"/>
        <v>369.42119511414558</v>
      </c>
      <c r="R49" s="59">
        <f t="shared" si="0"/>
        <v>662.75452844747883</v>
      </c>
      <c r="S49" s="59">
        <f ca="1">AVERAGE(OFFSET($R$3,0,0,'Données projet'!$E$9+1,1))-AVERAGE(OFFSET($H$3,0,0,'Données projet'!$E$9+1,1))</f>
        <v>453.52760163325451</v>
      </c>
      <c r="T49" s="59">
        <f t="shared" si="34"/>
        <v>344.23959526427001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4.5000284007457454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4.5000284007457454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</v>
      </c>
      <c r="AI49" s="13">
        <f>IF('Données projet'!$A$62&gt;35,AI48+AH49-AQ48,IF(A49&lt;'Données projet'!$A$62,$AF$205^A49,IF(A49='Données projet'!$A$62,'Données projet'!$B$62,AI48+AH49-AQ48)))</f>
        <v>173.00000000000003</v>
      </c>
      <c r="AJ49" s="13">
        <f>AI49*VLOOKUP('Données projet'!$B$10,Paramètres!$A$1:$I$89,3,0)*VLOOKUP('Données projet'!$B$10,Paramètres!$A$1:$I$89,5,0)</f>
        <v>148.43400000000003</v>
      </c>
      <c r="AK49" s="13">
        <f t="shared" si="35"/>
        <v>38.222489421716382</v>
      </c>
      <c r="AL49" s="20">
        <f t="shared" si="4"/>
        <v>325.0933857428227</v>
      </c>
      <c r="AM49" s="59">
        <f t="shared" si="5"/>
        <v>618.42671907615602</v>
      </c>
      <c r="AN49" s="59">
        <f ca="1">AVERAGE(OFFSET($AM$3,0,0,'Données projet'!$E$10+1,1))-AVERAGE(OFFSET($H$3,0,0,'Données projet'!$E$10+1,1))</f>
        <v>397.45670821030774</v>
      </c>
      <c r="AO49" s="59">
        <f t="shared" si="36"/>
        <v>256.77417912163997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5.2596562903664177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5.2596562903664177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10.375</v>
      </c>
      <c r="BD49" s="12">
        <f>IF('Données projet'!$A$88&gt;35,BD48+BC49-BL48,IF(A49&lt;'Données projet'!$A$88,$BA$205^A49,IF(A49='Données projet'!$A$88,'Données projet'!$B$88,BD48+BC49-BL48)))</f>
        <v>207.74999999999991</v>
      </c>
      <c r="BE49" s="13">
        <f>BD49*VLOOKUP('Données projet'!$B$11,Paramètres!$A$1:$I$89,3,0)*VLOOKUP('Données projet'!$B$11,Paramètres!$A$1:$I$89,5,0)</f>
        <v>162.04499999999993</v>
      </c>
      <c r="BF49" s="13">
        <f t="shared" si="37"/>
        <v>41.303429372463391</v>
      </c>
      <c r="BG49" s="20">
        <f t="shared" si="7"/>
        <v>354.16518115704025</v>
      </c>
      <c r="BH49" s="59">
        <f t="shared" si="8"/>
        <v>647.49851449037351</v>
      </c>
      <c r="BI49" s="59">
        <f ca="1">AVERAGE(OFFSET($BH$3,0,0,'Données projet'!$E$11+1,1))-AVERAGE(OFFSET($H$3,0,0,'Données projet'!$E$11+1,1))</f>
        <v>293.20194140252903</v>
      </c>
      <c r="BJ49" s="59">
        <f t="shared" si="38"/>
        <v>280.69048279989266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18.927896124556671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18.927896124556671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7.2</v>
      </c>
      <c r="BY49" s="12">
        <f>IF('Données projet'!$A$114&gt;35,BY48+BX49-CG48,IF(A49&lt;'Données projet'!$A$114,$BV$205^A49,IF(A49='Données projet'!$A$114,'Données projet'!$B$114,BY48+BX49-CG48)))</f>
        <v>190.19999999999993</v>
      </c>
      <c r="BZ49" s="13">
        <f>BY49*VLOOKUP('Données projet'!$B$12,Paramètres!$A$1:$I$89,3,0)*VLOOKUP('Données projet'!$B$12,Paramètres!$A$1:$I$89,5,0)</f>
        <v>151.32311999999996</v>
      </c>
      <c r="CA49" s="13">
        <f t="shared" si="39"/>
        <v>38.879115530839606</v>
      </c>
      <c r="CB49" s="20">
        <f t="shared" si="10"/>
        <v>331.26889354954557</v>
      </c>
      <c r="CC49" s="59">
        <f t="shared" si="11"/>
        <v>624.60222688287888</v>
      </c>
      <c r="CD49" s="59">
        <f ca="1">AVERAGE(OFFSET($CC$3,0,0,'Données projet'!$E$12+1,1))-AVERAGE(OFFSET($H$3,0,0,'Données projet'!$E$12+1,1))</f>
        <v>271.25628946149067</v>
      </c>
      <c r="CE49" s="59">
        <f t="shared" si="40"/>
        <v>292.57799203101769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22.016047981925574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22.016047981925574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11.2</v>
      </c>
      <c r="CT49" s="12">
        <f>IF('Données projet'!$A$140&gt;35,CT48+CS49-DB48,IF(A49&lt;'Données projet'!$A$140,$CQ$205^A49,IF(A49='Données projet'!$A$140,'Données projet'!$B$140,CT48+CS49-DB48)))</f>
        <v>270.2000000000001</v>
      </c>
      <c r="CU49" s="17">
        <f>CT49*VLOOKUP('Données projet'!$B$13,Paramètres!$A$1:$I$89,3,0)*VLOOKUP('Données projet'!$B$13,Paramètres!$A$1:$I$89,5,0)</f>
        <v>147.52920000000006</v>
      </c>
      <c r="CV49" s="13">
        <f t="shared" si="41"/>
        <v>38.016545834387131</v>
      </c>
      <c r="CW49" s="20">
        <f t="shared" si="13"/>
        <v>323.15884066155769</v>
      </c>
      <c r="CX49" s="59">
        <f t="shared" si="14"/>
        <v>616.492173994891</v>
      </c>
      <c r="CY49" s="59">
        <f ca="1">AVERAGE(OFFSET($CX$3,0,0,'Données projet'!$E$13+1,1))-AVERAGE(OFFSET($H$3,0,0,'Données projet'!$E$13+1,1))</f>
        <v>210.03861149060413</v>
      </c>
      <c r="CZ49" s="59">
        <f t="shared" si="42"/>
        <v>298.74602928001929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30.597703176412928</v>
      </c>
      <c r="DG49" s="21">
        <f>EXP(-LN(2)/25)*DG48+(1-EXP(-LN(2)/25))/(LN(2)/25)*Calculateur!DB49*Calculateur!DD49*VLOOKUP('Données projet'!$B$13,Paramètres!$A$1:$I$89,3,0)*0.475*44/12</f>
        <v>29.006507189377768</v>
      </c>
      <c r="DH49" s="21">
        <f>EXP(-LN(2)/2)*DH48+(1-EXP(-LN(2)/2))/(LN(2)/2)*DB49*DE49*VLOOKUP('Données projet'!$B$13,Paramètres!$A$1:$I$89,3,0)*0.475*44/12</f>
        <v>4.2206895039005099</v>
      </c>
      <c r="DI49" s="22">
        <f t="shared" si="15"/>
        <v>63.824899869691201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>
        <f>VLOOKUP(A49,'Données projet'!$A$165:$I$185,2,0)</f>
        <v>466.26</v>
      </c>
      <c r="DM49" s="12">
        <f>VLOOKUP(A49,'Données projet'!$A$165:$I$185,9,0)</f>
        <v>20.612000000000002</v>
      </c>
      <c r="DN49" s="12">
        <f t="array" ref="DN49">INDEX(DM:DM,MIN(IF(ISNUMBER(DM49:DM245),ROW(DM49:DM245),"")))</f>
        <v>20.612000000000002</v>
      </c>
      <c r="DO49" s="12">
        <f>IF('Données projet'!$A$166&gt;35,DO48+DN49-DW48,IF(A49&lt;'Données projet'!$A$166,$DL$205^A49,IF(A49='Données projet'!$A$166,'Données projet'!$B$166,DO48+DN49-DW48)))</f>
        <v>466.2600000000001</v>
      </c>
      <c r="DP49" s="17">
        <f>DO49*VLOOKUP('Données projet'!$B$14,Paramètres!$A$1:$I$89,3,0)*VLOOKUP('Données projet'!$B$14,Paramètres!$A$1:$I$89,5,0)</f>
        <v>278.82348000000007</v>
      </c>
      <c r="DQ49" s="13">
        <f t="shared" si="43"/>
        <v>66.718315486273781</v>
      </c>
      <c r="DR49" s="20">
        <f t="shared" si="16"/>
        <v>601.81862713859357</v>
      </c>
      <c r="DS49" s="59">
        <f t="shared" si="17"/>
        <v>895.15196047192694</v>
      </c>
      <c r="DT49" s="59">
        <f ca="1">AVERAGE(OFFSET($DS$3,0,0,'Données projet'!$E$14+1,1))-AVERAGE(OFFSET($H$3,0,0,'Données projet'!$E$14+1,1))</f>
        <v>402.28353929315114</v>
      </c>
      <c r="DU49" s="59">
        <f t="shared" si="44"/>
        <v>376.94419168335463</v>
      </c>
      <c r="DV49" s="15">
        <f>IF(ISNA(VLOOKUP(A49,'Données projet'!$A$165:$I$185,3,0)),0,VLOOKUP(A49,'Données projet'!$A$165:$I$185,3,0))</f>
        <v>9</v>
      </c>
      <c r="DW49" s="15">
        <f>IF(ISNA(VLOOKUP(A49,'Données projet'!$A$165:$I$185,4,0)),0,VLOOKUP(A49,'Données projet'!$A$165:$I$185,4,0))</f>
        <v>93</v>
      </c>
      <c r="DX49" s="16">
        <f>IF(ISNA(VLOOKUP(A49,'Données projet'!$A$165:$I$185,5,0)),0%,VLOOKUP(A49,'Données projet'!$A$165:$I$185,5,0)*VLOOKUP('Données projet'!$B$14,Paramètres!$A$1:$I$89,7,0))</f>
        <v>0.18000000000000002</v>
      </c>
      <c r="DY49" s="16">
        <f>IF(ISNA(VLOOKUP(A49,'Données projet'!$A$165:$I$185,6,0)),0%,VLOOKUP(A49,'Données projet'!$A$165:$I$185,6,0)*VLOOKUP('Données projet'!$B$14,Paramètres!$A$1:$I$89,7,0))</f>
        <v>0.15300000000000002</v>
      </c>
      <c r="DZ49" s="16">
        <f>IF(ISNA(VLOOKUP(A49,'Données projet'!$A$165:$I$185,7,0)),0%,VLOOKUP(A49,'Données projet'!$A$165:$I$185,7,0))</f>
        <v>0.26</v>
      </c>
      <c r="EA49" s="21">
        <f>EXP(-LN(2)/35)*EA48+(1-EXP(-LN(2)/35))/(LN(2)/35)*DW49*DX49*VLOOKUP('Données projet'!$B$14,Paramètres!$A$1:$I$89,3,0)*0.475*44/12</f>
        <v>23.770157634709971</v>
      </c>
      <c r="EB49" s="21">
        <f>EXP(-LN(2)/25)*EB48+(1-EXP(-LN(2)/25))/(LN(2)/25)*Calculateur!DW49*Calculateur!DY49*VLOOKUP('Données projet'!$B$14,Paramètres!$A$1:$I$89,3,0)*0.475*44/12</f>
        <v>32.337836459972969</v>
      </c>
      <c r="EC49" s="21">
        <f>EXP(-LN(2)/2)*EC48+(1-EXP(-LN(2)/2))/(LN(2)/2)*DW49*DZ49*VLOOKUP('Données projet'!$B$14,Paramètres!$A$1:$I$89,3,0)*0.475*44/12</f>
        <v>16.950264045373746</v>
      </c>
      <c r="ED49" s="22">
        <f t="shared" si="18"/>
        <v>73.05825814005668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14</v>
      </c>
      <c r="EJ49" s="12">
        <f>IF('Données projet'!$A$192&gt;35,EJ48+EI49-ER48,IF(A49&lt;'Données projet'!$A$192,$EG$205^A49,IF(A49='Données projet'!$A$192,'Données projet'!$B$192,EJ48+EI49-ER48)))</f>
        <v>334</v>
      </c>
      <c r="EK49" s="17">
        <f>EJ49*VLOOKUP('Données projet'!$B$15,Paramètres!$A$1:$I$89,3,0)*VLOOKUP('Données projet'!$B$15,Paramètres!$A$1:$I$89,5,0)</f>
        <v>156.31200000000001</v>
      </c>
      <c r="EL49" s="13">
        <f t="shared" si="45"/>
        <v>40.009551101892576</v>
      </c>
      <c r="EM49" s="20">
        <f t="shared" si="19"/>
        <v>341.92670150246295</v>
      </c>
      <c r="EN49" s="59">
        <f t="shared" si="20"/>
        <v>635.2600348357962</v>
      </c>
      <c r="EO49" s="59">
        <f ca="1">AVERAGE(OFFSET($EN$3,0,0,'Données projet'!$E$15+1,1))-AVERAGE(OFFSET($H$3,0,0,'Données projet'!$E$15+1,1))</f>
        <v>273.3012268683454</v>
      </c>
      <c r="EP49" s="59">
        <f t="shared" si="46"/>
        <v>254.08208375594052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7.0352982685937846</v>
      </c>
      <c r="EW49" s="21">
        <f>EXP(-LN(2)/25)*EW48+(1-EXP(-LN(2)/25))/(LN(2)/25)*Calculateur!ER49*Calculateur!ET49*VLOOKUP('Données projet'!$B$15,Paramètres!$A$1:$I$89,3,0)*0.475*44/12</f>
        <v>14.231633987113049</v>
      </c>
      <c r="EX49" s="21">
        <f>EXP(-LN(2)/2)*EX48+(1-EXP(-LN(2)/2))/(LN(2)/2)*ER49*EU49*VLOOKUP('Données projet'!$B$15,Paramètres!$A$1:$I$89,3,0)*0.475*44/12</f>
        <v>1.0640126479310485</v>
      </c>
      <c r="EY49" s="22">
        <f t="shared" si="21"/>
        <v>22.330944903637882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11</v>
      </c>
      <c r="N50" s="13">
        <f>IF('Données projet'!$A$36&gt;35,N49+M50-V49,IF(A50&lt;'Données projet'!$A$36,$K$205^A50,IF(A50='Données projet'!$A$36,'Données projet'!$B$36,N49+M50-V49)))</f>
        <v>198</v>
      </c>
      <c r="O50" s="13">
        <f>N50*VLOOKUP('Données projet'!$B$9,Paramètres!$A$1:$I$89,3,0)*VLOOKUP('Données projet'!$B$9,Paramètres!$A$1:$I$89,5,0)</f>
        <v>179.15039999999999</v>
      </c>
      <c r="P50" s="13">
        <f t="shared" si="33"/>
        <v>45.133113803437304</v>
      </c>
      <c r="Q50" s="20">
        <f t="shared" si="53"/>
        <v>390.62711987431993</v>
      </c>
      <c r="R50" s="59">
        <f t="shared" si="0"/>
        <v>683.96045320765325</v>
      </c>
      <c r="S50" s="59">
        <f ca="1">AVERAGE(OFFSET($R$3,0,0,'Données projet'!$E$9+1,1))-AVERAGE(OFFSET($H$3,0,0,'Données projet'!$E$9+1,1))</f>
        <v>453.52760163325451</v>
      </c>
      <c r="T50" s="59">
        <f t="shared" si="34"/>
        <v>344.23959526427001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4.4117855885534247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4.4117855885534247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</v>
      </c>
      <c r="AI50" s="13">
        <f>IF('Données projet'!$A$62&gt;35,AI49+AH50-AQ49,IF(A50&lt;'Données projet'!$A$62,$AF$205^A50,IF(A50='Données projet'!$A$62,'Données projet'!$B$62,AI49+AH50-AQ49)))</f>
        <v>184.00000000000003</v>
      </c>
      <c r="AJ50" s="13">
        <f>AI50*VLOOKUP('Données projet'!$B$10,Paramètres!$A$1:$I$89,3,0)*VLOOKUP('Données projet'!$B$10,Paramètres!$A$1:$I$89,5,0)</f>
        <v>157.87200000000004</v>
      </c>
      <c r="AK50" s="13">
        <f t="shared" si="35"/>
        <v>40.362165684361159</v>
      </c>
      <c r="AL50" s="20">
        <f t="shared" si="4"/>
        <v>345.25783856692902</v>
      </c>
      <c r="AM50" s="59">
        <f t="shared" si="5"/>
        <v>638.59117190026234</v>
      </c>
      <c r="AN50" s="59">
        <f ca="1">AVERAGE(OFFSET($AM$3,0,0,'Données projet'!$E$10+1,1))-AVERAGE(OFFSET($H$3,0,0,'Données projet'!$E$10+1,1))</f>
        <v>397.45670821030774</v>
      </c>
      <c r="AO50" s="59">
        <f t="shared" si="36"/>
        <v>256.77417912163997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5.1565176385858988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5.1565176385858988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10.375</v>
      </c>
      <c r="BD50" s="12">
        <f>IF('Données projet'!$A$88&gt;35,BD49+BC50-BL49,IF(A50&lt;'Données projet'!$A$88,$BA$205^A50,IF(A50='Données projet'!$A$88,'Données projet'!$B$88,BD49+BC50-BL49)))</f>
        <v>218.12499999999991</v>
      </c>
      <c r="BE50" s="13">
        <f>BD50*VLOOKUP('Données projet'!$B$11,Paramètres!$A$1:$I$89,3,0)*VLOOKUP('Données projet'!$B$11,Paramètres!$A$1:$I$89,5,0)</f>
        <v>170.13749999999993</v>
      </c>
      <c r="BF50" s="13">
        <f t="shared" si="37"/>
        <v>43.120817562072375</v>
      </c>
      <c r="BG50" s="20">
        <f t="shared" si="7"/>
        <v>371.42490308727588</v>
      </c>
      <c r="BH50" s="59">
        <f t="shared" si="8"/>
        <v>664.75823642060914</v>
      </c>
      <c r="BI50" s="59">
        <f ca="1">AVERAGE(OFFSET($BH$3,0,0,'Données projet'!$E$11+1,1))-AVERAGE(OFFSET($H$3,0,0,'Données projet'!$E$11+1,1))</f>
        <v>293.20194140252903</v>
      </c>
      <c r="BJ50" s="59">
        <f t="shared" si="38"/>
        <v>280.69048279989266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18.556731626430789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18.556731626430789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7.2</v>
      </c>
      <c r="BY50" s="12">
        <f>IF('Données projet'!$A$114&gt;35,BY49+BX50-CG49,IF(A50&lt;'Données projet'!$A$114,$BV$205^A50,IF(A50='Données projet'!$A$114,'Données projet'!$B$114,BY49+BX50-CG49)))</f>
        <v>197.39999999999992</v>
      </c>
      <c r="BZ50" s="13">
        <f>BY50*VLOOKUP('Données projet'!$B$12,Paramètres!$A$1:$I$89,3,0)*VLOOKUP('Données projet'!$B$12,Paramètres!$A$1:$I$89,5,0)</f>
        <v>157.05143999999996</v>
      </c>
      <c r="CA50" s="13">
        <f t="shared" si="39"/>
        <v>40.176741230099708</v>
      </c>
      <c r="CB50" s="20">
        <f t="shared" si="10"/>
        <v>343.50574897575689</v>
      </c>
      <c r="CC50" s="59">
        <f t="shared" si="11"/>
        <v>636.83908230909014</v>
      </c>
      <c r="CD50" s="59">
        <f ca="1">AVERAGE(OFFSET($CC$3,0,0,'Données projet'!$E$12+1,1))-AVERAGE(OFFSET($H$3,0,0,'Données projet'!$E$12+1,1))</f>
        <v>271.25628946149067</v>
      </c>
      <c r="CE50" s="59">
        <f t="shared" si="40"/>
        <v>292.57799203101769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21.584326709463333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21.584326709463333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11.2</v>
      </c>
      <c r="CT50" s="12">
        <f>IF('Données projet'!$A$140&gt;35,CT49+CS50-DB49,IF(A50&lt;'Données projet'!$A$140,$CQ$205^A50,IF(A50='Données projet'!$A$140,'Données projet'!$B$140,CT49+CS50-DB49)))</f>
        <v>281.40000000000009</v>
      </c>
      <c r="CU50" s="17">
        <f>CT50*VLOOKUP('Données projet'!$B$13,Paramètres!$A$1:$I$89,3,0)*VLOOKUP('Données projet'!$B$13,Paramètres!$A$1:$I$89,5,0)</f>
        <v>153.64440000000005</v>
      </c>
      <c r="CV50" s="13">
        <f t="shared" si="41"/>
        <v>39.405627951004689</v>
      </c>
      <c r="CW50" s="20">
        <f t="shared" si="13"/>
        <v>336.22879868133322</v>
      </c>
      <c r="CX50" s="59">
        <f t="shared" si="14"/>
        <v>629.56213201466653</v>
      </c>
      <c r="CY50" s="59">
        <f ca="1">AVERAGE(OFFSET($CX$3,0,0,'Données projet'!$E$13+1,1))-AVERAGE(OFFSET($H$3,0,0,'Données projet'!$E$13+1,1))</f>
        <v>210.03861149060413</v>
      </c>
      <c r="CZ50" s="59">
        <f t="shared" si="42"/>
        <v>298.74602928001929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29.997700879879613</v>
      </c>
      <c r="DG50" s="21">
        <f>EXP(-LN(2)/25)*DG49+(1-EXP(-LN(2)/25))/(LN(2)/25)*Calculateur!DB50*Calculateur!DD50*VLOOKUP('Données projet'!$B$13,Paramètres!$A$1:$I$89,3,0)*0.475*44/12</f>
        <v>28.213322724898315</v>
      </c>
      <c r="DH50" s="21">
        <f>EXP(-LN(2)/2)*DH49+(1-EXP(-LN(2)/2))/(LN(2)/2)*DB50*DE50*VLOOKUP('Données projet'!$B$13,Paramètres!$A$1:$I$89,3,0)*0.475*44/12</f>
        <v>2.9844781694909357</v>
      </c>
      <c r="DI50" s="22">
        <f t="shared" si="15"/>
        <v>61.195501774268863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17.617500000000007</v>
      </c>
      <c r="DO50" s="12">
        <f>IF('Données projet'!$A$166&gt;35,DO49+DN50-DW49,IF(A50&lt;'Données projet'!$A$166,$DL$205^A50,IF(A50='Données projet'!$A$166,'Données projet'!$B$166,DO49+DN50-DW49)))</f>
        <v>390.87750000000011</v>
      </c>
      <c r="DP50" s="17">
        <f>DO50*VLOOKUP('Données projet'!$B$14,Paramètres!$A$1:$I$89,3,0)*VLOOKUP('Données projet'!$B$14,Paramètres!$A$1:$I$89,5,0)</f>
        <v>233.74474500000008</v>
      </c>
      <c r="DQ50" s="13">
        <f t="shared" si="43"/>
        <v>57.091620301844813</v>
      </c>
      <c r="DR50" s="20">
        <f t="shared" si="16"/>
        <v>506.5400029007132</v>
      </c>
      <c r="DS50" s="59">
        <f t="shared" si="17"/>
        <v>799.87333623404652</v>
      </c>
      <c r="DT50" s="59">
        <f ca="1">AVERAGE(OFFSET($DS$3,0,0,'Données projet'!$E$14+1,1))-AVERAGE(OFFSET($H$3,0,0,'Données projet'!$E$14+1,1))</f>
        <v>402.28353929315114</v>
      </c>
      <c r="DU50" s="59">
        <f t="shared" si="44"/>
        <v>376.94419168335463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23.30403934185787</v>
      </c>
      <c r="EB50" s="21">
        <f>EXP(-LN(2)/25)*EB49+(1-EXP(-LN(2)/25))/(LN(2)/25)*Calculateur!DW50*Calculateur!DY50*VLOOKUP('Données projet'!$B$14,Paramètres!$A$1:$I$89,3,0)*0.475*44/12</f>
        <v>31.453556621402097</v>
      </c>
      <c r="EC50" s="21">
        <f>EXP(-LN(2)/2)*EC49+(1-EXP(-LN(2)/2))/(LN(2)/2)*DW50*DZ50*VLOOKUP('Données projet'!$B$14,Paramètres!$A$1:$I$89,3,0)*0.475*44/12</f>
        <v>11.985646649386299</v>
      </c>
      <c r="ED50" s="22">
        <f t="shared" si="18"/>
        <v>66.74324261264627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14</v>
      </c>
      <c r="EJ50" s="12">
        <f>IF('Données projet'!$A$192&gt;35,EJ49+EI50-ER49,IF(A50&lt;'Données projet'!$A$192,$EG$205^A50,IF(A50='Données projet'!$A$192,'Données projet'!$B$192,EJ49+EI50-ER49)))</f>
        <v>348</v>
      </c>
      <c r="EK50" s="17">
        <f>EJ50*VLOOKUP('Données projet'!$B$15,Paramètres!$A$1:$I$89,3,0)*VLOOKUP('Données projet'!$B$15,Paramètres!$A$1:$I$89,5,0)</f>
        <v>162.864</v>
      </c>
      <c r="EL50" s="13">
        <f t="shared" si="45"/>
        <v>41.487830069509123</v>
      </c>
      <c r="EM50" s="20">
        <f t="shared" si="19"/>
        <v>355.91277070439509</v>
      </c>
      <c r="EN50" s="59">
        <f t="shared" si="20"/>
        <v>649.2461040377284</v>
      </c>
      <c r="EO50" s="59">
        <f ca="1">AVERAGE(OFFSET($EN$3,0,0,'Données projet'!$E$15+1,1))-AVERAGE(OFFSET($H$3,0,0,'Données projet'!$E$15+1,1))</f>
        <v>273.3012268683454</v>
      </c>
      <c r="EP50" s="59">
        <f t="shared" si="46"/>
        <v>254.08208375594052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6.8973403606548924</v>
      </c>
      <c r="EW50" s="21">
        <f>EXP(-LN(2)/25)*EW49+(1-EXP(-LN(2)/25))/(LN(2)/25)*Calculateur!ER50*Calculateur!ET50*VLOOKUP('Données projet'!$B$15,Paramètres!$A$1:$I$89,3,0)*0.475*44/12</f>
        <v>13.842469207326339</v>
      </c>
      <c r="EX50" s="21">
        <f>EXP(-LN(2)/2)*EX49+(1-EXP(-LN(2)/2))/(LN(2)/2)*ER50*EU50*VLOOKUP('Données projet'!$B$15,Paramètres!$A$1:$I$89,3,0)*0.475*44/12</f>
        <v>0.752370558620299</v>
      </c>
      <c r="EY50" s="22">
        <f t="shared" si="21"/>
        <v>21.492180126601532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11</v>
      </c>
      <c r="N51" s="13">
        <f>IF('Données projet'!$A$36&gt;35,N50+M51-V50,IF(A51&lt;'Données projet'!$A$36,$K$205^A51,IF(A51='Données projet'!$A$36,'Données projet'!$B$36,N50+M51-V50)))</f>
        <v>209</v>
      </c>
      <c r="O51" s="13">
        <f>N51*VLOOKUP('Données projet'!$B$9,Paramètres!$A$1:$I$89,3,0)*VLOOKUP('Données projet'!$B$9,Paramètres!$A$1:$I$89,5,0)</f>
        <v>189.10319999999999</v>
      </c>
      <c r="P51" s="13">
        <f t="shared" si="33"/>
        <v>47.34162854278712</v>
      </c>
      <c r="Q51" s="20">
        <f t="shared" si="53"/>
        <v>411.80807637868747</v>
      </c>
      <c r="R51" s="59">
        <f t="shared" si="0"/>
        <v>705.14140971202073</v>
      </c>
      <c r="S51" s="59">
        <f ca="1">AVERAGE(OFFSET($R$3,0,0,'Données projet'!$E$9+1,1))-AVERAGE(OFFSET($H$3,0,0,'Données projet'!$E$9+1,1))</f>
        <v>453.52760163325451</v>
      </c>
      <c r="T51" s="59">
        <f t="shared" si="34"/>
        <v>344.23959526427001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4.3252731640853943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4.3252731640853943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</v>
      </c>
      <c r="AI51" s="13">
        <f>IF('Données projet'!$A$62&gt;35,AI50+AH51-AQ50,IF(A51&lt;'Données projet'!$A$62,$AF$205^A51,IF(A51='Données projet'!$A$62,'Données projet'!$B$62,AI50+AH51-AQ50)))</f>
        <v>195.00000000000003</v>
      </c>
      <c r="AJ51" s="13">
        <f>AI51*VLOOKUP('Données projet'!$B$10,Paramètres!$A$1:$I$89,3,0)*VLOOKUP('Données projet'!$B$10,Paramètres!$A$1:$I$89,5,0)</f>
        <v>167.31000000000006</v>
      </c>
      <c r="AK51" s="13">
        <f t="shared" si="35"/>
        <v>42.486994942347515</v>
      </c>
      <c r="AL51" s="20">
        <f t="shared" si="4"/>
        <v>365.39643285792204</v>
      </c>
      <c r="AM51" s="59">
        <f t="shared" si="5"/>
        <v>658.72976619125529</v>
      </c>
      <c r="AN51" s="59">
        <f ca="1">AVERAGE(OFFSET($AM$3,0,0,'Données projet'!$E$10+1,1))-AVERAGE(OFFSET($H$3,0,0,'Données projet'!$E$10+1,1))</f>
        <v>397.45670821030774</v>
      </c>
      <c r="AO51" s="59">
        <f t="shared" si="36"/>
        <v>256.77417912163997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5.0554014728584296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5.0554014728584296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10.375</v>
      </c>
      <c r="BD51" s="12">
        <f>IF('Données projet'!$A$88&gt;35,BD50+BC51-BL50,IF(A51&lt;'Données projet'!$A$88,$BA$205^A51,IF(A51='Données projet'!$A$88,'Données projet'!$B$88,BD50+BC51-BL50)))</f>
        <v>228.49999999999991</v>
      </c>
      <c r="BE51" s="13">
        <f>BD51*VLOOKUP('Données projet'!$B$11,Paramètres!$A$1:$I$89,3,0)*VLOOKUP('Données projet'!$B$11,Paramètres!$A$1:$I$89,5,0)</f>
        <v>178.22999999999993</v>
      </c>
      <c r="BF51" s="13">
        <f t="shared" si="37"/>
        <v>44.928167580487852</v>
      </c>
      <c r="BG51" s="20">
        <f t="shared" si="7"/>
        <v>388.66714186934951</v>
      </c>
      <c r="BH51" s="59">
        <f t="shared" si="8"/>
        <v>682.00047520268276</v>
      </c>
      <c r="BI51" s="59">
        <f ca="1">AVERAGE(OFFSET($BH$3,0,0,'Données projet'!$E$11+1,1))-AVERAGE(OFFSET($H$3,0,0,'Données projet'!$E$11+1,1))</f>
        <v>293.20194140252903</v>
      </c>
      <c r="BJ51" s="59">
        <f t="shared" si="38"/>
        <v>280.69048279989266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18.192845437725165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18.192845437725165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7.2</v>
      </c>
      <c r="BY51" s="12">
        <f>IF('Données projet'!$A$114&gt;35,BY50+BX51-CG50,IF(A51&lt;'Données projet'!$A$114,$BV$205^A51,IF(A51='Données projet'!$A$114,'Données projet'!$B$114,BY50+BX51-CG50)))</f>
        <v>204.59999999999991</v>
      </c>
      <c r="BZ51" s="13">
        <f>BY51*VLOOKUP('Données projet'!$B$12,Paramètres!$A$1:$I$89,3,0)*VLOOKUP('Données projet'!$B$12,Paramètres!$A$1:$I$89,5,0)</f>
        <v>162.77975999999995</v>
      </c>
      <c r="CA51" s="13">
        <f t="shared" si="39"/>
        <v>41.468868129640057</v>
      </c>
      <c r="CB51" s="20">
        <f t="shared" si="10"/>
        <v>355.73302732578964</v>
      </c>
      <c r="CC51" s="59">
        <f t="shared" si="11"/>
        <v>649.06636065912289</v>
      </c>
      <c r="CD51" s="59">
        <f ca="1">AVERAGE(OFFSET($CC$3,0,0,'Données projet'!$E$12+1,1))-AVERAGE(OFFSET($H$3,0,0,'Données projet'!$E$12+1,1))</f>
        <v>271.25628946149067</v>
      </c>
      <c r="CE51" s="59">
        <f t="shared" si="40"/>
        <v>292.57799203101769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21.161071227830099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21.161071227830099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11.2</v>
      </c>
      <c r="CT51" s="12">
        <f>IF('Données projet'!$A$140&gt;35,CT50+CS51-DB50,IF(A51&lt;'Données projet'!$A$140,$CQ$205^A51,IF(A51='Données projet'!$A$140,'Données projet'!$B$140,CT50+CS51-DB50)))</f>
        <v>292.60000000000008</v>
      </c>
      <c r="CU51" s="17">
        <f>CT51*VLOOKUP('Données projet'!$B$13,Paramètres!$A$1:$I$89,3,0)*VLOOKUP('Données projet'!$B$13,Paramètres!$A$1:$I$89,5,0)</f>
        <v>159.75960000000003</v>
      </c>
      <c r="CV51" s="13">
        <f t="shared" si="41"/>
        <v>40.788287771458215</v>
      </c>
      <c r="CW51" s="20">
        <f t="shared" si="13"/>
        <v>349.28757120195638</v>
      </c>
      <c r="CX51" s="59">
        <f t="shared" si="14"/>
        <v>642.6209045352897</v>
      </c>
      <c r="CY51" s="59">
        <f ca="1">AVERAGE(OFFSET($CX$3,0,0,'Données projet'!$E$13+1,1))-AVERAGE(OFFSET($H$3,0,0,'Données projet'!$E$13+1,1))</f>
        <v>210.03861149060413</v>
      </c>
      <c r="CZ51" s="59">
        <f t="shared" si="42"/>
        <v>298.74602928001929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29.409464262416051</v>
      </c>
      <c r="DG51" s="21">
        <f>EXP(-LN(2)/25)*DG50+(1-EXP(-LN(2)/25))/(LN(2)/25)*Calculateur!DB51*Calculateur!DD51*VLOOKUP('Données projet'!$B$13,Paramètres!$A$1:$I$89,3,0)*0.475*44/12</f>
        <v>27.44182793131181</v>
      </c>
      <c r="DH51" s="21">
        <f>EXP(-LN(2)/2)*DH50+(1-EXP(-LN(2)/2))/(LN(2)/2)*DB51*DE51*VLOOKUP('Données projet'!$B$13,Paramètres!$A$1:$I$89,3,0)*0.475*44/12</f>
        <v>2.1103447519502549</v>
      </c>
      <c r="DI51" s="22">
        <f t="shared" si="15"/>
        <v>58.961636945678116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17.617500000000007</v>
      </c>
      <c r="DO51" s="12">
        <f>IF('Données projet'!$A$166&gt;35,DO50+DN51-DW50,IF(A51&lt;'Données projet'!$A$166,$DL$205^A51,IF(A51='Données projet'!$A$166,'Données projet'!$B$166,DO50+DN51-DW50)))</f>
        <v>408.49500000000012</v>
      </c>
      <c r="DP51" s="17">
        <f>DO51*VLOOKUP('Données projet'!$B$14,Paramètres!$A$1:$I$89,3,0)*VLOOKUP('Données projet'!$B$14,Paramètres!$A$1:$I$89,5,0)</f>
        <v>244.28001000000009</v>
      </c>
      <c r="DQ51" s="13">
        <f t="shared" si="43"/>
        <v>59.359445998964169</v>
      </c>
      <c r="DR51" s="20">
        <f t="shared" si="16"/>
        <v>528.83871919819615</v>
      </c>
      <c r="DS51" s="59">
        <f t="shared" si="17"/>
        <v>822.17205253152952</v>
      </c>
      <c r="DT51" s="59">
        <f ca="1">AVERAGE(OFFSET($DS$3,0,0,'Données projet'!$E$14+1,1))-AVERAGE(OFFSET($H$3,0,0,'Données projet'!$E$14+1,1))</f>
        <v>402.28353929315114</v>
      </c>
      <c r="DU51" s="59">
        <f t="shared" si="44"/>
        <v>376.94419168335463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22.847061344424514</v>
      </c>
      <c r="EB51" s="21">
        <f>EXP(-LN(2)/25)*EB50+(1-EXP(-LN(2)/25))/(LN(2)/25)*Calculateur!DW51*Calculateur!DY51*VLOOKUP('Données projet'!$B$14,Paramètres!$A$1:$I$89,3,0)*0.475*44/12</f>
        <v>30.593457461519201</v>
      </c>
      <c r="EC51" s="21">
        <f>EXP(-LN(2)/2)*EC50+(1-EXP(-LN(2)/2))/(LN(2)/2)*DW51*DZ51*VLOOKUP('Données projet'!$B$14,Paramètres!$A$1:$I$89,3,0)*0.475*44/12</f>
        <v>8.4751320226868749</v>
      </c>
      <c r="ED51" s="22">
        <f t="shared" si="18"/>
        <v>61.915650828630589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14</v>
      </c>
      <c r="EJ51" s="12">
        <f>IF('Données projet'!$A$192&gt;35,EJ50+EI51-ER50,IF(A51&lt;'Données projet'!$A$192,$EG$205^A51,IF(A51='Données projet'!$A$192,'Données projet'!$B$192,EJ50+EI51-ER50)))</f>
        <v>362</v>
      </c>
      <c r="EK51" s="17">
        <f>EJ51*VLOOKUP('Données projet'!$B$15,Paramètres!$A$1:$I$89,3,0)*VLOOKUP('Données projet'!$B$15,Paramètres!$A$1:$I$89,5,0)</f>
        <v>169.416</v>
      </c>
      <c r="EL51" s="13">
        <f t="shared" si="45"/>
        <v>42.959200828261054</v>
      </c>
      <c r="EM51" s="20">
        <f t="shared" si="19"/>
        <v>369.88680810922136</v>
      </c>
      <c r="EN51" s="59">
        <f t="shared" si="20"/>
        <v>663.22014144255468</v>
      </c>
      <c r="EO51" s="59">
        <f ca="1">AVERAGE(OFFSET($EN$3,0,0,'Données projet'!$E$15+1,1))-AVERAGE(OFFSET($H$3,0,0,'Données projet'!$E$15+1,1))</f>
        <v>273.3012268683454</v>
      </c>
      <c r="EP51" s="59">
        <f t="shared" si="46"/>
        <v>254.08208375594052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6.762087723144667</v>
      </c>
      <c r="EW51" s="21">
        <f>EXP(-LN(2)/25)*EW50+(1-EXP(-LN(2)/25))/(LN(2)/25)*Calculateur!ER51*Calculateur!ET51*VLOOKUP('Données projet'!$B$15,Paramètres!$A$1:$I$89,3,0)*0.475*44/12</f>
        <v>13.463946158908183</v>
      </c>
      <c r="EX51" s="21">
        <f>EXP(-LN(2)/2)*EX50+(1-EXP(-LN(2)/2))/(LN(2)/2)*ER51*EU51*VLOOKUP('Données projet'!$B$15,Paramètres!$A$1:$I$89,3,0)*0.475*44/12</f>
        <v>0.53200632396552427</v>
      </c>
      <c r="EY51" s="22">
        <f t="shared" si="21"/>
        <v>20.758040206018375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</v>
      </c>
      <c r="N52" s="13">
        <f>IF('Données projet'!$A$36&gt;35,N51+M52-V51,IF(A52&lt;'Données projet'!$A$36,$K$205^A52,IF(A52='Données projet'!$A$36,'Données projet'!$B$36,N51+M52-V51)))</f>
        <v>220</v>
      </c>
      <c r="O52" s="13">
        <f>N52*VLOOKUP('Données projet'!$B$9,Paramètres!$A$1:$I$89,3,0)*VLOOKUP('Données projet'!$B$9,Paramètres!$A$1:$I$89,5,0)</f>
        <v>199.05600000000001</v>
      </c>
      <c r="P52" s="13">
        <f t="shared" si="33"/>
        <v>49.536648006253934</v>
      </c>
      <c r="Q52" s="20">
        <f t="shared" si="53"/>
        <v>432.96552861089231</v>
      </c>
      <c r="R52" s="59">
        <f t="shared" si="0"/>
        <v>726.29886194422556</v>
      </c>
      <c r="S52" s="59">
        <f ca="1">AVERAGE(OFFSET($R$3,0,0,'Données projet'!$E$9+1,1))-AVERAGE(OFFSET($H$3,0,0,'Données projet'!$E$9+1,1))</f>
        <v>453.52760163325451</v>
      </c>
      <c r="T52" s="59">
        <f t="shared" si="34"/>
        <v>344.23959526427001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4.2404571954938133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4.2404571954938133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</v>
      </c>
      <c r="AI52" s="13">
        <f>IF('Données projet'!$A$62&gt;35,AI51+AH52-AQ51,IF(A52&lt;'Données projet'!$A$62,$AF$205^A52,IF(A52='Données projet'!$A$62,'Données projet'!$B$62,AI51+AH52-AQ51)))</f>
        <v>206.00000000000003</v>
      </c>
      <c r="AJ52" s="13">
        <f>AI52*VLOOKUP('Données projet'!$B$10,Paramètres!$A$1:$I$89,3,0)*VLOOKUP('Données projet'!$B$10,Paramètres!$A$1:$I$89,5,0)</f>
        <v>176.74800000000005</v>
      </c>
      <c r="AK52" s="13">
        <f t="shared" si="35"/>
        <v>44.597910160550732</v>
      </c>
      <c r="AL52" s="20">
        <f t="shared" si="4"/>
        <v>385.51079352962591</v>
      </c>
      <c r="AM52" s="59">
        <f t="shared" si="5"/>
        <v>678.84412686295923</v>
      </c>
      <c r="AN52" s="59">
        <f ca="1">AVERAGE(OFFSET($AM$3,0,0,'Données projet'!$E$10+1,1))-AVERAGE(OFFSET($H$3,0,0,'Données projet'!$E$10+1,1))</f>
        <v>397.45670821030774</v>
      </c>
      <c r="AO52" s="59">
        <f t="shared" si="36"/>
        <v>256.77417912163997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4.9562681334661045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4.9562681334661045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10.375</v>
      </c>
      <c r="BD52" s="12">
        <f>IF('Données projet'!$A$88&gt;35,BD51+BC52-BL51,IF(A52&lt;'Données projet'!$A$88,$BA$205^A52,IF(A52='Données projet'!$A$88,'Données projet'!$B$88,BD51+BC52-BL51)))</f>
        <v>238.87499999999991</v>
      </c>
      <c r="BE52" s="13">
        <f>BD52*VLOOKUP('Données projet'!$B$11,Paramètres!$A$1:$I$89,3,0)*VLOOKUP('Données projet'!$B$11,Paramètres!$A$1:$I$89,5,0)</f>
        <v>186.32249999999993</v>
      </c>
      <c r="BF52" s="13">
        <f t="shared" si="37"/>
        <v>46.725987276254116</v>
      </c>
      <c r="BG52" s="20">
        <f t="shared" si="7"/>
        <v>405.8927820061424</v>
      </c>
      <c r="BH52" s="59">
        <f t="shared" si="8"/>
        <v>699.22611533947565</v>
      </c>
      <c r="BI52" s="59">
        <f ca="1">AVERAGE(OFFSET($BH$3,0,0,'Données projet'!$E$11+1,1))-AVERAGE(OFFSET($H$3,0,0,'Données projet'!$E$11+1,1))</f>
        <v>293.20194140252903</v>
      </c>
      <c r="BJ52" s="59">
        <f t="shared" si="38"/>
        <v>280.69048279989266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17.8360948352314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17.8360948352314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7.2</v>
      </c>
      <c r="BY52" s="12">
        <f>IF('Données projet'!$A$114&gt;35,BY51+BX52-CG51,IF(A52&lt;'Données projet'!$A$114,$BV$205^A52,IF(A52='Données projet'!$A$114,'Données projet'!$B$114,BY51+BX52-CG51)))</f>
        <v>211.7999999999999</v>
      </c>
      <c r="BZ52" s="13">
        <f>BY52*VLOOKUP('Données projet'!$B$12,Paramètres!$A$1:$I$89,3,0)*VLOOKUP('Données projet'!$B$12,Paramètres!$A$1:$I$89,5,0)</f>
        <v>168.50807999999992</v>
      </c>
      <c r="CA52" s="13">
        <f t="shared" si="39"/>
        <v>42.755711908378117</v>
      </c>
      <c r="CB52" s="20">
        <f t="shared" si="10"/>
        <v>367.95110424042508</v>
      </c>
      <c r="CC52" s="59">
        <f t="shared" si="11"/>
        <v>661.2844375737584</v>
      </c>
      <c r="CD52" s="59">
        <f ca="1">AVERAGE(OFFSET($CC$3,0,0,'Données projet'!$E$12+1,1))-AVERAGE(OFFSET($H$3,0,0,'Données projet'!$E$12+1,1))</f>
        <v>271.25628946149067</v>
      </c>
      <c r="CE52" s="59">
        <f t="shared" si="40"/>
        <v>292.57799203101769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20.746115528031343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20.746115528031343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11.2</v>
      </c>
      <c r="CT52" s="12">
        <f>IF('Données projet'!$A$140&gt;35,CT51+CS52-DB51,IF(A52&lt;'Données projet'!$A$140,$CQ$205^A52,IF(A52='Données projet'!$A$140,'Données projet'!$B$140,CT51+CS52-DB51)))</f>
        <v>303.80000000000007</v>
      </c>
      <c r="CU52" s="17">
        <f>CT52*VLOOKUP('Données projet'!$B$13,Paramètres!$A$1:$I$89,3,0)*VLOOKUP('Données projet'!$B$13,Paramètres!$A$1:$I$89,5,0)</f>
        <v>165.87480000000002</v>
      </c>
      <c r="CV52" s="13">
        <f t="shared" si="41"/>
        <v>42.164799265555217</v>
      </c>
      <c r="CW52" s="20">
        <f t="shared" si="13"/>
        <v>362.33563538750872</v>
      </c>
      <c r="CX52" s="59">
        <f t="shared" si="14"/>
        <v>655.66896872084203</v>
      </c>
      <c r="CY52" s="59">
        <f ca="1">AVERAGE(OFFSET($CX$3,0,0,'Données projet'!$E$13+1,1))-AVERAGE(OFFSET($H$3,0,0,'Données projet'!$E$13+1,1))</f>
        <v>210.03861149060413</v>
      </c>
      <c r="CZ52" s="59">
        <f t="shared" si="42"/>
        <v>298.74602928001929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28.832762606232041</v>
      </c>
      <c r="DG52" s="21">
        <f>EXP(-LN(2)/25)*DG51+(1-EXP(-LN(2)/25))/(LN(2)/25)*Calculateur!DB52*Calculateur!DD52*VLOOKUP('Données projet'!$B$13,Paramètres!$A$1:$I$89,3,0)*0.475*44/12</f>
        <v>26.691429703427076</v>
      </c>
      <c r="DH52" s="21">
        <f>EXP(-LN(2)/2)*DH51+(1-EXP(-LN(2)/2))/(LN(2)/2)*DB52*DE52*VLOOKUP('Données projet'!$B$13,Paramètres!$A$1:$I$89,3,0)*0.475*44/12</f>
        <v>1.4922390847454678</v>
      </c>
      <c r="DI52" s="22">
        <f t="shared" si="15"/>
        <v>57.016431394404584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17.617500000000007</v>
      </c>
      <c r="DO52" s="12">
        <f>IF('Données projet'!$A$166&gt;35,DO51+DN52-DW51,IF(A52&lt;'Données projet'!$A$166,$DL$205^A52,IF(A52='Données projet'!$A$166,'Données projet'!$B$166,DO51+DN52-DW51)))</f>
        <v>426.11250000000013</v>
      </c>
      <c r="DP52" s="17">
        <f>DO52*VLOOKUP('Données projet'!$B$14,Paramètres!$A$1:$I$89,3,0)*VLOOKUP('Données projet'!$B$14,Paramètres!$A$1:$I$89,5,0)</f>
        <v>254.8152750000001</v>
      </c>
      <c r="DQ52" s="13">
        <f t="shared" si="43"/>
        <v>61.61591184221087</v>
      </c>
      <c r="DR52" s="20">
        <f t="shared" si="16"/>
        <v>551.11765041685078</v>
      </c>
      <c r="DS52" s="59">
        <f t="shared" si="17"/>
        <v>844.45098375018415</v>
      </c>
      <c r="DT52" s="59">
        <f ca="1">AVERAGE(OFFSET($DS$3,0,0,'Données projet'!$E$14+1,1))-AVERAGE(OFFSET($H$3,0,0,'Données projet'!$E$14+1,1))</f>
        <v>402.28353929315114</v>
      </c>
      <c r="DU52" s="59">
        <f t="shared" si="44"/>
        <v>376.94419168335463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22.39904440679177</v>
      </c>
      <c r="EB52" s="21">
        <f>EXP(-LN(2)/25)*EB51+(1-EXP(-LN(2)/25))/(LN(2)/25)*Calculateur!DW52*Calculateur!DY52*VLOOKUP('Données projet'!$B$14,Paramètres!$A$1:$I$89,3,0)*0.475*44/12</f>
        <v>29.756877758393951</v>
      </c>
      <c r="EC52" s="21">
        <f>EXP(-LN(2)/2)*EC51+(1-EXP(-LN(2)/2))/(LN(2)/2)*DW52*DZ52*VLOOKUP('Données projet'!$B$14,Paramètres!$A$1:$I$89,3,0)*0.475*44/12</f>
        <v>5.9928233246931502</v>
      </c>
      <c r="ED52" s="22">
        <f t="shared" si="18"/>
        <v>58.14874548987887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14</v>
      </c>
      <c r="EJ52" s="12">
        <f>IF('Données projet'!$A$192&gt;35,EJ51+EI52-ER51,IF(A52&lt;'Données projet'!$A$192,$EG$205^A52,IF(A52='Données projet'!$A$192,'Données projet'!$B$192,EJ51+EI52-ER51)))</f>
        <v>376</v>
      </c>
      <c r="EK52" s="17">
        <f>EJ52*VLOOKUP('Données projet'!$B$15,Paramètres!$A$1:$I$89,3,0)*VLOOKUP('Données projet'!$B$15,Paramètres!$A$1:$I$89,5,0)</f>
        <v>175.96799999999999</v>
      </c>
      <c r="EL52" s="13">
        <f t="shared" si="45"/>
        <v>44.423961125650585</v>
      </c>
      <c r="EM52" s="20">
        <f t="shared" si="19"/>
        <v>383.84933229384137</v>
      </c>
      <c r="EN52" s="59">
        <f t="shared" si="20"/>
        <v>677.18266562717463</v>
      </c>
      <c r="EO52" s="59">
        <f ca="1">AVERAGE(OFFSET($EN$3,0,0,'Données projet'!$E$15+1,1))-AVERAGE(OFFSET($H$3,0,0,'Données projet'!$E$15+1,1))</f>
        <v>273.3012268683454</v>
      </c>
      <c r="EP52" s="59">
        <f t="shared" si="46"/>
        <v>254.08208375594052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6.629487307360054</v>
      </c>
      <c r="EW52" s="21">
        <f>EXP(-LN(2)/25)*EW51+(1-EXP(-LN(2)/25))/(LN(2)/25)*Calculateur!ER52*Calculateur!ET52*VLOOKUP('Données projet'!$B$15,Paramètres!$A$1:$I$89,3,0)*0.475*44/12</f>
        <v>13.095773843154682</v>
      </c>
      <c r="EX52" s="21">
        <f>EXP(-LN(2)/2)*EX51+(1-EXP(-LN(2)/2))/(LN(2)/2)*ER52*EU52*VLOOKUP('Données projet'!$B$15,Paramètres!$A$1:$I$89,3,0)*0.475*44/12</f>
        <v>0.3761852793101495</v>
      </c>
      <c r="EY52" s="22">
        <f t="shared" si="21"/>
        <v>20.101446429824886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231</v>
      </c>
      <c r="L53" s="12">
        <f>VLOOKUP(A53,'Données projet'!$A$35:$I$55,9,0)</f>
        <v>11</v>
      </c>
      <c r="M53" s="12">
        <f t="array" ref="M53">INDEX(L:L,MIN(IF(ISNUMBER(L53:L249),ROW(L53:L249),"")))</f>
        <v>11</v>
      </c>
      <c r="N53" s="13">
        <f>IF('Données projet'!$A$36&gt;35,N52+M53-V52,IF(A53&lt;'Données projet'!$A$36,$K$205^A53,IF(A53='Données projet'!$A$36,'Données projet'!$B$36,N52+M53-V52)))</f>
        <v>231</v>
      </c>
      <c r="O53" s="13">
        <f>N53*VLOOKUP('Données projet'!$B$9,Paramètres!$A$1:$I$89,3,0)*VLOOKUP('Données projet'!$B$9,Paramètres!$A$1:$I$89,5,0)</f>
        <v>209.00879999999998</v>
      </c>
      <c r="P53" s="13">
        <f t="shared" si="33"/>
        <v>51.718923953824202</v>
      </c>
      <c r="Q53" s="20">
        <f t="shared" si="53"/>
        <v>454.10078588624373</v>
      </c>
      <c r="R53" s="59">
        <f t="shared" si="0"/>
        <v>747.43411921957704</v>
      </c>
      <c r="S53" s="59">
        <f ca="1">AVERAGE(OFFSET($R$3,0,0,'Données projet'!$E$9+1,1))-AVERAGE(OFFSET($H$3,0,0,'Données projet'!$E$9+1,1))</f>
        <v>453.52760163325451</v>
      </c>
      <c r="T53" s="59">
        <f t="shared" si="34"/>
        <v>344.23959526427001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28</v>
      </c>
      <c r="W53" s="16">
        <f>IF(ISNA(VLOOKUP(A53,'Données projet'!$A$35:$I$55,5,0)),0%,VLOOKUP(A53,'Données projet'!$A$35:$I$55,5,0)*VLOOKUP('Données projet'!$B$9,Paramètres!$A$1:$I$89,7,0))</f>
        <v>0.129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7.7701337293515849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7.7701337293515849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217</v>
      </c>
      <c r="AG53" s="12">
        <f>VLOOKUP(A53,'Données projet'!$A$61:$I$81,9,0)</f>
        <v>11</v>
      </c>
      <c r="AH53" s="12">
        <f t="array" ref="AH53">INDEX(AG:AG,MIN(IF(ISNUMBER(AG53:AG249),ROW(AG53:AG249),"")))</f>
        <v>11</v>
      </c>
      <c r="AI53" s="13">
        <f>IF('Données projet'!$A$62&gt;35,AI52+AH53-AQ52,IF(A53&lt;'Données projet'!$A$62,$AF$205^A53,IF(A53='Données projet'!$A$62,'Données projet'!$B$62,AI52+AH53-AQ52)))</f>
        <v>217.00000000000003</v>
      </c>
      <c r="AJ53" s="13">
        <f>AI53*VLOOKUP('Données projet'!$B$10,Paramètres!$A$1:$I$89,3,0)*VLOOKUP('Données projet'!$B$10,Paramètres!$A$1:$I$89,5,0)</f>
        <v>186.18600000000004</v>
      </c>
      <c r="AK53" s="13">
        <f t="shared" si="35"/>
        <v>46.69573903947046</v>
      </c>
      <c r="AL53" s="20">
        <f t="shared" si="4"/>
        <v>405.60236216041108</v>
      </c>
      <c r="AM53" s="59">
        <f t="shared" si="5"/>
        <v>698.93569549374433</v>
      </c>
      <c r="AN53" s="59">
        <f ca="1">AVERAGE(OFFSET($AM$3,0,0,'Données projet'!$E$10+1,1))-AVERAGE(OFFSET($H$3,0,0,'Données projet'!$E$10+1,1))</f>
        <v>397.45670821030774</v>
      </c>
      <c r="AO53" s="59">
        <f t="shared" si="36"/>
        <v>256.77417912163997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28</v>
      </c>
      <c r="AR53" s="16">
        <f>IF(ISNA(VLOOKUP(A53,'Données projet'!$A$61:$I$81,5,0)),0%,VLOOKUP(A53,'Données projet'!$A$61:$I$81,5,0)*VLOOKUP('Données projet'!$B$10,Paramètres!$A$1:$I$89,7,0))</f>
        <v>0.159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9.0817721816599324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9.0817721816599324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10.375</v>
      </c>
      <c r="BD53" s="12">
        <f>IF('Données projet'!$A$88&gt;35,BD52+BC53-BL52,IF(A53&lt;'Données projet'!$A$88,$BA$205^A53,IF(A53='Données projet'!$A$88,'Données projet'!$B$88,BD52+BC53-BL52)))</f>
        <v>249.24999999999991</v>
      </c>
      <c r="BE53" s="13">
        <f>BD53*VLOOKUP('Données projet'!$B$11,Paramètres!$A$1:$I$89,3,0)*VLOOKUP('Données projet'!$B$11,Paramètres!$A$1:$I$89,5,0)</f>
        <v>194.41499999999994</v>
      </c>
      <c r="BF53" s="13">
        <f t="shared" si="37"/>
        <v>48.514737888684927</v>
      </c>
      <c r="BG53" s="20">
        <f t="shared" si="7"/>
        <v>423.10262682279273</v>
      </c>
      <c r="BH53" s="59">
        <f t="shared" si="8"/>
        <v>716.43596015612604</v>
      </c>
      <c r="BI53" s="59">
        <f ca="1">AVERAGE(OFFSET($BH$3,0,0,'Données projet'!$E$11+1,1))-AVERAGE(OFFSET($H$3,0,0,'Données projet'!$E$11+1,1))</f>
        <v>293.20194140252903</v>
      </c>
      <c r="BJ53" s="59">
        <f t="shared" si="38"/>
        <v>280.69048279989266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17.486339894456155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17.486339894456155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219</v>
      </c>
      <c r="BW53" s="12">
        <f>VLOOKUP(A53,'Données projet'!$A$113:$I$133,9,0)</f>
        <v>7.2</v>
      </c>
      <c r="BX53" s="12">
        <f t="array" ref="BX53">INDEX(BW:BW,MIN(IF(ISNUMBER(BW53:BW249),ROW(BW53:BW249),"")))</f>
        <v>7.2</v>
      </c>
      <c r="BY53" s="12">
        <f>IF('Données projet'!$A$114&gt;35,BY52+BX53-CG52,IF(A53&lt;'Données projet'!$A$114,$BV$205^A53,IF(A53='Données projet'!$A$114,'Données projet'!$B$114,BY52+BX53-CG52)))</f>
        <v>218.99999999999989</v>
      </c>
      <c r="BZ53" s="13">
        <f>BY53*VLOOKUP('Données projet'!$B$12,Paramètres!$A$1:$I$89,3,0)*VLOOKUP('Données projet'!$B$12,Paramètres!$A$1:$I$89,5,0)</f>
        <v>174.23639999999992</v>
      </c>
      <c r="CA53" s="13">
        <f t="shared" si="39"/>
        <v>44.03747274965864</v>
      </c>
      <c r="CB53" s="20">
        <f t="shared" si="10"/>
        <v>380.160328372322</v>
      </c>
      <c r="CC53" s="59">
        <f t="shared" si="11"/>
        <v>673.49366170565531</v>
      </c>
      <c r="CD53" s="59">
        <f ca="1">AVERAGE(OFFSET($CC$3,0,0,'Données projet'!$E$12+1,1))-AVERAGE(OFFSET($H$3,0,0,'Données projet'!$E$12+1,1))</f>
        <v>271.25628946149067</v>
      </c>
      <c r="CE53" s="59">
        <f t="shared" si="40"/>
        <v>292.57799203101769</v>
      </c>
      <c r="CF53" s="15">
        <f>IF(ISNA(VLOOKUP(A53,'Données projet'!$A$113:$I$133,3,0)),0,VLOOKUP(A53,'Données projet'!$A$113:$I$133,3,0))</f>
        <v>8</v>
      </c>
      <c r="CG53" s="15">
        <f>IF(ISNA(VLOOKUP(A53,'Données projet'!$A$113:$I$133,4,0)),0,VLOOKUP(A53,'Données projet'!$A$113:$I$133,4,0))</f>
        <v>17</v>
      </c>
      <c r="CH53" s="16">
        <f>IF(ISNA(VLOOKUP(A53,'Données projet'!$A$113:$I$133,5,0)),0%,VLOOKUP(A53,'Données projet'!$A$113:$I$133,5,0)*VLOOKUP('Données projet'!$B$12,Paramètres!$A$1:$I$89,7,0))</f>
        <v>0.318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25.093939993176033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25.093939993176033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315</v>
      </c>
      <c r="CR53" s="12">
        <f>VLOOKUP(A53,'Données projet'!$A$139:$I$159,9,0)</f>
        <v>11.2</v>
      </c>
      <c r="CS53" s="12">
        <f t="array" ref="CS53">INDEX(CR:CR,MIN(IF(ISNUMBER(CR53:CR249),ROW(CR53:CR249),"")))</f>
        <v>11.2</v>
      </c>
      <c r="CT53" s="12">
        <f>IF('Données projet'!$A$140&gt;35,CT52+CS53-DB52,IF(A53&lt;'Données projet'!$A$140,$CQ$205^A53,IF(A53='Données projet'!$A$140,'Données projet'!$B$140,CT52+CS53-DB52)))</f>
        <v>315.00000000000006</v>
      </c>
      <c r="CU53" s="17">
        <f>CT53*VLOOKUP('Données projet'!$B$13,Paramètres!$A$1:$I$89,3,0)*VLOOKUP('Données projet'!$B$13,Paramètres!$A$1:$I$89,5,0)</f>
        <v>171.99</v>
      </c>
      <c r="CV53" s="13">
        <f t="shared" si="41"/>
        <v>43.53541505793509</v>
      </c>
      <c r="CW53" s="20">
        <f t="shared" si="13"/>
        <v>375.37343122590363</v>
      </c>
      <c r="CX53" s="59">
        <f t="shared" si="14"/>
        <v>668.70676455923694</v>
      </c>
      <c r="CY53" s="59">
        <f ca="1">AVERAGE(OFFSET($CX$3,0,0,'Données projet'!$E$13+1,1))-AVERAGE(OFFSET($H$3,0,0,'Données projet'!$E$13+1,1))</f>
        <v>210.03861149060413</v>
      </c>
      <c r="CZ53" s="59">
        <f t="shared" si="42"/>
        <v>298.74602928001929</v>
      </c>
      <c r="DA53" s="15">
        <f>IF(ISNA(VLOOKUP(A53,'Données projet'!$A$139:$I$159,3,0)),0,VLOOKUP(A53,'Données projet'!$A$139:$I$159,3,0))</f>
        <v>9</v>
      </c>
      <c r="DB53" s="15">
        <f>IF(ISNA(VLOOKUP(A53,'Données projet'!$A$139:$I$159,4,0)),0,VLOOKUP(A53,'Données projet'!$A$139:$I$159,4,0))</f>
        <v>315</v>
      </c>
      <c r="DC53" s="16">
        <f>IF(ISNA(VLOOKUP(A53,'Données projet'!$A$139:$I$159,5,0)),0%,VLOOKUP(A53,'Données projet'!$A$139:$I$159,5,0)*VLOOKUP('Données projet'!$B$13,Paramètres!$A$1:$I$89,7,0))</f>
        <v>0.36</v>
      </c>
      <c r="DD53" s="16">
        <f>IF(ISNA(VLOOKUP(A53,'Données projet'!$A$139:$I$159,6,0)),0%,VLOOKUP(A53,'Données projet'!$A$139:$I$159,6,0)*VLOOKUP('Données projet'!$B$13,Paramètres!$A$1:$I$89,7,0))</f>
        <v>0.13200000000000001</v>
      </c>
      <c r="DE53" s="16">
        <f>IF(ISNA(VLOOKUP(A53,'Données projet'!$A$139:$I$159,7,0)),0%,VLOOKUP(A53,'Données projet'!$A$139:$I$159,7,0))</f>
        <v>0.18</v>
      </c>
      <c r="DF53" s="21">
        <f>EXP(-LN(2)/35)*DF52+(1-EXP(-LN(2)/35))/(LN(2)/35)*DB53*DC53*VLOOKUP('Données projet'!$B$13,Paramètres!$A$1:$I$89,3,0)*0.475*44/12</f>
        <v>110.40346516654927</v>
      </c>
      <c r="DG53" s="21">
        <f>EXP(-LN(2)/25)*DG52+(1-EXP(-LN(2)/25))/(LN(2)/25)*Calculateur!DB53*Calculateur!DD53*VLOOKUP('Données projet'!$B$13,Paramètres!$A$1:$I$89,3,0)*0.475*44/12</f>
        <v>55.959539080931521</v>
      </c>
      <c r="DH53" s="21">
        <f>EXP(-LN(2)/2)*DH52+(1-EXP(-LN(2)/2))/(LN(2)/2)*DB53*DE53*VLOOKUP('Données projet'!$B$13,Paramètres!$A$1:$I$89,3,0)*0.475*44/12</f>
        <v>36.10704628925896</v>
      </c>
      <c r="DI53" s="22">
        <f t="shared" si="15"/>
        <v>202.47005053673973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443.73</v>
      </c>
      <c r="DM53" s="12">
        <f>VLOOKUP(A53,'Données projet'!$A$165:$I$185,9,0)</f>
        <v>17.617500000000007</v>
      </c>
      <c r="DN53" s="12">
        <f t="array" ref="DN53">INDEX(DM:DM,MIN(IF(ISNUMBER(DM53:DM249),ROW(DM53:DM249),"")))</f>
        <v>17.617500000000007</v>
      </c>
      <c r="DO53" s="12">
        <f>IF('Données projet'!$A$166&gt;35,DO52+DN53-DW52,IF(A53&lt;'Données projet'!$A$166,$DL$205^A53,IF(A53='Données projet'!$A$166,'Données projet'!$B$166,DO52+DN53-DW52)))</f>
        <v>443.73000000000013</v>
      </c>
      <c r="DP53" s="17">
        <f>DO53*VLOOKUP('Données projet'!$B$14,Paramètres!$A$1:$I$89,3,0)*VLOOKUP('Données projet'!$B$14,Paramètres!$A$1:$I$89,5,0)</f>
        <v>265.35054000000008</v>
      </c>
      <c r="DQ53" s="13">
        <f t="shared" si="43"/>
        <v>63.861541215481004</v>
      </c>
      <c r="DR53" s="20">
        <f t="shared" si="16"/>
        <v>573.37770811696282</v>
      </c>
      <c r="DS53" s="59">
        <f t="shared" si="17"/>
        <v>866.71104145029608</v>
      </c>
      <c r="DT53" s="59">
        <f ca="1">AVERAGE(OFFSET($DS$3,0,0,'Données projet'!$E$14+1,1))-AVERAGE(OFFSET($H$3,0,0,'Données projet'!$E$14+1,1))</f>
        <v>402.28353929315114</v>
      </c>
      <c r="DU53" s="59">
        <f t="shared" si="44"/>
        <v>376.94419168335463</v>
      </c>
      <c r="DV53" s="15">
        <f>IF(ISNA(VLOOKUP(A53,'Données projet'!$A$165:$I$185,3,0)),0,VLOOKUP(A53,'Données projet'!$A$165:$I$185,3,0))</f>
        <v>10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0.18000000000000002</v>
      </c>
      <c r="DY53" s="16">
        <f>IF(ISNA(VLOOKUP(A53,'Données projet'!$A$165:$I$185,6,0)),0%,VLOOKUP(A53,'Données projet'!$A$165:$I$185,6,0)*VLOOKUP('Données projet'!$B$14,Paramètres!$A$1:$I$89,7,0))</f>
        <v>0.15300000000000002</v>
      </c>
      <c r="DZ53" s="16">
        <f>IF(ISNA(VLOOKUP(A53,'Données projet'!$A$165:$I$185,7,0)),0%,VLOOKUP(A53,'Données projet'!$A$165:$I$185,7,0))</f>
        <v>0.26</v>
      </c>
      <c r="EA53" s="21">
        <f>EXP(-LN(2)/35)*EA52+(1-EXP(-LN(2)/35))/(LN(2)/35)*DW53*DX53*VLOOKUP('Données projet'!$B$14,Paramètres!$A$1:$I$89,3,0)*0.475*44/12</f>
        <v>21.959812808042653</v>
      </c>
      <c r="EB53" s="21">
        <f>EXP(-LN(2)/25)*EB52+(1-EXP(-LN(2)/25))/(LN(2)/25)*Calculateur!DW53*Calculateur!DY53*VLOOKUP('Données projet'!$B$14,Paramètres!$A$1:$I$89,3,0)*0.475*44/12</f>
        <v>28.943174371244478</v>
      </c>
      <c r="EC53" s="21">
        <f>EXP(-LN(2)/2)*EC52+(1-EXP(-LN(2)/2))/(LN(2)/2)*DW53*DZ53*VLOOKUP('Données projet'!$B$14,Paramètres!$A$1:$I$89,3,0)*0.475*44/12</f>
        <v>4.2375660113434375</v>
      </c>
      <c r="ED53" s="22">
        <f t="shared" si="18"/>
        <v>55.14055319063057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390</v>
      </c>
      <c r="EH53" s="12">
        <f>VLOOKUP(A53,'Données projet'!$A$191:$I$211,9,0)</f>
        <v>14</v>
      </c>
      <c r="EI53" s="12">
        <f t="array" ref="EI53">INDEX(EH:EH,MIN(IF(ISNUMBER(EH53:EH249),ROW(EH53:EH249),"")))</f>
        <v>14</v>
      </c>
      <c r="EJ53" s="12">
        <f>IF('Données projet'!$A$192&gt;35,EJ52+EI53-ER52,IF(A53&lt;'Données projet'!$A$192,$EG$205^A53,IF(A53='Données projet'!$A$192,'Données projet'!$B$192,EJ52+EI53-ER52)))</f>
        <v>390</v>
      </c>
      <c r="EK53" s="17">
        <f>EJ53*VLOOKUP('Données projet'!$B$15,Paramètres!$A$1:$I$89,3,0)*VLOOKUP('Données projet'!$B$15,Paramètres!$A$1:$I$89,5,0)</f>
        <v>182.52</v>
      </c>
      <c r="EL53" s="13">
        <f t="shared" si="45"/>
        <v>45.882385280285632</v>
      </c>
      <c r="EM53" s="20">
        <f t="shared" si="19"/>
        <v>397.80082102983079</v>
      </c>
      <c r="EN53" s="59">
        <f t="shared" si="20"/>
        <v>691.13415436316404</v>
      </c>
      <c r="EO53" s="59">
        <f ca="1">AVERAGE(OFFSET($EN$3,0,0,'Données projet'!$E$15+1,1))-AVERAGE(OFFSET($H$3,0,0,'Données projet'!$E$15+1,1))</f>
        <v>273.3012268683454</v>
      </c>
      <c r="EP53" s="59">
        <f t="shared" si="46"/>
        <v>254.08208375594052</v>
      </c>
      <c r="EQ53" s="15">
        <f>IF(ISNA(VLOOKUP(A53,'Données projet'!$A$191:$I$211,3,0)),0,VLOOKUP(A53,'Données projet'!$A$191:$I$211,3,0))</f>
        <v>4</v>
      </c>
      <c r="ER53" s="15">
        <f>IF(ISNA(VLOOKUP(A53,'Données projet'!$A$191:$I$211,4,0)),0,VLOOKUP(A53,'Données projet'!$A$191:$I$211,4,0))</f>
        <v>50</v>
      </c>
      <c r="ES53" s="16">
        <f>IF(ISNA(VLOOKUP(A53,'Données projet'!$A$191:$I$211,5,0)),0%,VLOOKUP(A53,'Données projet'!$A$191:$I$211,5,0)*VLOOKUP('Données projet'!$B$15,Paramètres!$A$1:$I$89,7,0))</f>
        <v>0.22000000000000003</v>
      </c>
      <c r="ET53" s="16">
        <f>IF(ISNA(VLOOKUP(A53,'Données projet'!$A$191:$I$211,6,0)),0%,VLOOKUP(A53,'Données projet'!$A$191:$I$211,6,0)*VLOOKUP('Données projet'!$B$15,Paramètres!$A$1:$I$89,7,0))</f>
        <v>0.18700000000000003</v>
      </c>
      <c r="EU53" s="16">
        <f>IF(ISNA(VLOOKUP(A53,'Données projet'!$A$191:$I$211,7,0)),0%,VLOOKUP(A53,'Données projet'!$A$191:$I$211,7,0))</f>
        <v>0.26</v>
      </c>
      <c r="EV53" s="21">
        <f>EXP(-LN(2)/35)*EV52+(1-EXP(-LN(2)/35))/(LN(2)/35)*ER53*ES53*VLOOKUP('Données projet'!$B$15,Paramètres!$A$1:$I$89,3,0)*0.475*44/12</f>
        <v>13.328640921453463</v>
      </c>
      <c r="EW53" s="21">
        <f>EXP(-LN(2)/25)*EW52+(1-EXP(-LN(2)/25))/(LN(2)/25)*Calculateur!ER53*Calculateur!ET53*VLOOKUP('Données projet'!$B$15,Paramètres!$A$1:$I$89,3,0)*0.475*44/12</f>
        <v>18.519594329264706</v>
      </c>
      <c r="EX53" s="21">
        <f>EXP(-LN(2)/2)*EX52+(1-EXP(-LN(2)/2))/(LN(2)/2)*ER53*EU53*VLOOKUP('Données projet'!$B$15,Paramètres!$A$1:$I$89,3,0)*0.475*44/12</f>
        <v>7.1545044601337793</v>
      </c>
      <c r="EY53" s="22">
        <f t="shared" si="21"/>
        <v>39.002739710851948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10.199999999999999</v>
      </c>
      <c r="N54" s="13">
        <f>IF('Données projet'!$A$36&gt;35,N53+M54-V53,IF(A54&lt;'Données projet'!$A$36,$K$205^A54,IF(A54='Données projet'!$A$36,'Données projet'!$B$36,N53+M54-V53)))</f>
        <v>213.2</v>
      </c>
      <c r="O54" s="13">
        <f>N54*VLOOKUP('Données projet'!$B$9,Paramètres!$A$1:$I$89,3,0)*VLOOKUP('Données projet'!$B$9,Paramètres!$A$1:$I$89,5,0)</f>
        <v>192.90335999999999</v>
      </c>
      <c r="P54" s="13">
        <f t="shared" si="33"/>
        <v>48.181276881765257</v>
      </c>
      <c r="Q54" s="20">
        <f t="shared" si="53"/>
        <v>419.8890759024078</v>
      </c>
      <c r="R54" s="59">
        <f t="shared" si="0"/>
        <v>713.22240923574111</v>
      </c>
      <c r="S54" s="59">
        <f ca="1">AVERAGE(OFFSET($R$3,0,0,'Données projet'!$E$9+1,1))-AVERAGE(OFFSET($H$3,0,0,'Données projet'!$E$9+1,1))</f>
        <v>453.52760163325451</v>
      </c>
      <c r="T54" s="59">
        <f t="shared" si="34"/>
        <v>344.23959526427001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7.6177661462326069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7.6177661462326069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11</v>
      </c>
      <c r="AI54" s="13">
        <f>IF('Données projet'!$A$62&gt;35,AI53+AH54-AQ53,IF(A54&lt;'Données projet'!$A$62,$AF$205^A54,IF(A54='Données projet'!$A$62,'Données projet'!$B$62,AI53+AH54-AQ53)))</f>
        <v>200.00000000000003</v>
      </c>
      <c r="AJ54" s="13">
        <f>AI54*VLOOKUP('Données projet'!$B$10,Paramètres!$A$1:$I$89,3,0)*VLOOKUP('Données projet'!$B$10,Paramètres!$A$1:$I$89,5,0)</f>
        <v>171.60000000000005</v>
      </c>
      <c r="AK54" s="13">
        <f t="shared" si="35"/>
        <v>43.44817475464852</v>
      </c>
      <c r="AL54" s="20">
        <f t="shared" si="4"/>
        <v>374.54223769767958</v>
      </c>
      <c r="AM54" s="59">
        <f t="shared" si="5"/>
        <v>667.8755710310129</v>
      </c>
      <c r="AN54" s="59">
        <f ca="1">AVERAGE(OFFSET($AM$3,0,0,'Données projet'!$E$10+1,1))-AVERAGE(OFFSET($H$3,0,0,'Données projet'!$E$10+1,1))</f>
        <v>397.45670821030774</v>
      </c>
      <c r="AO54" s="59">
        <f t="shared" si="36"/>
        <v>256.77417912163997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8.9036841685116475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8.9036841685116475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10.375</v>
      </c>
      <c r="BD54" s="12">
        <f>IF('Données projet'!$A$88&gt;35,BD53+BC54-BL53,IF(A54&lt;'Données projet'!$A$88,$BA$205^A54,IF(A54='Données projet'!$A$88,'Données projet'!$B$88,BD53+BC54-BL53)))</f>
        <v>259.62499999999989</v>
      </c>
      <c r="BE54" s="13">
        <f>BD54*VLOOKUP('Données projet'!$B$11,Paramètres!$A$1:$I$89,3,0)*VLOOKUP('Données projet'!$B$11,Paramètres!$A$1:$I$89,5,0)</f>
        <v>202.50749999999991</v>
      </c>
      <c r="BF54" s="13">
        <f t="shared" si="37"/>
        <v>50.294840086606349</v>
      </c>
      <c r="BG54" s="20">
        <f t="shared" si="7"/>
        <v>440.29740898417253</v>
      </c>
      <c r="BH54" s="59">
        <f t="shared" si="8"/>
        <v>733.63074231750579</v>
      </c>
      <c r="BI54" s="59">
        <f ca="1">AVERAGE(OFFSET($BH$3,0,0,'Données projet'!$E$11+1,1))-AVERAGE(OFFSET($H$3,0,0,'Données projet'!$E$11+1,1))</f>
        <v>293.20194140252903</v>
      </c>
      <c r="BJ54" s="59">
        <f t="shared" si="38"/>
        <v>280.69048279989266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17.143443434740064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17.143443434740064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6</v>
      </c>
      <c r="BY54" s="12">
        <f>IF('Données projet'!$A$114&gt;35,BY53+BX54-CG53,IF(A54&lt;'Données projet'!$A$114,$BV$205^A54,IF(A54='Données projet'!$A$114,'Données projet'!$B$114,BY53+BX54-CG53)))</f>
        <v>207.99999999999989</v>
      </c>
      <c r="BZ54" s="13">
        <f>BY54*VLOOKUP('Données projet'!$B$12,Paramètres!$A$1:$I$89,3,0)*VLOOKUP('Données projet'!$B$12,Paramètres!$A$1:$I$89,5,0)</f>
        <v>165.48479999999992</v>
      </c>
      <c r="CA54" s="13">
        <f t="shared" si="39"/>
        <v>42.077190125964002</v>
      </c>
      <c r="CB54" s="20">
        <f t="shared" si="10"/>
        <v>361.5037994693871</v>
      </c>
      <c r="CC54" s="59">
        <f t="shared" si="11"/>
        <v>654.83713280272036</v>
      </c>
      <c r="CD54" s="59">
        <f ca="1">AVERAGE(OFFSET($CC$3,0,0,'Données projet'!$E$12+1,1))-AVERAGE(OFFSET($H$3,0,0,'Données projet'!$E$12+1,1))</f>
        <v>271.25628946149067</v>
      </c>
      <c r="CE54" s="59">
        <f t="shared" si="40"/>
        <v>292.57799203101769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24.601863135701926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24.601863135701926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5.6843418860808015E-14</v>
      </c>
      <c r="CU54" s="17">
        <f>CT54*VLOOKUP('Données projet'!$B$13,Paramètres!$A$1:$I$89,3,0)*VLOOKUP('Données projet'!$B$13,Paramètres!$A$1:$I$89,5,0)</f>
        <v>3.1036506698001178E-14</v>
      </c>
      <c r="CV54" s="13">
        <f t="shared" si="41"/>
        <v>5.3428243983771088E-13</v>
      </c>
      <c r="CW54" s="20">
        <f t="shared" si="13"/>
        <v>9.8459716521636505E-13</v>
      </c>
      <c r="CX54" s="59">
        <f t="shared" si="14"/>
        <v>293.33333333333428</v>
      </c>
      <c r="CY54" s="59">
        <f ca="1">AVERAGE(OFFSET($CX$3,0,0,'Données projet'!$E$13+1,1))-AVERAGE(OFFSET($H$3,0,0,'Données projet'!$E$13+1,1))</f>
        <v>210.03861149060413</v>
      </c>
      <c r="CZ54" s="59">
        <f t="shared" si="42"/>
        <v>298.74602928001929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108.23852055409778</v>
      </c>
      <c r="DG54" s="21">
        <f>EXP(-LN(2)/25)*DG53+(1-EXP(-LN(2)/25))/(LN(2)/25)*Calculateur!DB54*Calculateur!DD54*VLOOKUP('Données projet'!$B$13,Paramètres!$A$1:$I$89,3,0)*0.475*44/12</f>
        <v>54.429322541979182</v>
      </c>
      <c r="DH54" s="21">
        <f>EXP(-LN(2)/2)*DH53+(1-EXP(-LN(2)/2))/(LN(2)/2)*DB54*DE54*VLOOKUP('Données projet'!$B$13,Paramètres!$A$1:$I$89,3,0)*0.475*44/12</f>
        <v>25.531537279751578</v>
      </c>
      <c r="DI54" s="22">
        <f t="shared" si="15"/>
        <v>188.19938037582853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17.995000000000005</v>
      </c>
      <c r="DO54" s="12">
        <f>IF('Données projet'!$A$166&gt;35,DO53+DN54-DW53,IF(A54&lt;'Données projet'!$A$166,$DL$205^A54,IF(A54='Données projet'!$A$166,'Données projet'!$B$166,DO53+DN54-DW53)))</f>
        <v>461.72500000000014</v>
      </c>
      <c r="DP54" s="17">
        <f>DO54*VLOOKUP('Données projet'!$B$14,Paramètres!$A$1:$I$89,3,0)*VLOOKUP('Données projet'!$B$14,Paramètres!$A$1:$I$89,5,0)</f>
        <v>276.11155000000008</v>
      </c>
      <c r="DQ54" s="13">
        <f t="shared" si="43"/>
        <v>66.144599992702055</v>
      </c>
      <c r="DR54" s="20">
        <f t="shared" si="16"/>
        <v>596.09612790395624</v>
      </c>
      <c r="DS54" s="59">
        <f t="shared" si="17"/>
        <v>889.42946123728962</v>
      </c>
      <c r="DT54" s="59">
        <f ca="1">AVERAGE(OFFSET($DS$3,0,0,'Données projet'!$E$14+1,1))-AVERAGE(OFFSET($H$3,0,0,'Données projet'!$E$14+1,1))</f>
        <v>402.28353929315114</v>
      </c>
      <c r="DU54" s="59">
        <f t="shared" si="44"/>
        <v>376.94419168335463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21.529194273040186</v>
      </c>
      <c r="EB54" s="21">
        <f>EXP(-LN(2)/25)*EB53+(1-EXP(-LN(2)/25))/(LN(2)/25)*Calculateur!DW54*Calculateur!DY54*VLOOKUP('Données projet'!$B$14,Paramètres!$A$1:$I$89,3,0)*0.475*44/12</f>
        <v>28.151721746007407</v>
      </c>
      <c r="EC54" s="21">
        <f>EXP(-LN(2)/2)*EC53+(1-EXP(-LN(2)/2))/(LN(2)/2)*DW54*DZ54*VLOOKUP('Données projet'!$B$14,Paramètres!$A$1:$I$89,3,0)*0.475*44/12</f>
        <v>2.9964116623465751</v>
      </c>
      <c r="ED54" s="22">
        <f t="shared" si="18"/>
        <v>52.677327681394168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13</v>
      </c>
      <c r="EJ54" s="12">
        <f>IF('Données projet'!$A$192&gt;35,EJ53+EI54-ER53,IF(A54&lt;'Données projet'!$A$192,$EG$205^A54,IF(A54='Données projet'!$A$192,'Données projet'!$B$192,EJ53+EI54-ER53)))</f>
        <v>353</v>
      </c>
      <c r="EK54" s="17">
        <f>EJ54*VLOOKUP('Données projet'!$B$15,Paramètres!$A$1:$I$89,3,0)*VLOOKUP('Données projet'!$B$15,Paramètres!$A$1:$I$89,5,0)</f>
        <v>165.20400000000001</v>
      </c>
      <c r="EL54" s="13">
        <f t="shared" si="45"/>
        <v>42.01409666579589</v>
      </c>
      <c r="EM54" s="20">
        <f t="shared" si="19"/>
        <v>360.90485169292782</v>
      </c>
      <c r="EN54" s="59">
        <f t="shared" si="20"/>
        <v>654.23818502626114</v>
      </c>
      <c r="EO54" s="59">
        <f ca="1">AVERAGE(OFFSET($EN$3,0,0,'Données projet'!$E$15+1,1))-AVERAGE(OFFSET($H$3,0,0,'Données projet'!$E$15+1,1))</f>
        <v>273.3012268683454</v>
      </c>
      <c r="EP54" s="59">
        <f t="shared" si="46"/>
        <v>254.08208375594052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13.067274402651984</v>
      </c>
      <c r="EW54" s="21">
        <f>EXP(-LN(2)/25)*EW53+(1-EXP(-LN(2)/25))/(LN(2)/25)*Calculateur!ER54*Calculateur!ET54*VLOOKUP('Données projet'!$B$15,Paramètres!$A$1:$I$89,3,0)*0.475*44/12</f>
        <v>18.013175048427822</v>
      </c>
      <c r="EX54" s="21">
        <f>EXP(-LN(2)/2)*EX53+(1-EXP(-LN(2)/2))/(LN(2)/2)*ER54*EU54*VLOOKUP('Données projet'!$B$15,Paramètres!$A$1:$I$89,3,0)*0.475*44/12</f>
        <v>5.0589986197899952</v>
      </c>
      <c r="EY54" s="22">
        <f t="shared" si="21"/>
        <v>36.139448070869804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10.199999999999999</v>
      </c>
      <c r="N55" s="13">
        <f>IF('Données projet'!$A$36&gt;35,N54+M55-V54,IF(A55&lt;'Données projet'!$A$36,$K$205^A55,IF(A55='Données projet'!$A$36,'Données projet'!$B$36,N54+M55-V54)))</f>
        <v>223.39999999999998</v>
      </c>
      <c r="O55" s="13">
        <f>N55*VLOOKUP('Données projet'!$B$9,Paramètres!$A$1:$I$89,3,0)*VLOOKUP('Données projet'!$B$9,Paramètres!$A$1:$I$89,5,0)</f>
        <v>202.13231999999996</v>
      </c>
      <c r="P55" s="13">
        <f t="shared" si="33"/>
        <v>50.212497488959627</v>
      </c>
      <c r="Q55" s="20">
        <f t="shared" si="53"/>
        <v>439.50055712660463</v>
      </c>
      <c r="R55" s="59">
        <f t="shared" si="0"/>
        <v>732.83389045993795</v>
      </c>
      <c r="S55" s="59">
        <f ca="1">AVERAGE(OFFSET($R$3,0,0,'Données projet'!$E$9+1,1))-AVERAGE(OFFSET($H$3,0,0,'Données projet'!$E$9+1,1))</f>
        <v>453.52760163325451</v>
      </c>
      <c r="T55" s="59">
        <f t="shared" si="34"/>
        <v>344.23959526427001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7.4683863984835428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7.4683863984835428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11</v>
      </c>
      <c r="AI55" s="13">
        <f>IF('Données projet'!$A$62&gt;35,AI54+AH55-AQ54,IF(A55&lt;'Données projet'!$A$62,$AF$205^A55,IF(A55='Données projet'!$A$62,'Données projet'!$B$62,AI54+AH55-AQ54)))</f>
        <v>211.00000000000003</v>
      </c>
      <c r="AJ55" s="13">
        <f>AI55*VLOOKUP('Données projet'!$B$10,Paramètres!$A$1:$I$89,3,0)*VLOOKUP('Données projet'!$B$10,Paramètres!$A$1:$I$89,5,0)</f>
        <v>181.03800000000004</v>
      </c>
      <c r="AK55" s="13">
        <f t="shared" si="35"/>
        <v>45.553044701671382</v>
      </c>
      <c r="AL55" s="20">
        <f t="shared" si="4"/>
        <v>394.64606952207765</v>
      </c>
      <c r="AM55" s="59">
        <f t="shared" si="5"/>
        <v>687.97940285541097</v>
      </c>
      <c r="AN55" s="59">
        <f ca="1">AVERAGE(OFFSET($AM$3,0,0,'Données projet'!$E$10+1,1))-AVERAGE(OFFSET($H$3,0,0,'Données projet'!$E$10+1,1))</f>
        <v>397.45670821030774</v>
      </c>
      <c r="AO55" s="59">
        <f t="shared" si="36"/>
        <v>256.77417912163997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8.7290883526782395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8.7290883526782395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>
        <f>VLOOKUP(A55,'Données projet'!$A$87:$I$107,2,0)</f>
        <v>270</v>
      </c>
      <c r="BB55" s="12">
        <f>VLOOKUP(A55,'Données projet'!$A$87:$I$107,9,0)</f>
        <v>10.375</v>
      </c>
      <c r="BC55" s="12">
        <f t="array" ref="BC55">INDEX(BB:BB,MIN(IF(ISNUMBER(BB55:BB251),ROW(BB55:BB251),"")))</f>
        <v>10.375</v>
      </c>
      <c r="BD55" s="12">
        <f>IF('Données projet'!$A$88&gt;35,BD54+BC55-BL54,IF(A55&lt;'Données projet'!$A$88,$BA$205^A55,IF(A55='Données projet'!$A$88,'Données projet'!$B$88,BD54+BC55-BL54)))</f>
        <v>269.99999999999989</v>
      </c>
      <c r="BE55" s="13">
        <f>BD55*VLOOKUP('Données projet'!$B$11,Paramètres!$A$1:$I$89,3,0)*VLOOKUP('Données projet'!$B$11,Paramètres!$A$1:$I$89,5,0)</f>
        <v>210.59999999999991</v>
      </c>
      <c r="BF55" s="13">
        <f t="shared" si="37"/>
        <v>52.066679014659961</v>
      </c>
      <c r="BG55" s="20">
        <f t="shared" si="7"/>
        <v>457.47779928386586</v>
      </c>
      <c r="BH55" s="59">
        <f t="shared" si="8"/>
        <v>750.81113261719918</v>
      </c>
      <c r="BI55" s="59">
        <f ca="1">AVERAGE(OFFSET($BH$3,0,0,'Données projet'!$E$11+1,1))-AVERAGE(OFFSET($H$3,0,0,'Données projet'!$E$11+1,1))</f>
        <v>293.20194140252903</v>
      </c>
      <c r="BJ55" s="59">
        <f t="shared" si="38"/>
        <v>280.69048279989266</v>
      </c>
      <c r="BK55" s="15">
        <f>IF(ISNA(VLOOKUP(A55,'Données projet'!$A$87:$I$107,3,0)),0,VLOOKUP(A55,'Données projet'!$A$87:$I$107,3,0))</f>
        <v>7</v>
      </c>
      <c r="BL55" s="15">
        <f>IF(ISNA(VLOOKUP(A55,'Données projet'!$A$87:$I$107,4,0)),0,VLOOKUP(A55,'Données projet'!$A$87:$I$107,4,0))</f>
        <v>28</v>
      </c>
      <c r="BM55" s="16">
        <f>IF(ISNA(VLOOKUP(A55,'Données projet'!$A$87:$I$107,5,0)),0%,VLOOKUP(A55,'Données projet'!$A$87:$I$107,5,0)*VLOOKUP('Données projet'!$B$11,Paramètres!$A$1:$I$89,7,0))</f>
        <v>0.215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21.998117679587736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21.998117679587736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6</v>
      </c>
      <c r="BY55" s="12">
        <f>IF('Données projet'!$A$114&gt;35,BY54+BX55-CG54,IF(A55&lt;'Données projet'!$A$114,$BV$205^A55,IF(A55='Données projet'!$A$114,'Données projet'!$B$114,BY54+BX55-CG54)))</f>
        <v>213.99999999999989</v>
      </c>
      <c r="BZ55" s="13">
        <f>BY55*VLOOKUP('Données projet'!$B$12,Paramètres!$A$1:$I$89,3,0)*VLOOKUP('Données projet'!$B$12,Paramètres!$A$1:$I$89,5,0)</f>
        <v>170.25839999999991</v>
      </c>
      <c r="CA55" s="13">
        <f t="shared" si="39"/>
        <v>43.147891472685018</v>
      </c>
      <c r="CB55" s="20">
        <f t="shared" si="10"/>
        <v>371.68262431492622</v>
      </c>
      <c r="CC55" s="59">
        <f t="shared" si="11"/>
        <v>665.01595764825947</v>
      </c>
      <c r="CD55" s="59">
        <f ca="1">AVERAGE(OFFSET($CC$3,0,0,'Données projet'!$E$12+1,1))-AVERAGE(OFFSET($H$3,0,0,'Données projet'!$E$12+1,1))</f>
        <v>271.25628946149067</v>
      </c>
      <c r="CE55" s="59">
        <f t="shared" si="40"/>
        <v>292.57799203101769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24.11943560526564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24.11943560526564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5.6843418860808015E-14</v>
      </c>
      <c r="CU55" s="17">
        <f>CT55*VLOOKUP('Données projet'!$B$13,Paramètres!$A$1:$I$89,3,0)*VLOOKUP('Données projet'!$B$13,Paramètres!$A$1:$I$89,5,0)</f>
        <v>3.1036506698001178E-14</v>
      </c>
      <c r="CV55" s="13">
        <f t="shared" si="41"/>
        <v>5.3428243983771088E-13</v>
      </c>
      <c r="CW55" s="20">
        <f t="shared" si="13"/>
        <v>9.8459716521636505E-13</v>
      </c>
      <c r="CX55" s="59">
        <f t="shared" si="14"/>
        <v>293.33333333333428</v>
      </c>
      <c r="CY55" s="59">
        <f ca="1">AVERAGE(OFFSET($CX$3,0,0,'Données projet'!$E$13+1,1))-AVERAGE(OFFSET($H$3,0,0,'Données projet'!$E$13+1,1))</f>
        <v>210.03861149060413</v>
      </c>
      <c r="CZ55" s="59">
        <f t="shared" si="42"/>
        <v>298.74602928001929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106.11602918501062</v>
      </c>
      <c r="DG55" s="21">
        <f>EXP(-LN(2)/25)*DG54+(1-EXP(-LN(2)/25))/(LN(2)/25)*Calculateur!DB55*Calculateur!DD55*VLOOKUP('Données projet'!$B$13,Paramètres!$A$1:$I$89,3,0)*0.475*44/12</f>
        <v>52.94094985475509</v>
      </c>
      <c r="DH55" s="21">
        <f>EXP(-LN(2)/2)*DH54+(1-EXP(-LN(2)/2))/(LN(2)/2)*DB55*DE55*VLOOKUP('Données projet'!$B$13,Paramètres!$A$1:$I$89,3,0)*0.475*44/12</f>
        <v>18.05352314462948</v>
      </c>
      <c r="DI55" s="22">
        <f t="shared" si="15"/>
        <v>177.11050218439519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17.995000000000005</v>
      </c>
      <c r="DO55" s="12">
        <f>IF('Données projet'!$A$166&gt;35,DO54+DN55-DW54,IF(A55&lt;'Données projet'!$A$166,$DL$205^A55,IF(A55='Données projet'!$A$166,'Données projet'!$B$166,DO54+DN55-DW54)))</f>
        <v>479.72000000000014</v>
      </c>
      <c r="DP55" s="17">
        <f>DO55*VLOOKUP('Données projet'!$B$14,Paramètres!$A$1:$I$89,3,0)*VLOOKUP('Données projet'!$B$14,Paramètres!$A$1:$I$89,5,0)</f>
        <v>286.87256000000014</v>
      </c>
      <c r="DQ55" s="13">
        <f t="shared" si="43"/>
        <v>68.41732235454451</v>
      </c>
      <c r="DR55" s="20">
        <f t="shared" si="16"/>
        <v>618.79654510083196</v>
      </c>
      <c r="DS55" s="59">
        <f t="shared" si="17"/>
        <v>912.12987843416522</v>
      </c>
      <c r="DT55" s="59">
        <f ca="1">AVERAGE(OFFSET($DS$3,0,0,'Données projet'!$E$14+1,1))-AVERAGE(OFFSET($H$3,0,0,'Données projet'!$E$14+1,1))</f>
        <v>402.28353929315114</v>
      </c>
      <c r="DU55" s="59">
        <f t="shared" si="44"/>
        <v>376.94419168335463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21.107019904857747</v>
      </c>
      <c r="EB55" s="21">
        <f>EXP(-LN(2)/25)*EB54+(1-EXP(-LN(2)/25))/(LN(2)/25)*Calculateur!DW55*Calculateur!DY55*VLOOKUP('Données projet'!$B$14,Paramètres!$A$1:$I$89,3,0)*0.475*44/12</f>
        <v>27.38191143442813</v>
      </c>
      <c r="EC55" s="21">
        <f>EXP(-LN(2)/2)*EC54+(1-EXP(-LN(2)/2))/(LN(2)/2)*DW55*DZ55*VLOOKUP('Données projet'!$B$14,Paramètres!$A$1:$I$89,3,0)*0.475*44/12</f>
        <v>2.1187830056717187</v>
      </c>
      <c r="ED55" s="22">
        <f t="shared" si="18"/>
        <v>50.607714344957593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13</v>
      </c>
      <c r="EJ55" s="12">
        <f>IF('Données projet'!$A$192&gt;35,EJ54+EI55-ER54,IF(A55&lt;'Données projet'!$A$192,$EG$205^A55,IF(A55='Données projet'!$A$192,'Données projet'!$B$192,EJ54+EI55-ER54)))</f>
        <v>366</v>
      </c>
      <c r="EK55" s="17">
        <f>EJ55*VLOOKUP('Données projet'!$B$15,Paramètres!$A$1:$I$89,3,0)*VLOOKUP('Données projet'!$B$15,Paramètres!$A$1:$I$89,5,0)</f>
        <v>171.28799999999998</v>
      </c>
      <c r="EL55" s="13">
        <f t="shared" si="45"/>
        <v>43.37836589572138</v>
      </c>
      <c r="EM55" s="20">
        <f t="shared" si="19"/>
        <v>373.87725393504803</v>
      </c>
      <c r="EN55" s="59">
        <f t="shared" si="20"/>
        <v>667.21058726838135</v>
      </c>
      <c r="EO55" s="59">
        <f ca="1">AVERAGE(OFFSET($EN$3,0,0,'Données projet'!$E$15+1,1))-AVERAGE(OFFSET($H$3,0,0,'Données projet'!$E$15+1,1))</f>
        <v>273.3012268683454</v>
      </c>
      <c r="EP55" s="59">
        <f t="shared" si="46"/>
        <v>254.08208375594052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12.811033121866368</v>
      </c>
      <c r="EW55" s="21">
        <f>EXP(-LN(2)/25)*EW54+(1-EXP(-LN(2)/25))/(LN(2)/25)*Calculateur!ER55*Calculateur!ET55*VLOOKUP('Données projet'!$B$15,Paramètres!$A$1:$I$89,3,0)*0.475*44/12</f>
        <v>17.520603829456856</v>
      </c>
      <c r="EX55" s="21">
        <f>EXP(-LN(2)/2)*EX54+(1-EXP(-LN(2)/2))/(LN(2)/2)*ER55*EU55*VLOOKUP('Données projet'!$B$15,Paramètres!$A$1:$I$89,3,0)*0.475*44/12</f>
        <v>3.5772522300668905</v>
      </c>
      <c r="EY55" s="22">
        <f t="shared" si="21"/>
        <v>33.908889181390116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10.199999999999999</v>
      </c>
      <c r="N56" s="13">
        <f>IF('Données projet'!$A$36&gt;35,N55+M56-V55,IF(A56&lt;'Données projet'!$A$36,$K$205^A56,IF(A56='Données projet'!$A$36,'Données projet'!$B$36,N55+M56-V55)))</f>
        <v>233.59999999999997</v>
      </c>
      <c r="O56" s="13">
        <f>N56*VLOOKUP('Données projet'!$B$9,Paramètres!$A$1:$I$89,3,0)*VLOOKUP('Données projet'!$B$9,Paramètres!$A$1:$I$89,5,0)</f>
        <v>211.36127999999997</v>
      </c>
      <c r="P56" s="13">
        <f t="shared" si="33"/>
        <v>52.232947669705631</v>
      </c>
      <c r="Q56" s="20">
        <f t="shared" si="53"/>
        <v>459.09327985807062</v>
      </c>
      <c r="R56" s="59">
        <f t="shared" si="0"/>
        <v>752.42661319140393</v>
      </c>
      <c r="S56" s="59">
        <f ca="1">AVERAGE(OFFSET($R$3,0,0,'Données projet'!$E$9+1,1))-AVERAGE(OFFSET($H$3,0,0,'Données projet'!$E$9+1,1))</f>
        <v>453.52760163325451</v>
      </c>
      <c r="T56" s="59">
        <f t="shared" si="34"/>
        <v>344.23959526427001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7.3219358964751882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7.3219358964751882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11</v>
      </c>
      <c r="AI56" s="13">
        <f>IF('Données projet'!$A$62&gt;35,AI55+AH56-AQ55,IF(A56&lt;'Données projet'!$A$62,$AF$205^A56,IF(A56='Données projet'!$A$62,'Données projet'!$B$62,AI55+AH56-AQ55)))</f>
        <v>222.00000000000003</v>
      </c>
      <c r="AJ56" s="13">
        <f>AI56*VLOOKUP('Données projet'!$B$10,Paramètres!$A$1:$I$89,3,0)*VLOOKUP('Données projet'!$B$10,Paramètres!$A$1:$I$89,5,0)</f>
        <v>190.47600000000006</v>
      </c>
      <c r="AK56" s="13">
        <f t="shared" si="35"/>
        <v>47.645174362968355</v>
      </c>
      <c r="AL56" s="20">
        <f t="shared" si="4"/>
        <v>414.7277120155033</v>
      </c>
      <c r="AM56" s="59">
        <f t="shared" si="5"/>
        <v>708.06104534883661</v>
      </c>
      <c r="AN56" s="59">
        <f ca="1">AVERAGE(OFFSET($AM$3,0,0,'Données projet'!$E$10+1,1))-AVERAGE(OFFSET($H$3,0,0,'Données projet'!$E$10+1,1))</f>
        <v>397.45670821030774</v>
      </c>
      <c r="AO56" s="59">
        <f t="shared" si="36"/>
        <v>256.77417912163997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8.557916254300391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8.557916254300391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6.875</v>
      </c>
      <c r="BD56" s="12">
        <f>IF('Données projet'!$A$88&gt;35,BD55+BC56-BL55,IF(A56&lt;'Données projet'!$A$88,$BA$205^A56,IF(A56='Données projet'!$A$88,'Données projet'!$B$88,BD55+BC56-BL55)))</f>
        <v>248.87499999999989</v>
      </c>
      <c r="BE56" s="13">
        <f>BD56*VLOOKUP('Données projet'!$B$11,Paramètres!$A$1:$I$89,3,0)*VLOOKUP('Données projet'!$B$11,Paramètres!$A$1:$I$89,5,0)</f>
        <v>194.12249999999992</v>
      </c>
      <c r="BF56" s="13">
        <f t="shared" si="37"/>
        <v>48.450237319819436</v>
      </c>
      <c r="BG56" s="20">
        <f t="shared" si="7"/>
        <v>422.48085083201863</v>
      </c>
      <c r="BH56" s="59">
        <f t="shared" si="8"/>
        <v>715.81418416535189</v>
      </c>
      <c r="BI56" s="59">
        <f ca="1">AVERAGE(OFFSET($BH$3,0,0,'Données projet'!$E$11+1,1))-AVERAGE(OFFSET($H$3,0,0,'Données projet'!$E$11+1,1))</f>
        <v>293.20194140252903</v>
      </c>
      <c r="BJ56" s="59">
        <f t="shared" si="38"/>
        <v>280.69048279989266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21.566748009417935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21.566748009417935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6</v>
      </c>
      <c r="BY56" s="12">
        <f>IF('Données projet'!$A$114&gt;35,BY55+BX56-CG55,IF(A56&lt;'Données projet'!$A$114,$BV$205^A56,IF(A56='Données projet'!$A$114,'Données projet'!$B$114,BY55+BX56-CG55)))</f>
        <v>219.99999999999989</v>
      </c>
      <c r="BZ56" s="13">
        <f>BY56*VLOOKUP('Données projet'!$B$12,Paramètres!$A$1:$I$89,3,0)*VLOOKUP('Données projet'!$B$12,Paramètres!$A$1:$I$89,5,0)</f>
        <v>175.03199999999993</v>
      </c>
      <c r="CA56" s="13">
        <f t="shared" si="39"/>
        <v>44.215103743191008</v>
      </c>
      <c r="CB56" s="20">
        <f t="shared" si="10"/>
        <v>381.85537235272426</v>
      </c>
      <c r="CC56" s="59">
        <f t="shared" si="11"/>
        <v>675.18870568605757</v>
      </c>
      <c r="CD56" s="59">
        <f ca="1">AVERAGE(OFFSET($CC$3,0,0,'Données projet'!$E$12+1,1))-AVERAGE(OFFSET($H$3,0,0,'Données projet'!$E$12+1,1))</f>
        <v>271.25628946149067</v>
      </c>
      <c r="CE56" s="59">
        <f t="shared" si="40"/>
        <v>292.57799203101769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23.646468184449468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23.646468184449468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5.6843418860808015E-14</v>
      </c>
      <c r="CU56" s="17">
        <f>CT56*VLOOKUP('Données projet'!$B$13,Paramètres!$A$1:$I$89,3,0)*VLOOKUP('Données projet'!$B$13,Paramètres!$A$1:$I$89,5,0)</f>
        <v>3.1036506698001178E-14</v>
      </c>
      <c r="CV56" s="13">
        <f t="shared" si="41"/>
        <v>5.3428243983771088E-13</v>
      </c>
      <c r="CW56" s="20">
        <f t="shared" si="13"/>
        <v>9.8459716521636505E-13</v>
      </c>
      <c r="CX56" s="59">
        <f t="shared" si="14"/>
        <v>293.33333333333428</v>
      </c>
      <c r="CY56" s="59">
        <f ca="1">AVERAGE(OFFSET($CX$3,0,0,'Données projet'!$E$13+1,1))-AVERAGE(OFFSET($H$3,0,0,'Données projet'!$E$13+1,1))</f>
        <v>210.03861149060413</v>
      </c>
      <c r="CZ56" s="59">
        <f t="shared" si="42"/>
        <v>298.74602928001929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104.03515857707936</v>
      </c>
      <c r="DG56" s="21">
        <f>EXP(-LN(2)/25)*DG55+(1-EXP(-LN(2)/25))/(LN(2)/25)*Calculateur!DB56*Calculateur!DD56*VLOOKUP('Données projet'!$B$13,Paramètres!$A$1:$I$89,3,0)*0.475*44/12</f>
        <v>51.493276796933259</v>
      </c>
      <c r="DH56" s="21">
        <f>EXP(-LN(2)/2)*DH55+(1-EXP(-LN(2)/2))/(LN(2)/2)*DB56*DE56*VLOOKUP('Données projet'!$B$13,Paramètres!$A$1:$I$89,3,0)*0.475*44/12</f>
        <v>12.765768639875789</v>
      </c>
      <c r="DI56" s="22">
        <f t="shared" si="15"/>
        <v>168.29420401388842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17.995000000000005</v>
      </c>
      <c r="DO56" s="12">
        <f>IF('Données projet'!$A$166&gt;35,DO55+DN56-DW55,IF(A56&lt;'Données projet'!$A$166,$DL$205^A56,IF(A56='Données projet'!$A$166,'Données projet'!$B$166,DO55+DN56-DW55)))</f>
        <v>497.71500000000015</v>
      </c>
      <c r="DP56" s="17">
        <f>DO56*VLOOKUP('Données projet'!$B$14,Paramètres!$A$1:$I$89,3,0)*VLOOKUP('Données projet'!$B$14,Paramètres!$A$1:$I$89,5,0)</f>
        <v>297.63357000000008</v>
      </c>
      <c r="DQ56" s="13">
        <f t="shared" si="43"/>
        <v>70.680140429959067</v>
      </c>
      <c r="DR56" s="20">
        <f t="shared" si="16"/>
        <v>641.47971233217879</v>
      </c>
      <c r="DS56" s="59">
        <f t="shared" si="17"/>
        <v>934.81304566551216</v>
      </c>
      <c r="DT56" s="59">
        <f ca="1">AVERAGE(OFFSET($DS$3,0,0,'Données projet'!$E$14+1,1))-AVERAGE(OFFSET($H$3,0,0,'Données projet'!$E$14+1,1))</f>
        <v>402.28353929315114</v>
      </c>
      <c r="DU56" s="59">
        <f t="shared" si="44"/>
        <v>376.94419168335463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20.693124118534424</v>
      </c>
      <c r="EB56" s="21">
        <f>EXP(-LN(2)/25)*EB55+(1-EXP(-LN(2)/25))/(LN(2)/25)*Calculateur!DW56*Calculateur!DY56*VLOOKUP('Données projet'!$B$14,Paramètres!$A$1:$I$89,3,0)*0.475*44/12</f>
        <v>26.633151626301551</v>
      </c>
      <c r="EC56" s="21">
        <f>EXP(-LN(2)/2)*EC55+(1-EXP(-LN(2)/2))/(LN(2)/2)*DW56*DZ56*VLOOKUP('Données projet'!$B$14,Paramètres!$A$1:$I$89,3,0)*0.475*44/12</f>
        <v>1.4982058311732875</v>
      </c>
      <c r="ED56" s="22">
        <f t="shared" si="18"/>
        <v>48.824481576009262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13</v>
      </c>
      <c r="EJ56" s="12">
        <f>IF('Données projet'!$A$192&gt;35,EJ55+EI56-ER55,IF(A56&lt;'Données projet'!$A$192,$EG$205^A56,IF(A56='Données projet'!$A$192,'Données projet'!$B$192,EJ55+EI56-ER55)))</f>
        <v>379</v>
      </c>
      <c r="EK56" s="17">
        <f>EJ56*VLOOKUP('Données projet'!$B$15,Paramètres!$A$1:$I$89,3,0)*VLOOKUP('Données projet'!$B$15,Paramètres!$A$1:$I$89,5,0)</f>
        <v>177.37200000000001</v>
      </c>
      <c r="EL56" s="13">
        <f t="shared" si="45"/>
        <v>44.737005048641883</v>
      </c>
      <c r="EM56" s="20">
        <f t="shared" si="19"/>
        <v>386.83985045971798</v>
      </c>
      <c r="EN56" s="59">
        <f t="shared" si="20"/>
        <v>680.17318379305129</v>
      </c>
      <c r="EO56" s="59">
        <f ca="1">AVERAGE(OFFSET($EN$3,0,0,'Données projet'!$E$15+1,1))-AVERAGE(OFFSET($H$3,0,0,'Données projet'!$E$15+1,1))</f>
        <v>273.3012268683454</v>
      </c>
      <c r="EP56" s="59">
        <f t="shared" si="46"/>
        <v>254.08208375594052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12.559816576305208</v>
      </c>
      <c r="EW56" s="21">
        <f>EXP(-LN(2)/25)*EW55+(1-EXP(-LN(2)/25))/(LN(2)/25)*Calculateur!ER56*Calculateur!ET56*VLOOKUP('Données projet'!$B$15,Paramètres!$A$1:$I$89,3,0)*0.475*44/12</f>
        <v>17.041501996371846</v>
      </c>
      <c r="EX56" s="21">
        <f>EXP(-LN(2)/2)*EX55+(1-EXP(-LN(2)/2))/(LN(2)/2)*ER56*EU56*VLOOKUP('Données projet'!$B$15,Paramètres!$A$1:$I$89,3,0)*0.475*44/12</f>
        <v>2.529499309894998</v>
      </c>
      <c r="EY56" s="22">
        <f t="shared" si="21"/>
        <v>32.130817882572046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10.199999999999999</v>
      </c>
      <c r="N57" s="13">
        <f>IF('Données projet'!$A$36&gt;35,N56+M57-V56,IF(A57&lt;'Données projet'!$A$36,$K$205^A57,IF(A57='Données projet'!$A$36,'Données projet'!$B$36,N56+M57-V56)))</f>
        <v>243.79999999999995</v>
      </c>
      <c r="O57" s="13">
        <f>N57*VLOOKUP('Données projet'!$B$9,Paramètres!$A$1:$I$89,3,0)*VLOOKUP('Données projet'!$B$9,Paramètres!$A$1:$I$89,5,0)</f>
        <v>220.59023999999997</v>
      </c>
      <c r="P57" s="13">
        <f t="shared" si="33"/>
        <v>54.24315145708789</v>
      </c>
      <c r="Q57" s="20">
        <f t="shared" si="53"/>
        <v>478.66815678776129</v>
      </c>
      <c r="R57" s="59">
        <f t="shared" si="0"/>
        <v>772.00149012109455</v>
      </c>
      <c r="S57" s="59">
        <f ca="1">AVERAGE(OFFSET($R$3,0,0,'Données projet'!$E$9+1,1))-AVERAGE(OFFSET($H$3,0,0,'Données projet'!$E$9+1,1))</f>
        <v>453.52760163325451</v>
      </c>
      <c r="T57" s="59">
        <f t="shared" si="34"/>
        <v>344.23959526427001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7.178357199485232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7.178357199485232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11</v>
      </c>
      <c r="AI57" s="13">
        <f>IF('Données projet'!$A$62&gt;35,AI56+AH57-AQ56,IF(A57&lt;'Données projet'!$A$62,$AF$205^A57,IF(A57='Données projet'!$A$62,'Données projet'!$B$62,AI56+AH57-AQ56)))</f>
        <v>233.00000000000003</v>
      </c>
      <c r="AJ57" s="13">
        <f>AI57*VLOOKUP('Données projet'!$B$10,Paramètres!$A$1:$I$89,3,0)*VLOOKUP('Données projet'!$B$10,Paramètres!$A$1:$I$89,5,0)</f>
        <v>199.91400000000007</v>
      </c>
      <c r="AK57" s="13">
        <f t="shared" si="35"/>
        <v>49.725267055272241</v>
      </c>
      <c r="AL57" s="20">
        <f t="shared" si="4"/>
        <v>434.78839012126599</v>
      </c>
      <c r="AM57" s="59">
        <f t="shared" si="5"/>
        <v>728.12172345459931</v>
      </c>
      <c r="AN57" s="59">
        <f ca="1">AVERAGE(OFFSET($AM$3,0,0,'Données projet'!$E$10+1,1))-AVERAGE(OFFSET($H$3,0,0,'Données projet'!$E$10+1,1))</f>
        <v>397.45670821030774</v>
      </c>
      <c r="AO57" s="59">
        <f t="shared" si="36"/>
        <v>256.77417912163997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8.3901007363670619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8.3901007363670619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6.875</v>
      </c>
      <c r="BD57" s="12">
        <f>IF('Données projet'!$A$88&gt;35,BD56+BC57-BL56,IF(A57&lt;'Données projet'!$A$88,$BA$205^A57,IF(A57='Données projet'!$A$88,'Données projet'!$B$88,BD56+BC57-BL56)))</f>
        <v>255.74999999999989</v>
      </c>
      <c r="BE57" s="13">
        <f>BD57*VLOOKUP('Données projet'!$B$11,Paramètres!$A$1:$I$89,3,0)*VLOOKUP('Données projet'!$B$11,Paramètres!$A$1:$I$89,5,0)</f>
        <v>199.48499999999993</v>
      </c>
      <c r="BF57" s="13">
        <f t="shared" si="37"/>
        <v>49.630969334674425</v>
      </c>
      <c r="BG57" s="20">
        <f t="shared" si="7"/>
        <v>433.87697992455782</v>
      </c>
      <c r="BH57" s="59">
        <f t="shared" si="8"/>
        <v>727.21031325789113</v>
      </c>
      <c r="BI57" s="59">
        <f ca="1">AVERAGE(OFFSET($BH$3,0,0,'Données projet'!$E$11+1,1))-AVERAGE(OFFSET($H$3,0,0,'Données projet'!$E$11+1,1))</f>
        <v>293.20194140252903</v>
      </c>
      <c r="BJ57" s="59">
        <f t="shared" si="38"/>
        <v>280.69048279989266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21.143837235370643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21.143837235370643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6</v>
      </c>
      <c r="BY57" s="12">
        <f>IF('Données projet'!$A$114&gt;35,BY56+BX57-CG56,IF(A57&lt;'Données projet'!$A$114,$BV$205^A57,IF(A57='Données projet'!$A$114,'Données projet'!$B$114,BY56+BX57-CG56)))</f>
        <v>225.99999999999989</v>
      </c>
      <c r="BZ57" s="13">
        <f>BY57*VLOOKUP('Données projet'!$B$12,Paramètres!$A$1:$I$89,3,0)*VLOOKUP('Données projet'!$B$12,Paramètres!$A$1:$I$89,5,0)</f>
        <v>179.80559999999991</v>
      </c>
      <c r="CA57" s="13">
        <f t="shared" si="39"/>
        <v>45.278933028529984</v>
      </c>
      <c r="CB57" s="20">
        <f t="shared" si="10"/>
        <v>392.02222835802286</v>
      </c>
      <c r="CC57" s="59">
        <f t="shared" si="11"/>
        <v>685.35556169135612</v>
      </c>
      <c r="CD57" s="59">
        <f ca="1">AVERAGE(OFFSET($CC$3,0,0,'Données projet'!$E$12+1,1))-AVERAGE(OFFSET($H$3,0,0,'Données projet'!$E$12+1,1))</f>
        <v>271.25628946149067</v>
      </c>
      <c r="CE57" s="59">
        <f t="shared" si="40"/>
        <v>292.57799203101769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23.182775366273862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23.182775366273862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5.6843418860808015E-14</v>
      </c>
      <c r="CU57" s="17">
        <f>CT57*VLOOKUP('Données projet'!$B$13,Paramètres!$A$1:$I$89,3,0)*VLOOKUP('Données projet'!$B$13,Paramètres!$A$1:$I$89,5,0)</f>
        <v>3.1036506698001178E-14</v>
      </c>
      <c r="CV57" s="13">
        <f t="shared" si="41"/>
        <v>5.3428243983771088E-13</v>
      </c>
      <c r="CW57" s="20">
        <f t="shared" si="13"/>
        <v>9.8459716521636505E-13</v>
      </c>
      <c r="CX57" s="59">
        <f t="shared" si="14"/>
        <v>293.33333333333428</v>
      </c>
      <c r="CY57" s="59">
        <f ca="1">AVERAGE(OFFSET($CX$3,0,0,'Données projet'!$E$13+1,1))-AVERAGE(OFFSET($H$3,0,0,'Données projet'!$E$13+1,1))</f>
        <v>210.03861149060413</v>
      </c>
      <c r="CZ57" s="59">
        <f t="shared" si="42"/>
        <v>298.74602928001929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101.99509257256389</v>
      </c>
      <c r="DG57" s="21">
        <f>EXP(-LN(2)/25)*DG56+(1-EXP(-LN(2)/25))/(LN(2)/25)*Calculateur!DB57*Calculateur!DD57*VLOOKUP('Données projet'!$B$13,Paramètres!$A$1:$I$89,3,0)*0.475*44/12</f>
        <v>50.085190435007384</v>
      </c>
      <c r="DH57" s="21">
        <f>EXP(-LN(2)/2)*DH56+(1-EXP(-LN(2)/2))/(LN(2)/2)*DB57*DE57*VLOOKUP('Données projet'!$B$13,Paramètres!$A$1:$I$89,3,0)*0.475*44/12</f>
        <v>9.0267615723147401</v>
      </c>
      <c r="DI57" s="22">
        <f t="shared" si="15"/>
        <v>161.10704457988601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17.995000000000005</v>
      </c>
      <c r="DO57" s="12">
        <f>IF('Données projet'!$A$166&gt;35,DO56+DN57-DW56,IF(A57&lt;'Données projet'!$A$166,$DL$205^A57,IF(A57='Données projet'!$A$166,'Données projet'!$B$166,DO56+DN57-DW56)))</f>
        <v>515.71000000000015</v>
      </c>
      <c r="DP57" s="17">
        <f>DO57*VLOOKUP('Données projet'!$B$14,Paramètres!$A$1:$I$89,3,0)*VLOOKUP('Données projet'!$B$14,Paramètres!$A$1:$I$89,5,0)</f>
        <v>308.39458000000013</v>
      </c>
      <c r="DQ57" s="13">
        <f t="shared" si="43"/>
        <v>72.933453329394183</v>
      </c>
      <c r="DR57" s="20">
        <f t="shared" si="16"/>
        <v>664.14632471536174</v>
      </c>
      <c r="DS57" s="59">
        <f t="shared" si="17"/>
        <v>957.479658048695</v>
      </c>
      <c r="DT57" s="59">
        <f ca="1">AVERAGE(OFFSET($DS$3,0,0,'Données projet'!$E$14+1,1))-AVERAGE(OFFSET($H$3,0,0,'Données projet'!$E$14+1,1))</f>
        <v>402.28353929315114</v>
      </c>
      <c r="DU57" s="59">
        <f t="shared" si="44"/>
        <v>376.94419168335463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20.287344576129399</v>
      </c>
      <c r="EB57" s="21">
        <f>EXP(-LN(2)/25)*EB56+(1-EXP(-LN(2)/25))/(LN(2)/25)*Calculateur!DW57*Calculateur!DY57*VLOOKUP('Données projet'!$B$14,Paramètres!$A$1:$I$89,3,0)*0.475*44/12</f>
        <v>25.904866694503763</v>
      </c>
      <c r="EC57" s="21">
        <f>EXP(-LN(2)/2)*EC56+(1-EXP(-LN(2)/2))/(LN(2)/2)*DW57*DZ57*VLOOKUP('Données projet'!$B$14,Paramètres!$A$1:$I$89,3,0)*0.475*44/12</f>
        <v>1.0593915028358594</v>
      </c>
      <c r="ED57" s="22">
        <f t="shared" si="18"/>
        <v>47.251602773469024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13</v>
      </c>
      <c r="EJ57" s="12">
        <f>IF('Données projet'!$A$192&gt;35,EJ56+EI57-ER56,IF(A57&lt;'Données projet'!$A$192,$EG$205^A57,IF(A57='Données projet'!$A$192,'Données projet'!$B$192,EJ56+EI57-ER56)))</f>
        <v>392</v>
      </c>
      <c r="EK57" s="17">
        <f>EJ57*VLOOKUP('Données projet'!$B$15,Paramètres!$A$1:$I$89,3,0)*VLOOKUP('Données projet'!$B$15,Paramètres!$A$1:$I$89,5,0)</f>
        <v>183.45600000000002</v>
      </c>
      <c r="EL57" s="13">
        <f t="shared" si="45"/>
        <v>46.090229375321144</v>
      </c>
      <c r="EM57" s="20">
        <f t="shared" si="19"/>
        <v>399.79301616201769</v>
      </c>
      <c r="EN57" s="59">
        <f t="shared" si="20"/>
        <v>693.12634949535095</v>
      </c>
      <c r="EO57" s="59">
        <f ca="1">AVERAGE(OFFSET($EN$3,0,0,'Données projet'!$E$15+1,1))-AVERAGE(OFFSET($H$3,0,0,'Données projet'!$E$15+1,1))</f>
        <v>273.3012268683454</v>
      </c>
      <c r="EP57" s="59">
        <f t="shared" si="46"/>
        <v>254.08208375594052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12.313526233975539</v>
      </c>
      <c r="EW57" s="21">
        <f>EXP(-LN(2)/25)*EW56+(1-EXP(-LN(2)/25))/(LN(2)/25)*Calculateur!ER57*Calculateur!ET57*VLOOKUP('Données projet'!$B$15,Paramètres!$A$1:$I$89,3,0)*0.475*44/12</f>
        <v>16.575501228107417</v>
      </c>
      <c r="EX57" s="21">
        <f>EXP(-LN(2)/2)*EX56+(1-EXP(-LN(2)/2))/(LN(2)/2)*ER57*EU57*VLOOKUP('Données projet'!$B$15,Paramètres!$A$1:$I$89,3,0)*0.475*44/12</f>
        <v>1.7886261150334455</v>
      </c>
      <c r="EY57" s="22">
        <f t="shared" si="21"/>
        <v>30.677653577116402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254</v>
      </c>
      <c r="L58" s="12">
        <f>VLOOKUP(A58,'Données projet'!$A$35:$I$55,9,0)</f>
        <v>10.199999999999999</v>
      </c>
      <c r="M58" s="12">
        <f t="array" ref="M58">INDEX(L:L,MIN(IF(ISNUMBER(L58:L254),ROW(L58:L254),"")))</f>
        <v>10.199999999999999</v>
      </c>
      <c r="N58" s="13">
        <f>IF('Données projet'!$A$36&gt;35,N57+M58-V57,IF(A58&lt;'Données projet'!$A$36,$K$205^A58,IF(A58='Données projet'!$A$36,'Données projet'!$B$36,N57+M58-V57)))</f>
        <v>253.99999999999994</v>
      </c>
      <c r="O58" s="13">
        <f>N58*VLOOKUP('Données projet'!$B$9,Paramètres!$A$1:$I$89,3,0)*VLOOKUP('Données projet'!$B$9,Paramètres!$A$1:$I$89,5,0)</f>
        <v>229.81919999999997</v>
      </c>
      <c r="P58" s="13">
        <f t="shared" si="33"/>
        <v>56.243586554989342</v>
      </c>
      <c r="Q58" s="20">
        <f t="shared" si="53"/>
        <v>498.22601991660639</v>
      </c>
      <c r="R58" s="59">
        <f t="shared" si="0"/>
        <v>791.5593532499397</v>
      </c>
      <c r="S58" s="59">
        <f ca="1">AVERAGE(OFFSET($R$3,0,0,'Données projet'!$E$9+1,1))-AVERAGE(OFFSET($H$3,0,0,'Données projet'!$E$9+1,1))</f>
        <v>453.52760163325451</v>
      </c>
      <c r="T58" s="59">
        <f t="shared" si="34"/>
        <v>344.23959526427001</v>
      </c>
      <c r="U58" s="15">
        <f>IF(ISNA(VLOOKUP(A58,'Données projet'!$A$35:$I$55,3,0)),0,VLOOKUP(A58,'Données projet'!$A$35:$I$55,3,0))</f>
        <v>8</v>
      </c>
      <c r="V58" s="15">
        <f>IF(ISNA(VLOOKUP(A58,'Données projet'!$A$35:$I$55,4,0)),0,VLOOKUP(A58,'Données projet'!$A$35:$I$55,4,0))</f>
        <v>28</v>
      </c>
      <c r="W58" s="16">
        <f>IF(ISNA(VLOOKUP(A58,'Données projet'!$A$35:$I$55,5,0)),0%,VLOOKUP(A58,'Données projet'!$A$35:$I$55,5,0)*VLOOKUP('Données projet'!$B$9,Paramètres!$A$1:$I$89,7,0))</f>
        <v>0.129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10.650423306206795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10.650423306206795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244</v>
      </c>
      <c r="AG58" s="12">
        <f>VLOOKUP(A58,'Données projet'!$A$61:$I$81,9,0)</f>
        <v>11</v>
      </c>
      <c r="AH58" s="12">
        <f t="array" ref="AH58">INDEX(AG:AG,MIN(IF(ISNUMBER(AG58:AG254),ROW(AG58:AG254),"")))</f>
        <v>11</v>
      </c>
      <c r="AI58" s="13">
        <f>IF('Données projet'!$A$62&gt;35,AI57+AH58-AQ57,IF(A58&lt;'Données projet'!$A$62,$AF$205^A58,IF(A58='Données projet'!$A$62,'Données projet'!$B$62,AI57+AH58-AQ57)))</f>
        <v>244.00000000000003</v>
      </c>
      <c r="AJ58" s="13">
        <f>AI58*VLOOKUP('Données projet'!$B$10,Paramètres!$A$1:$I$89,3,0)*VLOOKUP('Données projet'!$B$10,Paramètres!$A$1:$I$89,5,0)</f>
        <v>209.35200000000003</v>
      </c>
      <c r="AK58" s="13">
        <f t="shared" si="35"/>
        <v>51.79395593509436</v>
      </c>
      <c r="AL58" s="20">
        <f t="shared" si="4"/>
        <v>454.82920658695599</v>
      </c>
      <c r="AM58" s="59">
        <f t="shared" si="5"/>
        <v>748.1625399202893</v>
      </c>
      <c r="AN58" s="59">
        <f ca="1">AVERAGE(OFFSET($AM$3,0,0,'Données projet'!$E$10+1,1))-AVERAGE(OFFSET($H$3,0,0,'Données projet'!$E$10+1,1))</f>
        <v>397.45670821030774</v>
      </c>
      <c r="AO58" s="59">
        <f t="shared" si="36"/>
        <v>256.77417912163997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28</v>
      </c>
      <c r="AR58" s="16">
        <f>IF(ISNA(VLOOKUP(A58,'Données projet'!$A$61:$I$81,5,0)),0%,VLOOKUP(A58,'Données projet'!$A$61:$I$81,5,0)*VLOOKUP('Données projet'!$B$10,Paramètres!$A$1:$I$89,7,0))</f>
        <v>0.159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12.448269421649083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12.448269421649083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6.875</v>
      </c>
      <c r="BD58" s="12">
        <f>IF('Données projet'!$A$88&gt;35,BD57+BC58-BL57,IF(A58&lt;'Données projet'!$A$88,$BA$205^A58,IF(A58='Données projet'!$A$88,'Données projet'!$B$88,BD57+BC58-BL57)))</f>
        <v>262.62499999999989</v>
      </c>
      <c r="BE58" s="13">
        <f>BD58*VLOOKUP('Données projet'!$B$11,Paramètres!$A$1:$I$89,3,0)*VLOOKUP('Données projet'!$B$11,Paramètres!$A$1:$I$89,5,0)</f>
        <v>204.84749999999991</v>
      </c>
      <c r="BF58" s="13">
        <f t="shared" si="37"/>
        <v>50.808012105592304</v>
      </c>
      <c r="BG58" s="20">
        <f t="shared" si="7"/>
        <v>445.2666835839064</v>
      </c>
      <c r="BH58" s="59">
        <f t="shared" si="8"/>
        <v>738.60001691723971</v>
      </c>
      <c r="BI58" s="59">
        <f ca="1">AVERAGE(OFFSET($BH$3,0,0,'Données projet'!$E$11+1,1))-AVERAGE(OFFSET($H$3,0,0,'Données projet'!$E$11+1,1))</f>
        <v>293.20194140252903</v>
      </c>
      <c r="BJ58" s="59">
        <f t="shared" si="38"/>
        <v>280.69048279989266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20.729219483652319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20.729219483652319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232</v>
      </c>
      <c r="BW58" s="12">
        <f>VLOOKUP(A58,'Données projet'!$A$113:$I$133,9,0)</f>
        <v>6</v>
      </c>
      <c r="BX58" s="12">
        <f t="array" ref="BX58">INDEX(BW:BW,MIN(IF(ISNUMBER(BW58:BW254),ROW(BW58:BW254),"")))</f>
        <v>6</v>
      </c>
      <c r="BY58" s="12">
        <f>IF('Données projet'!$A$114&gt;35,BY57+BX58-CG57,IF(A58&lt;'Données projet'!$A$114,$BV$205^A58,IF(A58='Données projet'!$A$114,'Données projet'!$B$114,BY57+BX58-CG57)))</f>
        <v>231.99999999999989</v>
      </c>
      <c r="BZ58" s="13">
        <f>BY58*VLOOKUP('Données projet'!$B$12,Paramètres!$A$1:$I$89,3,0)*VLOOKUP('Données projet'!$B$12,Paramètres!$A$1:$I$89,5,0)</f>
        <v>184.57919999999993</v>
      </c>
      <c r="CA58" s="13">
        <f t="shared" si="39"/>
        <v>46.339479465836618</v>
      </c>
      <c r="CB58" s="20">
        <f t="shared" si="10"/>
        <v>402.18336673633195</v>
      </c>
      <c r="CC58" s="59">
        <f t="shared" si="11"/>
        <v>695.51670006966526</v>
      </c>
      <c r="CD58" s="59">
        <f ca="1">AVERAGE(OFFSET($CC$3,0,0,'Données projet'!$E$12+1,1))-AVERAGE(OFFSET($H$3,0,0,'Données projet'!$E$12+1,1))</f>
        <v>271.25628946149067</v>
      </c>
      <c r="CE58" s="59">
        <f t="shared" si="40"/>
        <v>292.57799203101769</v>
      </c>
      <c r="CF58" s="15">
        <f>IF(ISNA(VLOOKUP(A58,'Données projet'!$A$113:$I$133,3,0)),0,VLOOKUP(A58,'Données projet'!$A$113:$I$133,3,0))</f>
        <v>9</v>
      </c>
      <c r="CG58" s="15">
        <f>IF(ISNA(VLOOKUP(A58,'Données projet'!$A$113:$I$133,4,0)),0,VLOOKUP(A58,'Données projet'!$A$113:$I$133,4,0))</f>
        <v>13</v>
      </c>
      <c r="CH58" s="16">
        <f>IF(ISNA(VLOOKUP(A58,'Données projet'!$A$113:$I$133,5,0)),0%,VLOOKUP(A58,'Données projet'!$A$113:$I$133,5,0)*VLOOKUP('Données projet'!$B$12,Paramètres!$A$1:$I$89,7,0))</f>
        <v>0.318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26.364078856613808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26.364078856613808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5.6843418860808015E-14</v>
      </c>
      <c r="CU58" s="17">
        <f>CT58*VLOOKUP('Données projet'!$B$13,Paramètres!$A$1:$I$89,3,0)*VLOOKUP('Données projet'!$B$13,Paramètres!$A$1:$I$89,5,0)</f>
        <v>3.1036506698001178E-14</v>
      </c>
      <c r="CV58" s="13">
        <f t="shared" si="41"/>
        <v>5.3428243983771088E-13</v>
      </c>
      <c r="CW58" s="20">
        <f t="shared" si="13"/>
        <v>9.8459716521636505E-13</v>
      </c>
      <c r="CX58" s="59">
        <f t="shared" si="14"/>
        <v>293.33333333333428</v>
      </c>
      <c r="CY58" s="59">
        <f ca="1">AVERAGE(OFFSET($CX$3,0,0,'Données projet'!$E$13+1,1))-AVERAGE(OFFSET($H$3,0,0,'Données projet'!$E$13+1,1))</f>
        <v>210.03861149060413</v>
      </c>
      <c r="CZ58" s="59">
        <f t="shared" si="42"/>
        <v>298.74602928001929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99.995031018079573</v>
      </c>
      <c r="DG58" s="21">
        <f>EXP(-LN(2)/25)*DG57+(1-EXP(-LN(2)/25))/(LN(2)/25)*Calculateur!DB58*Calculateur!DD58*VLOOKUP('Données projet'!$B$13,Paramètres!$A$1:$I$89,3,0)*0.475*44/12</f>
        <v>48.715608268696414</v>
      </c>
      <c r="DH58" s="21">
        <f>EXP(-LN(2)/2)*DH57+(1-EXP(-LN(2)/2))/(LN(2)/2)*DB58*DE58*VLOOKUP('Données projet'!$B$13,Paramètres!$A$1:$I$89,3,0)*0.475*44/12</f>
        <v>6.3828843199378946</v>
      </c>
      <c r="DI58" s="22">
        <f t="shared" si="15"/>
        <v>155.09352360671386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17.995000000000005</v>
      </c>
      <c r="DO58" s="12">
        <f>IF('Données projet'!$A$166&gt;35,DO57+DN58-DW57,IF(A58&lt;'Données projet'!$A$166,$DL$205^A58,IF(A58='Données projet'!$A$166,'Données projet'!$B$166,DO57+DN58-DW57)))</f>
        <v>533.70500000000015</v>
      </c>
      <c r="DP58" s="17">
        <f>DO58*VLOOKUP('Données projet'!$B$14,Paramètres!$A$1:$I$89,3,0)*VLOOKUP('Données projet'!$B$14,Paramètres!$A$1:$I$89,5,0)</f>
        <v>319.15559000000013</v>
      </c>
      <c r="DQ58" s="13">
        <f t="shared" si="43"/>
        <v>75.177630731012741</v>
      </c>
      <c r="DR58" s="20">
        <f t="shared" si="16"/>
        <v>686.79702610651418</v>
      </c>
      <c r="DS58" s="59">
        <f t="shared" si="17"/>
        <v>980.13035943984755</v>
      </c>
      <c r="DT58" s="59">
        <f ca="1">AVERAGE(OFFSET($DS$3,0,0,'Données projet'!$E$14+1,1))-AVERAGE(OFFSET($H$3,0,0,'Données projet'!$E$14+1,1))</f>
        <v>402.28353929315114</v>
      </c>
      <c r="DU58" s="59">
        <f t="shared" si="44"/>
        <v>376.94419168335463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19.889522123049858</v>
      </c>
      <c r="EB58" s="21">
        <f>EXP(-LN(2)/25)*EB57+(1-EXP(-LN(2)/25))/(LN(2)/25)*Calculateur!DW58*Calculateur!DY58*VLOOKUP('Données projet'!$B$14,Paramètres!$A$1:$I$89,3,0)*0.475*44/12</f>
        <v>25.196496752464824</v>
      </c>
      <c r="EC58" s="21">
        <f>EXP(-LN(2)/2)*EC57+(1-EXP(-LN(2)/2))/(LN(2)/2)*DW58*DZ58*VLOOKUP('Données projet'!$B$14,Paramètres!$A$1:$I$89,3,0)*0.475*44/12</f>
        <v>0.74910291558664377</v>
      </c>
      <c r="ED58" s="22">
        <f t="shared" si="18"/>
        <v>45.835121791101329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13</v>
      </c>
      <c r="EJ58" s="12">
        <f>IF('Données projet'!$A$192&gt;35,EJ57+EI58-ER57,IF(A58&lt;'Données projet'!$A$192,$EG$205^A58,IF(A58='Données projet'!$A$192,'Données projet'!$B$192,EJ57+EI58-ER57)))</f>
        <v>405</v>
      </c>
      <c r="EK58" s="17">
        <f>EJ58*VLOOKUP('Données projet'!$B$15,Paramètres!$A$1:$I$89,3,0)*VLOOKUP('Données projet'!$B$15,Paramètres!$A$1:$I$89,5,0)</f>
        <v>189.54</v>
      </c>
      <c r="EL58" s="13">
        <f t="shared" si="45"/>
        <v>47.438239039488813</v>
      </c>
      <c r="EM58" s="20">
        <f t="shared" si="19"/>
        <v>412.73709966044299</v>
      </c>
      <c r="EN58" s="59">
        <f t="shared" si="20"/>
        <v>706.07043299377631</v>
      </c>
      <c r="EO58" s="59">
        <f ca="1">AVERAGE(OFFSET($EN$3,0,0,'Données projet'!$E$15+1,1))-AVERAGE(OFFSET($H$3,0,0,'Données projet'!$E$15+1,1))</f>
        <v>273.3012268683454</v>
      </c>
      <c r="EP58" s="59">
        <f t="shared" si="46"/>
        <v>254.08208375594052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12.07206549503668</v>
      </c>
      <c r="EW58" s="21">
        <f>EXP(-LN(2)/25)*EW57+(1-EXP(-LN(2)/25))/(LN(2)/25)*Calculateur!ER58*Calculateur!ET58*VLOOKUP('Données projet'!$B$15,Paramètres!$A$1:$I$89,3,0)*0.475*44/12</f>
        <v>16.122243275357093</v>
      </c>
      <c r="EX58" s="21">
        <f>EXP(-LN(2)/2)*EX57+(1-EXP(-LN(2)/2))/(LN(2)/2)*ER58*EU58*VLOOKUP('Données projet'!$B$15,Paramètres!$A$1:$I$89,3,0)*0.475*44/12</f>
        <v>1.2647496549474992</v>
      </c>
      <c r="EY58" s="22">
        <f t="shared" si="21"/>
        <v>29.459058425341276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9.4</v>
      </c>
      <c r="N59" s="13">
        <f>IF('Données projet'!$A$36&gt;35,N58+M59-V58,IF(A59&lt;'Données projet'!$A$36,$K$205^A59,IF(A59='Données projet'!$A$36,'Données projet'!$B$36,N58+M59-V58)))</f>
        <v>235.39999999999992</v>
      </c>
      <c r="O59" s="13">
        <f>N59*VLOOKUP('Données projet'!$B$9,Paramètres!$A$1:$I$89,3,0)*VLOOKUP('Données projet'!$B$9,Paramètres!$A$1:$I$89,5,0)</f>
        <v>212.98991999999993</v>
      </c>
      <c r="P59" s="13">
        <f t="shared" si="33"/>
        <v>52.588419883221121</v>
      </c>
      <c r="Q59" s="20">
        <f t="shared" si="53"/>
        <v>462.5489419632766</v>
      </c>
      <c r="R59" s="59">
        <f t="shared" si="0"/>
        <v>755.88227529660992</v>
      </c>
      <c r="S59" s="59">
        <f ca="1">AVERAGE(OFFSET($R$3,0,0,'Données projet'!$E$9+1,1))-AVERAGE(OFFSET($H$3,0,0,'Données projet'!$E$9+1,1))</f>
        <v>453.52760163325451</v>
      </c>
      <c r="T59" s="59">
        <f t="shared" si="34"/>
        <v>344.23959526427001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10.441575001288859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10.441575001288859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10.8</v>
      </c>
      <c r="AI59" s="13">
        <f>IF('Données projet'!$A$62&gt;35,AI58+AH59-AQ58,IF(A59&lt;'Données projet'!$A$62,$AF$205^A59,IF(A59='Données projet'!$A$62,'Données projet'!$B$62,AI58+AH59-AQ58)))</f>
        <v>226.80000000000004</v>
      </c>
      <c r="AJ59" s="13">
        <f>AI59*VLOOKUP('Données projet'!$B$10,Paramètres!$A$1:$I$89,3,0)*VLOOKUP('Données projet'!$B$10,Paramètres!$A$1:$I$89,5,0)</f>
        <v>194.59440000000006</v>
      </c>
      <c r="AK59" s="13">
        <f t="shared" si="35"/>
        <v>48.554292648263456</v>
      </c>
      <c r="AL59" s="20">
        <f t="shared" si="4"/>
        <v>423.48397302905897</v>
      </c>
      <c r="AM59" s="59">
        <f t="shared" si="5"/>
        <v>716.81730636239229</v>
      </c>
      <c r="AN59" s="59">
        <f ca="1">AVERAGE(OFFSET($AM$3,0,0,'Données projet'!$E$10+1,1))-AVERAGE(OFFSET($H$3,0,0,'Données projet'!$E$10+1,1))</f>
        <v>397.45670821030774</v>
      </c>
      <c r="AO59" s="59">
        <f t="shared" si="36"/>
        <v>256.77417912163997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12.204166450985175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12.204166450985175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6.875</v>
      </c>
      <c r="BD59" s="12">
        <f>IF('Données projet'!$A$88&gt;35,BD58+BC59-BL58,IF(A59&lt;'Données projet'!$A$88,$BA$205^A59,IF(A59='Données projet'!$A$88,'Données projet'!$B$88,BD58+BC59-BL58)))</f>
        <v>269.49999999999989</v>
      </c>
      <c r="BE59" s="13">
        <f>BD59*VLOOKUP('Données projet'!$B$11,Paramètres!$A$1:$I$89,3,0)*VLOOKUP('Données projet'!$B$11,Paramètres!$A$1:$I$89,5,0)</f>
        <v>210.20999999999992</v>
      </c>
      <c r="BF59" s="13">
        <f t="shared" si="37"/>
        <v>51.981473312002848</v>
      </c>
      <c r="BG59" s="20">
        <f t="shared" si="7"/>
        <v>456.65014935173809</v>
      </c>
      <c r="BH59" s="59">
        <f t="shared" si="8"/>
        <v>749.98348268507141</v>
      </c>
      <c r="BI59" s="59">
        <f ca="1">AVERAGE(OFFSET($BH$3,0,0,'Données projet'!$E$11+1,1))-AVERAGE(OFFSET($H$3,0,0,'Données projet'!$E$11+1,1))</f>
        <v>293.20194140252903</v>
      </c>
      <c r="BJ59" s="59">
        <f t="shared" si="38"/>
        <v>280.69048279989266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20.322732133153334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20.322732133153334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5.2</v>
      </c>
      <c r="BY59" s="12">
        <f>IF('Données projet'!$A$114&gt;35,BY58+BX59-CG58,IF(A59&lt;'Données projet'!$A$114,$BV$205^A59,IF(A59='Données projet'!$A$114,'Données projet'!$B$114,BY58+BX59-CG58)))</f>
        <v>224.19999999999987</v>
      </c>
      <c r="BZ59" s="13">
        <f>BY59*VLOOKUP('Données projet'!$B$12,Paramètres!$A$1:$I$89,3,0)*VLOOKUP('Données projet'!$B$12,Paramètres!$A$1:$I$89,5,0)</f>
        <v>178.37351999999993</v>
      </c>
      <c r="CA59" s="13">
        <f t="shared" si="39"/>
        <v>44.960133388294842</v>
      </c>
      <c r="CB59" s="20">
        <f t="shared" si="10"/>
        <v>388.97277965128006</v>
      </c>
      <c r="CC59" s="59">
        <f t="shared" si="11"/>
        <v>682.30611298461338</v>
      </c>
      <c r="CD59" s="59">
        <f ca="1">AVERAGE(OFFSET($CC$3,0,0,'Données projet'!$E$12+1,1))-AVERAGE(OFFSET($H$3,0,0,'Données projet'!$E$12+1,1))</f>
        <v>271.25628946149067</v>
      </c>
      <c r="CE59" s="59">
        <f t="shared" si="40"/>
        <v>292.57799203101769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25.847095350735895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25.847095350735895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5.6843418860808015E-14</v>
      </c>
      <c r="CU59" s="17">
        <f>CT59*VLOOKUP('Données projet'!$B$13,Paramètres!$A$1:$I$89,3,0)*VLOOKUP('Données projet'!$B$13,Paramètres!$A$1:$I$89,5,0)</f>
        <v>3.1036506698001178E-14</v>
      </c>
      <c r="CV59" s="13">
        <f t="shared" si="41"/>
        <v>5.3428243983771088E-13</v>
      </c>
      <c r="CW59" s="20">
        <f t="shared" si="13"/>
        <v>9.8459716521636505E-13</v>
      </c>
      <c r="CX59" s="59">
        <f t="shared" si="14"/>
        <v>293.33333333333428</v>
      </c>
      <c r="CY59" s="59">
        <f ca="1">AVERAGE(OFFSET($CX$3,0,0,'Données projet'!$E$13+1,1))-AVERAGE(OFFSET($H$3,0,0,'Données projet'!$E$13+1,1))</f>
        <v>210.03861149060413</v>
      </c>
      <c r="CZ59" s="59">
        <f t="shared" si="42"/>
        <v>298.74602928001929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98.034189450761602</v>
      </c>
      <c r="DG59" s="21">
        <f>EXP(-LN(2)/25)*DG58+(1-EXP(-LN(2)/25))/(LN(2)/25)*Calculateur!DB59*Calculateur!DD59*VLOOKUP('Données projet'!$B$13,Paramètres!$A$1:$I$89,3,0)*0.475*44/12</f>
        <v>47.383477398746415</v>
      </c>
      <c r="DH59" s="21">
        <f>EXP(-LN(2)/2)*DH58+(1-EXP(-LN(2)/2))/(LN(2)/2)*DB59*DE59*VLOOKUP('Données projet'!$B$13,Paramètres!$A$1:$I$89,3,0)*0.475*44/12</f>
        <v>4.51338078615737</v>
      </c>
      <c r="DI59" s="22">
        <f t="shared" si="15"/>
        <v>149.93104763566538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>
        <f>VLOOKUP(A59,'Données projet'!$A$165:$I$185,2,0)</f>
        <v>551.70000000000005</v>
      </c>
      <c r="DM59" s="12">
        <f>VLOOKUP(A59,'Données projet'!$A$165:$I$185,9,0)</f>
        <v>17.995000000000005</v>
      </c>
      <c r="DN59" s="12">
        <f t="array" ref="DN59">INDEX(DM:DM,MIN(IF(ISNUMBER(DM59:DM255),ROW(DM59:DM255),"")))</f>
        <v>17.995000000000005</v>
      </c>
      <c r="DO59" s="12">
        <f>IF('Données projet'!$A$166&gt;35,DO58+DN59-DW58,IF(A59&lt;'Données projet'!$A$166,$DL$205^A59,IF(A59='Données projet'!$A$166,'Données projet'!$B$166,DO58+DN59-DW58)))</f>
        <v>551.70000000000016</v>
      </c>
      <c r="DP59" s="17">
        <f>DO59*VLOOKUP('Données projet'!$B$14,Paramètres!$A$1:$I$89,3,0)*VLOOKUP('Données projet'!$B$14,Paramètres!$A$1:$I$89,5,0)</f>
        <v>329.91660000000013</v>
      </c>
      <c r="DQ59" s="13">
        <f t="shared" si="43"/>
        <v>77.413015969653813</v>
      </c>
      <c r="DR59" s="20">
        <f t="shared" si="16"/>
        <v>709.43241448048059</v>
      </c>
      <c r="DS59" s="59">
        <f t="shared" si="17"/>
        <v>1002.765747813814</v>
      </c>
      <c r="DT59" s="59">
        <f ca="1">AVERAGE(OFFSET($DS$3,0,0,'Données projet'!$E$14+1,1))-AVERAGE(OFFSET($H$3,0,0,'Données projet'!$E$14+1,1))</f>
        <v>402.28353929315114</v>
      </c>
      <c r="DU59" s="59">
        <f t="shared" si="44"/>
        <v>376.94419168335463</v>
      </c>
      <c r="DV59" s="15">
        <f>IF(ISNA(VLOOKUP(A59,'Données projet'!$A$165:$I$185,3,0)),0,VLOOKUP(A59,'Données projet'!$A$165:$I$185,3,0))</f>
        <v>11</v>
      </c>
      <c r="DW59" s="15">
        <f>IF(ISNA(VLOOKUP(A59,'Données projet'!$A$165:$I$185,4,0)),0,VLOOKUP(A59,'Données projet'!$A$165:$I$185,4,0))</f>
        <v>77</v>
      </c>
      <c r="DX59" s="16">
        <f>IF(ISNA(VLOOKUP(A59,'Données projet'!$A$165:$I$185,5,0)),0%,VLOOKUP(A59,'Données projet'!$A$165:$I$185,5,0)*VLOOKUP('Données projet'!$B$14,Paramètres!$A$1:$I$89,7,0))</f>
        <v>0.22500000000000001</v>
      </c>
      <c r="DY59" s="16">
        <f>IF(ISNA(VLOOKUP(A59,'Données projet'!$A$165:$I$185,6,0)),0%,VLOOKUP(A59,'Données projet'!$A$165:$I$185,6,0)*VLOOKUP('Données projet'!$B$14,Paramètres!$A$1:$I$89,7,0))</f>
        <v>0.12600000000000003</v>
      </c>
      <c r="DZ59" s="16">
        <f>IF(ISNA(VLOOKUP(A59,'Données projet'!$A$165:$I$185,7,0)),0%,VLOOKUP(A59,'Données projet'!$A$165:$I$185,7,0))</f>
        <v>0.22</v>
      </c>
      <c r="EA59" s="21">
        <f>EXP(-LN(2)/35)*EA58+(1-EXP(-LN(2)/35))/(LN(2)/35)*DW59*DX59*VLOOKUP('Données projet'!$B$14,Paramètres!$A$1:$I$89,3,0)*0.475*44/12</f>
        <v>33.243172781540508</v>
      </c>
      <c r="EB59" s="21">
        <f>EXP(-LN(2)/25)*EB58+(1-EXP(-LN(2)/25))/(LN(2)/25)*Calculateur!DW59*Calculateur!DY59*VLOOKUP('Données projet'!$B$14,Paramètres!$A$1:$I$89,3,0)*0.475*44/12</f>
        <v>32.173649693818909</v>
      </c>
      <c r="EC59" s="21">
        <f>EXP(-LN(2)/2)*EC58+(1-EXP(-LN(2)/2))/(LN(2)/2)*DW59*DZ59*VLOOKUP('Données projet'!$B$14,Paramètres!$A$1:$I$89,3,0)*0.475*44/12</f>
        <v>11.999344793236732</v>
      </c>
      <c r="ED59" s="22">
        <f t="shared" si="18"/>
        <v>77.416167268596155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13</v>
      </c>
      <c r="EJ59" s="12">
        <f>IF('Données projet'!$A$192&gt;35,EJ58+EI59-ER58,IF(A59&lt;'Données projet'!$A$192,$EG$205^A59,IF(A59='Données projet'!$A$192,'Données projet'!$B$192,EJ58+EI59-ER58)))</f>
        <v>418</v>
      </c>
      <c r="EK59" s="17">
        <f>EJ59*VLOOKUP('Données projet'!$B$15,Paramètres!$A$1:$I$89,3,0)*VLOOKUP('Données projet'!$B$15,Paramètres!$A$1:$I$89,5,0)</f>
        <v>195.624</v>
      </c>
      <c r="EL59" s="13">
        <f t="shared" si="45"/>
        <v>48.781220625276006</v>
      </c>
      <c r="EM59" s="20">
        <f t="shared" si="19"/>
        <v>425.67242592235567</v>
      </c>
      <c r="EN59" s="59">
        <f t="shared" si="20"/>
        <v>719.00575925568899</v>
      </c>
      <c r="EO59" s="59">
        <f ca="1">AVERAGE(OFFSET($EN$3,0,0,'Données projet'!$E$15+1,1))-AVERAGE(OFFSET($H$3,0,0,'Données projet'!$E$15+1,1))</f>
        <v>273.3012268683454</v>
      </c>
      <c r="EP59" s="59">
        <f t="shared" si="46"/>
        <v>254.08208375594052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11.835339653911904</v>
      </c>
      <c r="EW59" s="21">
        <f>EXP(-LN(2)/25)*EW58+(1-EXP(-LN(2)/25))/(LN(2)/25)*Calculateur!ER59*Calculateur!ET59*VLOOKUP('Données projet'!$B$15,Paramètres!$A$1:$I$89,3,0)*0.475*44/12</f>
        <v>15.681379685160527</v>
      </c>
      <c r="EX59" s="21">
        <f>EXP(-LN(2)/2)*EX58+(1-EXP(-LN(2)/2))/(LN(2)/2)*ER59*EU59*VLOOKUP('Données projet'!$B$15,Paramètres!$A$1:$I$89,3,0)*0.475*44/12</f>
        <v>0.89431305751672285</v>
      </c>
      <c r="EY59" s="22">
        <f t="shared" si="21"/>
        <v>28.411032396589153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9.4</v>
      </c>
      <c r="N60" s="13">
        <f>IF('Données projet'!$A$36&gt;35,N59+M60-V59,IF(A60&lt;'Données projet'!$A$36,$K$205^A60,IF(A60='Données projet'!$A$36,'Données projet'!$B$36,N59+M60-V59)))</f>
        <v>244.79999999999993</v>
      </c>
      <c r="O60" s="13">
        <f>N60*VLOOKUP('Données projet'!$B$9,Paramètres!$A$1:$I$89,3,0)*VLOOKUP('Données projet'!$B$9,Paramètres!$A$1:$I$89,5,0)</f>
        <v>221.49503999999993</v>
      </c>
      <c r="P60" s="13">
        <f t="shared" si="33"/>
        <v>54.439697086174412</v>
      </c>
      <c r="Q60" s="20">
        <f t="shared" si="53"/>
        <v>480.58633375842027</v>
      </c>
      <c r="R60" s="59">
        <f t="shared" si="0"/>
        <v>773.91966709175358</v>
      </c>
      <c r="S60" s="59">
        <f ca="1">AVERAGE(OFFSET($R$3,0,0,'Données projet'!$E$9+1,1))-AVERAGE(OFFSET($H$3,0,0,'Données projet'!$E$9+1,1))</f>
        <v>453.52760163325451</v>
      </c>
      <c r="T60" s="59">
        <f t="shared" si="34"/>
        <v>344.23959526427001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10.236822084245475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10.236822084245475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10.8</v>
      </c>
      <c r="AI60" s="13">
        <f>IF('Données projet'!$A$62&gt;35,AI59+AH60-AQ59,IF(A60&lt;'Données projet'!$A$62,$AF$205^A60,IF(A60='Données projet'!$A$62,'Données projet'!$B$62,AI59+AH60-AQ59)))</f>
        <v>237.60000000000005</v>
      </c>
      <c r="AJ60" s="13">
        <f>AI60*VLOOKUP('Données projet'!$B$10,Paramètres!$A$1:$I$89,3,0)*VLOOKUP('Données projet'!$B$10,Paramètres!$A$1:$I$89,5,0)</f>
        <v>203.86080000000007</v>
      </c>
      <c r="AK60" s="13">
        <f t="shared" si="35"/>
        <v>50.591708220421786</v>
      </c>
      <c r="AL60" s="20">
        <f t="shared" si="4"/>
        <v>443.17145181723475</v>
      </c>
      <c r="AM60" s="59">
        <f t="shared" si="5"/>
        <v>736.50478515056807</v>
      </c>
      <c r="AN60" s="59">
        <f ca="1">AVERAGE(OFFSET($AM$3,0,0,'Données projet'!$E$10+1,1))-AVERAGE(OFFSET($H$3,0,0,'Données projet'!$E$10+1,1))</f>
        <v>397.45670821030774</v>
      </c>
      <c r="AO60" s="59">
        <f t="shared" si="36"/>
        <v>256.77417912163997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11.964850190687876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11.964850190687876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6.875</v>
      </c>
      <c r="BD60" s="12">
        <f>IF('Données projet'!$A$88&gt;35,BD59+BC60-BL59,IF(A60&lt;'Données projet'!$A$88,$BA$205^A60,IF(A60='Données projet'!$A$88,'Données projet'!$B$88,BD59+BC60-BL59)))</f>
        <v>276.37499999999989</v>
      </c>
      <c r="BE60" s="13">
        <f>BD60*VLOOKUP('Données projet'!$B$11,Paramètres!$A$1:$I$89,3,0)*VLOOKUP('Données projet'!$B$11,Paramètres!$A$1:$I$89,5,0)</f>
        <v>215.57249999999991</v>
      </c>
      <c r="BF60" s="13">
        <f t="shared" si="37"/>
        <v>53.151454826468381</v>
      </c>
      <c r="BG60" s="20">
        <f t="shared" si="7"/>
        <v>468.02755465609886</v>
      </c>
      <c r="BH60" s="59">
        <f t="shared" si="8"/>
        <v>761.36088798943217</v>
      </c>
      <c r="BI60" s="59">
        <f ca="1">AVERAGE(OFFSET($BH$3,0,0,'Données projet'!$E$11+1,1))-AVERAGE(OFFSET($H$3,0,0,'Données projet'!$E$11+1,1))</f>
        <v>293.20194140252903</v>
      </c>
      <c r="BJ60" s="59">
        <f t="shared" si="38"/>
        <v>280.69048279989266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19.924215751664832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19.924215751664832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5.2</v>
      </c>
      <c r="BY60" s="12">
        <f>IF('Données projet'!$A$114&gt;35,BY59+BX60-CG59,IF(A60&lt;'Données projet'!$A$114,$BV$205^A60,IF(A60='Données projet'!$A$114,'Données projet'!$B$114,BY59+BX60-CG59)))</f>
        <v>229.39999999999986</v>
      </c>
      <c r="BZ60" s="13">
        <f>BY60*VLOOKUP('Données projet'!$B$12,Paramètres!$A$1:$I$89,3,0)*VLOOKUP('Données projet'!$B$12,Paramètres!$A$1:$I$89,5,0)</f>
        <v>182.51063999999988</v>
      </c>
      <c r="CA60" s="13">
        <f t="shared" si="39"/>
        <v>45.880306213791371</v>
      </c>
      <c r="CB60" s="20">
        <f t="shared" si="10"/>
        <v>397.78089798901971</v>
      </c>
      <c r="CC60" s="59">
        <f t="shared" si="11"/>
        <v>691.11423132235302</v>
      </c>
      <c r="CD60" s="59">
        <f ca="1">AVERAGE(OFFSET($CC$3,0,0,'Données projet'!$E$12+1,1))-AVERAGE(OFFSET($H$3,0,0,'Données projet'!$E$12+1,1))</f>
        <v>271.25628946149067</v>
      </c>
      <c r="CE60" s="59">
        <f t="shared" si="40"/>
        <v>292.57799203101769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25.340249576079447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25.340249576079447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5.6843418860808015E-14</v>
      </c>
      <c r="CU60" s="17">
        <f>CT60*VLOOKUP('Données projet'!$B$13,Paramètres!$A$1:$I$89,3,0)*VLOOKUP('Données projet'!$B$13,Paramètres!$A$1:$I$89,5,0)</f>
        <v>3.1036506698001178E-14</v>
      </c>
      <c r="CV60" s="13">
        <f t="shared" si="41"/>
        <v>5.3428243983771088E-13</v>
      </c>
      <c r="CW60" s="20">
        <f t="shared" si="13"/>
        <v>9.8459716521636505E-13</v>
      </c>
      <c r="CX60" s="59">
        <f t="shared" si="14"/>
        <v>293.33333333333428</v>
      </c>
      <c r="CY60" s="59">
        <f ca="1">AVERAGE(OFFSET($CX$3,0,0,'Données projet'!$E$13+1,1))-AVERAGE(OFFSET($H$3,0,0,'Données projet'!$E$13+1,1))</f>
        <v>210.03861149060413</v>
      </c>
      <c r="CZ60" s="59">
        <f t="shared" si="42"/>
        <v>298.74602928001929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96.111798790583464</v>
      </c>
      <c r="DG60" s="21">
        <f>EXP(-LN(2)/25)*DG59+(1-EXP(-LN(2)/25))/(LN(2)/25)*Calculateur!DB60*Calculateur!DD60*VLOOKUP('Données projet'!$B$13,Paramètres!$A$1:$I$89,3,0)*0.475*44/12</f>
        <v>46.087773717488915</v>
      </c>
      <c r="DH60" s="21">
        <f>EXP(-LN(2)/2)*DH59+(1-EXP(-LN(2)/2))/(LN(2)/2)*DB60*DE60*VLOOKUP('Données projet'!$B$13,Paramètres!$A$1:$I$89,3,0)*0.475*44/12</f>
        <v>3.1914421599689473</v>
      </c>
      <c r="DI60" s="22">
        <f t="shared" si="15"/>
        <v>145.39101466804132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15.683333333333318</v>
      </c>
      <c r="DO60" s="12">
        <f>IF('Données projet'!$A$166&gt;35,DO59+DN60-DW59,IF(A60&lt;'Données projet'!$A$166,$DL$205^A60,IF(A60='Données projet'!$A$166,'Données projet'!$B$166,DO59+DN60-DW59)))</f>
        <v>490.38333333333344</v>
      </c>
      <c r="DP60" s="17">
        <f>DO60*VLOOKUP('Données projet'!$B$14,Paramètres!$A$1:$I$89,3,0)*VLOOKUP('Données projet'!$B$14,Paramètres!$A$1:$I$89,5,0)</f>
        <v>293.24923333333345</v>
      </c>
      <c r="DQ60" s="13">
        <f t="shared" si="43"/>
        <v>69.759374333428127</v>
      </c>
      <c r="DR60" s="20">
        <f t="shared" si="16"/>
        <v>632.23999168627631</v>
      </c>
      <c r="DS60" s="59">
        <f t="shared" si="17"/>
        <v>925.57332501960968</v>
      </c>
      <c r="DT60" s="59">
        <f ca="1">AVERAGE(OFFSET($DS$3,0,0,'Données projet'!$E$14+1,1))-AVERAGE(OFFSET($H$3,0,0,'Données projet'!$E$14+1,1))</f>
        <v>402.28353929315114</v>
      </c>
      <c r="DU60" s="59">
        <f t="shared" si="44"/>
        <v>376.94419168335463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32.591294439627774</v>
      </c>
      <c r="EB60" s="21">
        <f>EXP(-LN(2)/25)*EB59+(1-EXP(-LN(2)/25))/(LN(2)/25)*Calculateur!DW60*Calculateur!DY60*VLOOKUP('Données projet'!$B$14,Paramètres!$A$1:$I$89,3,0)*0.475*44/12</f>
        <v>31.293859551002729</v>
      </c>
      <c r="EC60" s="21">
        <f>EXP(-LN(2)/2)*EC59+(1-EXP(-LN(2)/2))/(LN(2)/2)*DW60*DZ60*VLOOKUP('Données projet'!$B$14,Paramètres!$A$1:$I$89,3,0)*0.475*44/12</f>
        <v>8.4848180730931855</v>
      </c>
      <c r="ED60" s="22">
        <f t="shared" si="18"/>
        <v>72.369972063723679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13</v>
      </c>
      <c r="EJ60" s="12">
        <f>IF('Données projet'!$A$192&gt;35,EJ59+EI60-ER59,IF(A60&lt;'Données projet'!$A$192,$EG$205^A60,IF(A60='Données projet'!$A$192,'Données projet'!$B$192,EJ59+EI60-ER59)))</f>
        <v>431</v>
      </c>
      <c r="EK60" s="17">
        <f>EJ60*VLOOKUP('Données projet'!$B$15,Paramètres!$A$1:$I$89,3,0)*VLOOKUP('Données projet'!$B$15,Paramètres!$A$1:$I$89,5,0)</f>
        <v>201.708</v>
      </c>
      <c r="EL60" s="13">
        <f t="shared" si="45"/>
        <v>50.119348451854286</v>
      </c>
      <c r="EM60" s="20">
        <f t="shared" si="19"/>
        <v>438.59929855364618</v>
      </c>
      <c r="EN60" s="59">
        <f t="shared" si="20"/>
        <v>731.93263188697949</v>
      </c>
      <c r="EO60" s="59">
        <f ca="1">AVERAGE(OFFSET($EN$3,0,0,'Données projet'!$E$15+1,1))-AVERAGE(OFFSET($H$3,0,0,'Données projet'!$E$15+1,1))</f>
        <v>273.3012268683454</v>
      </c>
      <c r="EP60" s="59">
        <f t="shared" si="46"/>
        <v>254.08208375594052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11.603255862143078</v>
      </c>
      <c r="EW60" s="21">
        <f>EXP(-LN(2)/25)*EW59+(1-EXP(-LN(2)/25))/(LN(2)/25)*Calculateur!ER60*Calculateur!ET60*VLOOKUP('Données projet'!$B$15,Paramètres!$A$1:$I$89,3,0)*0.475*44/12</f>
        <v>15.252571533021895</v>
      </c>
      <c r="EX60" s="21">
        <f>EXP(-LN(2)/2)*EX59+(1-EXP(-LN(2)/2))/(LN(2)/2)*ER60*EU60*VLOOKUP('Données projet'!$B$15,Paramètres!$A$1:$I$89,3,0)*0.475*44/12</f>
        <v>0.63237482747374973</v>
      </c>
      <c r="EY60" s="22">
        <f t="shared" si="21"/>
        <v>27.488202222638723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9.4</v>
      </c>
      <c r="N61" s="13">
        <f>IF('Données projet'!$A$36&gt;35,N60+M61-V60,IF(A61&lt;'Données projet'!$A$36,$K$205^A61,IF(A61='Données projet'!$A$36,'Données projet'!$B$36,N60+M61-V60)))</f>
        <v>254.19999999999993</v>
      </c>
      <c r="O61" s="13">
        <f>N61*VLOOKUP('Données projet'!$B$9,Paramètres!$A$1:$I$89,3,0)*VLOOKUP('Données projet'!$B$9,Paramètres!$A$1:$I$89,5,0)</f>
        <v>230.00015999999994</v>
      </c>
      <c r="P61" s="13">
        <f t="shared" si="33"/>
        <v>56.282716126880423</v>
      </c>
      <c r="Q61" s="20">
        <f t="shared" si="53"/>
        <v>498.60934258764996</v>
      </c>
      <c r="R61" s="59">
        <f t="shared" si="0"/>
        <v>791.94267592098322</v>
      </c>
      <c r="S61" s="59">
        <f ca="1">AVERAGE(OFFSET($R$3,0,0,'Données projet'!$E$9+1,1))-AVERAGE(OFFSET($H$3,0,0,'Données projet'!$E$9+1,1))</f>
        <v>453.52760163325451</v>
      </c>
      <c r="T61" s="59">
        <f t="shared" si="34"/>
        <v>344.23959526427001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10.036084247018364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10.036084247018364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10.8</v>
      </c>
      <c r="AI61" s="13">
        <f>IF('Données projet'!$A$62&gt;35,AI60+AH61-AQ60,IF(A61&lt;'Données projet'!$A$62,$AF$205^A61,IF(A61='Données projet'!$A$62,'Données projet'!$B$62,AI60+AH61-AQ60)))</f>
        <v>248.40000000000006</v>
      </c>
      <c r="AJ61" s="13">
        <f>AI61*VLOOKUP('Données projet'!$B$10,Paramètres!$A$1:$I$89,3,0)*VLOOKUP('Données projet'!$B$10,Paramètres!$A$1:$I$89,5,0)</f>
        <v>213.12720000000004</v>
      </c>
      <c r="AK61" s="13">
        <f t="shared" si="35"/>
        <v>52.618368568459893</v>
      </c>
      <c r="AL61" s="20">
        <f t="shared" si="4"/>
        <v>462.8401985900677</v>
      </c>
      <c r="AM61" s="59">
        <f t="shared" si="5"/>
        <v>756.17353192340101</v>
      </c>
      <c r="AN61" s="59">
        <f ca="1">AVERAGE(OFFSET($AM$3,0,0,'Données projet'!$E$10+1,1))-AVERAGE(OFFSET($H$3,0,0,'Données projet'!$E$10+1,1))</f>
        <v>397.45670821030774</v>
      </c>
      <c r="AO61" s="59">
        <f t="shared" si="36"/>
        <v>256.77417912163997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11.730226776286502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11.730226776286502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6.875</v>
      </c>
      <c r="BD61" s="12">
        <f>IF('Données projet'!$A$88&gt;35,BD60+BC61-BL60,IF(A61&lt;'Données projet'!$A$88,$BA$205^A61,IF(A61='Données projet'!$A$88,'Données projet'!$B$88,BD60+BC61-BL60)))</f>
        <v>283.24999999999989</v>
      </c>
      <c r="BE61" s="13">
        <f>BD61*VLOOKUP('Données projet'!$B$11,Paramètres!$A$1:$I$89,3,0)*VLOOKUP('Données projet'!$B$11,Paramètres!$A$1:$I$89,5,0)</f>
        <v>220.93499999999992</v>
      </c>
      <c r="BF61" s="13">
        <f t="shared" si="37"/>
        <v>54.318053164382228</v>
      </c>
      <c r="BG61" s="20">
        <f t="shared" si="7"/>
        <v>479.39906759463224</v>
      </c>
      <c r="BH61" s="59">
        <f t="shared" si="8"/>
        <v>772.7324009279655</v>
      </c>
      <c r="BI61" s="59">
        <f ca="1">AVERAGE(OFFSET($BH$3,0,0,'Données projet'!$E$11+1,1))-AVERAGE(OFFSET($H$3,0,0,'Données projet'!$E$11+1,1))</f>
        <v>293.20194140252903</v>
      </c>
      <c r="BJ61" s="59">
        <f t="shared" si="38"/>
        <v>280.69048279989266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19.533514033346325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19.533514033346325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5.2</v>
      </c>
      <c r="BY61" s="12">
        <f>IF('Données projet'!$A$114&gt;35,BY60+BX61-CG60,IF(A61&lt;'Données projet'!$A$114,$BV$205^A61,IF(A61='Données projet'!$A$114,'Données projet'!$B$114,BY60+BX61-CG60)))</f>
        <v>234.59999999999985</v>
      </c>
      <c r="BZ61" s="13">
        <f>BY61*VLOOKUP('Données projet'!$B$12,Paramètres!$A$1:$I$89,3,0)*VLOOKUP('Données projet'!$B$12,Paramètres!$A$1:$I$89,5,0)</f>
        <v>186.64775999999989</v>
      </c>
      <c r="CA61" s="13">
        <f t="shared" si="39"/>
        <v>46.79805411155214</v>
      </c>
      <c r="CB61" s="20">
        <f t="shared" si="10"/>
        <v>406.58479291095313</v>
      </c>
      <c r="CC61" s="59">
        <f t="shared" si="11"/>
        <v>699.91812624428644</v>
      </c>
      <c r="CD61" s="59">
        <f ca="1">AVERAGE(OFFSET($CC$3,0,0,'Données projet'!$E$12+1,1))-AVERAGE(OFFSET($H$3,0,0,'Données projet'!$E$12+1,1))</f>
        <v>271.25628946149067</v>
      </c>
      <c r="CE61" s="59">
        <f t="shared" si="40"/>
        <v>292.57799203101769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24.843342737918615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24.843342737918615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5.6843418860808015E-14</v>
      </c>
      <c r="CU61" s="17">
        <f>CT61*VLOOKUP('Données projet'!$B$13,Paramètres!$A$1:$I$89,3,0)*VLOOKUP('Données projet'!$B$13,Paramètres!$A$1:$I$89,5,0)</f>
        <v>3.1036506698001178E-14</v>
      </c>
      <c r="CV61" s="13">
        <f t="shared" si="41"/>
        <v>5.3428243983771088E-13</v>
      </c>
      <c r="CW61" s="20">
        <f t="shared" si="13"/>
        <v>9.8459716521636505E-13</v>
      </c>
      <c r="CX61" s="59">
        <f t="shared" si="14"/>
        <v>293.33333333333428</v>
      </c>
      <c r="CY61" s="59">
        <f ca="1">AVERAGE(OFFSET($CX$3,0,0,'Données projet'!$E$13+1,1))-AVERAGE(OFFSET($H$3,0,0,'Données projet'!$E$13+1,1))</f>
        <v>210.03861149060413</v>
      </c>
      <c r="CZ61" s="59">
        <f t="shared" si="42"/>
        <v>298.74602928001929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94.227105038708899</v>
      </c>
      <c r="DG61" s="21">
        <f>EXP(-LN(2)/25)*DG60+(1-EXP(-LN(2)/25))/(LN(2)/25)*Calculateur!DB61*Calculateur!DD61*VLOOKUP('Données projet'!$B$13,Paramètres!$A$1:$I$89,3,0)*0.475*44/12</f>
        <v>44.827501121533494</v>
      </c>
      <c r="DH61" s="21">
        <f>EXP(-LN(2)/2)*DH60+(1-EXP(-LN(2)/2))/(LN(2)/2)*DB61*DE61*VLOOKUP('Données projet'!$B$13,Paramètres!$A$1:$I$89,3,0)*0.475*44/12</f>
        <v>2.256690393078685</v>
      </c>
      <c r="DI61" s="22">
        <f t="shared" si="15"/>
        <v>141.31129655332109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15.683333333333318</v>
      </c>
      <c r="DO61" s="12">
        <f>IF('Données projet'!$A$166&gt;35,DO60+DN61-DW60,IF(A61&lt;'Données projet'!$A$166,$DL$205^A61,IF(A61='Données projet'!$A$166,'Données projet'!$B$166,DO60+DN61-DW60)))</f>
        <v>506.06666666666678</v>
      </c>
      <c r="DP61" s="17">
        <f>DO61*VLOOKUP('Données projet'!$B$14,Paramètres!$A$1:$I$89,3,0)*VLOOKUP('Données projet'!$B$14,Paramètres!$A$1:$I$89,5,0)</f>
        <v>302.62786666666676</v>
      </c>
      <c r="DQ61" s="13">
        <f t="shared" si="43"/>
        <v>71.727085324665211</v>
      </c>
      <c r="DR61" s="20">
        <f t="shared" si="16"/>
        <v>652.00154138490313</v>
      </c>
      <c r="DS61" s="59">
        <f t="shared" si="17"/>
        <v>945.33487471823651</v>
      </c>
      <c r="DT61" s="59">
        <f ca="1">AVERAGE(OFFSET($DS$3,0,0,'Données projet'!$E$14+1,1))-AVERAGE(OFFSET($H$3,0,0,'Données projet'!$E$14+1,1))</f>
        <v>402.28353929315114</v>
      </c>
      <c r="DU61" s="59">
        <f t="shared" si="44"/>
        <v>376.94419168335463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31.95219903439342</v>
      </c>
      <c r="EB61" s="21">
        <f>EXP(-LN(2)/25)*EB60+(1-EXP(-LN(2)/25))/(LN(2)/25)*Calculateur!DW61*Calculateur!DY61*VLOOKUP('Données projet'!$B$14,Paramètres!$A$1:$I$89,3,0)*0.475*44/12</f>
        <v>30.438127315908009</v>
      </c>
      <c r="EC61" s="21">
        <f>EXP(-LN(2)/2)*EC60+(1-EXP(-LN(2)/2))/(LN(2)/2)*DW61*DZ61*VLOOKUP('Données projet'!$B$14,Paramètres!$A$1:$I$89,3,0)*0.475*44/12</f>
        <v>5.9996723966183669</v>
      </c>
      <c r="ED61" s="22">
        <f t="shared" si="18"/>
        <v>68.389998746919801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13</v>
      </c>
      <c r="EJ61" s="12">
        <f>IF('Données projet'!$A$192&gt;35,EJ60+EI61-ER60,IF(A61&lt;'Données projet'!$A$192,$EG$205^A61,IF(A61='Données projet'!$A$192,'Données projet'!$B$192,EJ60+EI61-ER60)))</f>
        <v>444</v>
      </c>
      <c r="EK61" s="17">
        <f>EJ61*VLOOKUP('Données projet'!$B$15,Paramètres!$A$1:$I$89,3,0)*VLOOKUP('Données projet'!$B$15,Paramètres!$A$1:$I$89,5,0)</f>
        <v>207.792</v>
      </c>
      <c r="EL61" s="13">
        <f t="shared" si="45"/>
        <v>51.452785725007864</v>
      </c>
      <c r="EM61" s="20">
        <f t="shared" si="19"/>
        <v>451.51800180438869</v>
      </c>
      <c r="EN61" s="59">
        <f t="shared" si="20"/>
        <v>744.851335137722</v>
      </c>
      <c r="EO61" s="59">
        <f ca="1">AVERAGE(OFFSET($EN$3,0,0,'Données projet'!$E$15+1,1))-AVERAGE(OFFSET($H$3,0,0,'Données projet'!$E$15+1,1))</f>
        <v>273.3012268683454</v>
      </c>
      <c r="EP61" s="59">
        <f t="shared" si="46"/>
        <v>254.08208375594052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11.375723091973704</v>
      </c>
      <c r="EW61" s="21">
        <f>EXP(-LN(2)/25)*EW60+(1-EXP(-LN(2)/25))/(LN(2)/25)*Calculateur!ER61*Calculateur!ET61*VLOOKUP('Données projet'!$B$15,Paramètres!$A$1:$I$89,3,0)*0.475*44/12</f>
        <v>14.835489162353534</v>
      </c>
      <c r="EX61" s="21">
        <f>EXP(-LN(2)/2)*EX60+(1-EXP(-LN(2)/2))/(LN(2)/2)*ER61*EU61*VLOOKUP('Données projet'!$B$15,Paramètres!$A$1:$I$89,3,0)*0.475*44/12</f>
        <v>0.44715652875836154</v>
      </c>
      <c r="EY61" s="22">
        <f t="shared" si="21"/>
        <v>26.658368783085599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9.4</v>
      </c>
      <c r="N62" s="13">
        <f>IF('Données projet'!$A$36&gt;35,N61+M62-V61,IF(A62&lt;'Données projet'!$A$36,$K$205^A62,IF(A62='Données projet'!$A$36,'Données projet'!$B$36,N61+M62-V61)))</f>
        <v>263.59999999999991</v>
      </c>
      <c r="O62" s="13">
        <f>N62*VLOOKUP('Données projet'!$B$9,Paramètres!$A$1:$I$89,3,0)*VLOOKUP('Données projet'!$B$9,Paramètres!$A$1:$I$89,5,0)</f>
        <v>238.50527999999991</v>
      </c>
      <c r="P62" s="13">
        <f t="shared" si="33"/>
        <v>58.117817352909881</v>
      </c>
      <c r="Q62" s="20">
        <f t="shared" si="53"/>
        <v>516.61856122298445</v>
      </c>
      <c r="R62" s="59">
        <f t="shared" si="0"/>
        <v>809.95189455631771</v>
      </c>
      <c r="S62" s="59">
        <f ca="1">AVERAGE(OFFSET($R$3,0,0,'Données projet'!$E$9+1,1))-AVERAGE(OFFSET($H$3,0,0,'Données projet'!$E$9+1,1))</f>
        <v>453.52760163325451</v>
      </c>
      <c r="T62" s="59">
        <f t="shared" si="34"/>
        <v>344.23959526427001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9.8392827563412855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9.8392827563412855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10.8</v>
      </c>
      <c r="AI62" s="13">
        <f>IF('Données projet'!$A$62&gt;35,AI61+AH62-AQ61,IF(A62&lt;'Données projet'!$A$62,$AF$205^A62,IF(A62='Données projet'!$A$62,'Données projet'!$B$62,AI61+AH62-AQ61)))</f>
        <v>259.20000000000005</v>
      </c>
      <c r="AJ62" s="13">
        <f>AI62*VLOOKUP('Données projet'!$B$10,Paramètres!$A$1:$I$89,3,0)*VLOOKUP('Données projet'!$B$10,Paramètres!$A$1:$I$89,5,0)</f>
        <v>222.39360000000005</v>
      </c>
      <c r="AK62" s="13">
        <f t="shared" si="35"/>
        <v>54.634794757949287</v>
      </c>
      <c r="AL62" s="20">
        <f t="shared" si="4"/>
        <v>482.49112087009513</v>
      </c>
      <c r="AM62" s="59">
        <f t="shared" si="5"/>
        <v>775.82445420342844</v>
      </c>
      <c r="AN62" s="59">
        <f ca="1">AVERAGE(OFFSET($AM$3,0,0,'Données projet'!$E$10+1,1))-AVERAGE(OFFSET($H$3,0,0,'Données projet'!$E$10+1,1))</f>
        <v>397.45670821030774</v>
      </c>
      <c r="AO62" s="59">
        <f t="shared" si="36"/>
        <v>256.77417912163997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11.500204183935386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11.500204183935386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6.875</v>
      </c>
      <c r="BD62" s="12">
        <f>IF('Données projet'!$A$88&gt;35,BD61+BC62-BL61,IF(A62&lt;'Données projet'!$A$88,$BA$205^A62,IF(A62='Données projet'!$A$88,'Données projet'!$B$88,BD61+BC62-BL61)))</f>
        <v>290.12499999999989</v>
      </c>
      <c r="BE62" s="13">
        <f>BD62*VLOOKUP('Données projet'!$B$11,Paramètres!$A$1:$I$89,3,0)*VLOOKUP('Données projet'!$B$11,Paramètres!$A$1:$I$89,5,0)</f>
        <v>226.29749999999993</v>
      </c>
      <c r="BF62" s="13">
        <f t="shared" si="37"/>
        <v>55.481359888777156</v>
      </c>
      <c r="BG62" s="20">
        <f t="shared" si="7"/>
        <v>490.76484763962009</v>
      </c>
      <c r="BH62" s="59">
        <f t="shared" si="8"/>
        <v>784.0981809729534</v>
      </c>
      <c r="BI62" s="59">
        <f ca="1">AVERAGE(OFFSET($BH$3,0,0,'Données projet'!$E$11+1,1))-AVERAGE(OFFSET($H$3,0,0,'Données projet'!$E$11+1,1))</f>
        <v>293.20194140252903</v>
      </c>
      <c r="BJ62" s="59">
        <f t="shared" si="38"/>
        <v>280.69048279989266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19.150473737419528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19.150473737419528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5.2</v>
      </c>
      <c r="BY62" s="12">
        <f>IF('Données projet'!$A$114&gt;35,BY61+BX62-CG61,IF(A62&lt;'Données projet'!$A$114,$BV$205^A62,IF(A62='Données projet'!$A$114,'Données projet'!$B$114,BY61+BX62-CG61)))</f>
        <v>239.79999999999984</v>
      </c>
      <c r="BZ62" s="13">
        <f>BY62*VLOOKUP('Données projet'!$B$12,Paramètres!$A$1:$I$89,3,0)*VLOOKUP('Données projet'!$B$12,Paramètres!$A$1:$I$89,5,0)</f>
        <v>190.78487999999987</v>
      </c>
      <c r="CA62" s="13">
        <f t="shared" si="39"/>
        <v>47.713437020051622</v>
      </c>
      <c r="CB62" s="20">
        <f t="shared" si="10"/>
        <v>415.384568809923</v>
      </c>
      <c r="CC62" s="59">
        <f t="shared" si="11"/>
        <v>708.71790214325631</v>
      </c>
      <c r="CD62" s="59">
        <f ca="1">AVERAGE(OFFSET($CC$3,0,0,'Données projet'!$E$12+1,1))-AVERAGE(OFFSET($H$3,0,0,'Données projet'!$E$12+1,1))</f>
        <v>271.25628946149067</v>
      </c>
      <c r="CE62" s="59">
        <f t="shared" si="40"/>
        <v>292.57799203101769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24.356179939770872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24.356179939770872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5.6843418860808015E-14</v>
      </c>
      <c r="CU62" s="17">
        <f>CT62*VLOOKUP('Données projet'!$B$13,Paramètres!$A$1:$I$89,3,0)*VLOOKUP('Données projet'!$B$13,Paramètres!$A$1:$I$89,5,0)</f>
        <v>3.1036506698001178E-14</v>
      </c>
      <c r="CV62" s="13">
        <f t="shared" si="41"/>
        <v>5.3428243983771088E-13</v>
      </c>
      <c r="CW62" s="20">
        <f t="shared" si="13"/>
        <v>9.8459716521636505E-13</v>
      </c>
      <c r="CX62" s="59">
        <f t="shared" si="14"/>
        <v>293.33333333333428</v>
      </c>
      <c r="CY62" s="59">
        <f ca="1">AVERAGE(OFFSET($CX$3,0,0,'Données projet'!$E$13+1,1))-AVERAGE(OFFSET($H$3,0,0,'Données projet'!$E$13+1,1))</f>
        <v>210.03861149060413</v>
      </c>
      <c r="CZ62" s="59">
        <f t="shared" si="42"/>
        <v>298.74602928001929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92.379368981758915</v>
      </c>
      <c r="DG62" s="21">
        <f>EXP(-LN(2)/25)*DG61+(1-EXP(-LN(2)/25))/(LN(2)/25)*Calculateur!DB62*Calculateur!DD62*VLOOKUP('Données projet'!$B$13,Paramètres!$A$1:$I$89,3,0)*0.475*44/12</f>
        <v>43.60169074598933</v>
      </c>
      <c r="DH62" s="21">
        <f>EXP(-LN(2)/2)*DH61+(1-EXP(-LN(2)/2))/(LN(2)/2)*DB62*DE62*VLOOKUP('Données projet'!$B$13,Paramètres!$A$1:$I$89,3,0)*0.475*44/12</f>
        <v>1.5957210799844737</v>
      </c>
      <c r="DI62" s="22">
        <f t="shared" si="15"/>
        <v>137.57678080773272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>
        <f>VLOOKUP(A62,'Données projet'!$A$165:$I$185,2,0)</f>
        <v>521.75</v>
      </c>
      <c r="DM62" s="12">
        <f>VLOOKUP(A62,'Données projet'!$A$165:$I$185,9,0)</f>
        <v>15.683333333333318</v>
      </c>
      <c r="DN62" s="12">
        <f t="array" ref="DN62">INDEX(DM:DM,MIN(IF(ISNUMBER(DM62:DM258),ROW(DM62:DM258),"")))</f>
        <v>15.683333333333318</v>
      </c>
      <c r="DO62" s="12">
        <f>IF('Données projet'!$A$166&gt;35,DO61+DN62-DW61,IF(A62&lt;'Données projet'!$A$166,$DL$205^A62,IF(A62='Données projet'!$A$166,'Données projet'!$B$166,DO61+DN62-DW61)))</f>
        <v>521.75000000000011</v>
      </c>
      <c r="DP62" s="17">
        <f>DO62*VLOOKUP('Données projet'!$B$14,Paramètres!$A$1:$I$89,3,0)*VLOOKUP('Données projet'!$B$14,Paramètres!$A$1:$I$89,5,0)</f>
        <v>312.00650000000007</v>
      </c>
      <c r="DQ62" s="13">
        <f t="shared" si="43"/>
        <v>73.687709758579885</v>
      </c>
      <c r="DR62" s="20">
        <f t="shared" si="16"/>
        <v>671.75074866286002</v>
      </c>
      <c r="DS62" s="59">
        <f t="shared" si="17"/>
        <v>965.08408199619339</v>
      </c>
      <c r="DT62" s="59">
        <f ca="1">AVERAGE(OFFSET($DS$3,0,0,'Données projet'!$E$14+1,1))-AVERAGE(OFFSET($H$3,0,0,'Données projet'!$E$14+1,1))</f>
        <v>402.28353929315114</v>
      </c>
      <c r="DU62" s="59">
        <f t="shared" si="44"/>
        <v>376.94419168335463</v>
      </c>
      <c r="DV62" s="15">
        <f>IF(ISNA(VLOOKUP(A62,'Données projet'!$A$165:$I$185,3,0)),0,VLOOKUP(A62,'Données projet'!$A$165:$I$185,3,0))</f>
        <v>12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0.27</v>
      </c>
      <c r="DY62" s="16">
        <f>IF(ISNA(VLOOKUP(A62,'Données projet'!$A$165:$I$185,6,0)),0%,VLOOKUP(A62,'Données projet'!$A$165:$I$185,6,0)*VLOOKUP('Données projet'!$B$14,Paramètres!$A$1:$I$89,7,0))</f>
        <v>9.9000000000000005E-2</v>
      </c>
      <c r="DZ62" s="16">
        <f>IF(ISNA(VLOOKUP(A62,'Données projet'!$A$165:$I$185,7,0)),0%,VLOOKUP(A62,'Données projet'!$A$165:$I$185,7,0))</f>
        <v>0.18</v>
      </c>
      <c r="EA62" s="21">
        <f>EXP(-LN(2)/35)*EA61+(1-EXP(-LN(2)/35))/(LN(2)/35)*DW62*DX62*VLOOKUP('Données projet'!$B$14,Paramètres!$A$1:$I$89,3,0)*0.475*44/12</f>
        <v>31.325635900246006</v>
      </c>
      <c r="EB62" s="21">
        <f>EXP(-LN(2)/25)*EB61+(1-EXP(-LN(2)/25))/(LN(2)/25)*Calculateur!DW62*Calculateur!DY62*VLOOKUP('Données projet'!$B$14,Paramètres!$A$1:$I$89,3,0)*0.475*44/12</f>
        <v>29.605795123782958</v>
      </c>
      <c r="EC62" s="21">
        <f>EXP(-LN(2)/2)*EC61+(1-EXP(-LN(2)/2))/(LN(2)/2)*DW62*DZ62*VLOOKUP('Données projet'!$B$14,Paramètres!$A$1:$I$89,3,0)*0.475*44/12</f>
        <v>4.2424090365465927</v>
      </c>
      <c r="ED62" s="22">
        <f t="shared" si="18"/>
        <v>65.173840060575557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13</v>
      </c>
      <c r="EJ62" s="12">
        <f>IF('Données projet'!$A$192&gt;35,EJ61+EI62-ER61,IF(A62&lt;'Données projet'!$A$192,$EG$205^A62,IF(A62='Données projet'!$A$192,'Données projet'!$B$192,EJ61+EI62-ER61)))</f>
        <v>457</v>
      </c>
      <c r="EK62" s="17">
        <f>EJ62*VLOOKUP('Données projet'!$B$15,Paramètres!$A$1:$I$89,3,0)*VLOOKUP('Données projet'!$B$15,Paramètres!$A$1:$I$89,5,0)</f>
        <v>213.87599999999998</v>
      </c>
      <c r="EL62" s="13">
        <f t="shared" si="45"/>
        <v>52.781685550046873</v>
      </c>
      <c r="EM62" s="20">
        <f t="shared" si="19"/>
        <v>464.4288023329982</v>
      </c>
      <c r="EN62" s="59">
        <f t="shared" si="20"/>
        <v>757.76213566633146</v>
      </c>
      <c r="EO62" s="59">
        <f ca="1">AVERAGE(OFFSET($EN$3,0,0,'Données projet'!$E$15+1,1))-AVERAGE(OFFSET($H$3,0,0,'Données projet'!$E$15+1,1))</f>
        <v>273.3012268683454</v>
      </c>
      <c r="EP62" s="59">
        <f t="shared" si="46"/>
        <v>254.08208375594052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11.152652100646065</v>
      </c>
      <c r="EW62" s="21">
        <f>EXP(-LN(2)/25)*EW61+(1-EXP(-LN(2)/25))/(LN(2)/25)*Calculateur!ER62*Calculateur!ET62*VLOOKUP('Données projet'!$B$15,Paramètres!$A$1:$I$89,3,0)*0.475*44/12</f>
        <v>14.429811931044508</v>
      </c>
      <c r="EX62" s="21">
        <f>EXP(-LN(2)/2)*EX61+(1-EXP(-LN(2)/2))/(LN(2)/2)*ER62*EU62*VLOOKUP('Données projet'!$B$15,Paramètres!$A$1:$I$89,3,0)*0.475*44/12</f>
        <v>0.31618741373687492</v>
      </c>
      <c r="EY62" s="22">
        <f t="shared" si="21"/>
        <v>25.898651445427447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273</v>
      </c>
      <c r="L63" s="12">
        <f>VLOOKUP(A63,'Données projet'!$A$35:$I$55,9,0)</f>
        <v>9.4</v>
      </c>
      <c r="M63" s="12">
        <f t="array" ref="M63">INDEX(L:L,MIN(IF(ISNUMBER(L63:L259),ROW(L63:L259),"")))</f>
        <v>9.4</v>
      </c>
      <c r="N63" s="13">
        <f>IF('Données projet'!$A$36&gt;35,N62+M63-V62,IF(A63&lt;'Données projet'!$A$36,$K$205^A63,IF(A63='Données projet'!$A$36,'Données projet'!$B$36,N62+M63-V62)))</f>
        <v>272.99999999999989</v>
      </c>
      <c r="O63" s="13">
        <f>N63*VLOOKUP('Données projet'!$B$9,Paramètres!$A$1:$I$89,3,0)*VLOOKUP('Données projet'!$B$9,Paramètres!$A$1:$I$89,5,0)</f>
        <v>247.01039999999989</v>
      </c>
      <c r="P63" s="13">
        <f t="shared" si="33"/>
        <v>59.945315462121812</v>
      </c>
      <c r="Q63" s="20">
        <f t="shared" si="53"/>
        <v>534.61453776319524</v>
      </c>
      <c r="R63" s="59">
        <f t="shared" si="0"/>
        <v>827.94787109652862</v>
      </c>
      <c r="S63" s="59">
        <f ca="1">AVERAGE(OFFSET($R$3,0,0,'Données projet'!$E$9+1,1))-AVERAGE(OFFSET($H$3,0,0,'Données projet'!$E$9+1,1))</f>
        <v>453.52760163325451</v>
      </c>
      <c r="T63" s="59">
        <f t="shared" si="34"/>
        <v>344.23959526427001</v>
      </c>
      <c r="U63" s="15">
        <f>IF(ISNA(VLOOKUP(A63,'Données projet'!$A$35:$I$55,3,0)),0,VLOOKUP(A63,'Données projet'!$A$35:$I$55,3,0))</f>
        <v>9</v>
      </c>
      <c r="V63" s="15">
        <f>IF(ISNA(VLOOKUP(A63,'Données projet'!$A$35:$I$55,4,0)),0,VLOOKUP(A63,'Données projet'!$A$35:$I$55,4,0))</f>
        <v>28</v>
      </c>
      <c r="W63" s="16">
        <f>IF(ISNA(VLOOKUP(A63,'Données projet'!$A$35:$I$55,5,0)),0%,VLOOKUP(A63,'Données projet'!$A$35:$I$55,5,0)*VLOOKUP('Données projet'!$B$9,Paramètres!$A$1:$I$89,7,0))</f>
        <v>0.17200000000000001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14.463446173576536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14.463446173576536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270</v>
      </c>
      <c r="AG63" s="12">
        <f>VLOOKUP(A63,'Données projet'!$A$61:$I$81,9,0)</f>
        <v>10.8</v>
      </c>
      <c r="AH63" s="12">
        <f t="array" ref="AH63">INDEX(AG:AG,MIN(IF(ISNUMBER(AG63:AG259),ROW(AG63:AG259),"")))</f>
        <v>10.8</v>
      </c>
      <c r="AI63" s="13">
        <f>IF('Données projet'!$A$62&gt;35,AI62+AH63-AQ62,IF(A63&lt;'Données projet'!$A$62,$AF$205^A63,IF(A63='Données projet'!$A$62,'Données projet'!$B$62,AI62+AH63-AQ62)))</f>
        <v>270.00000000000006</v>
      </c>
      <c r="AJ63" s="13">
        <f>AI63*VLOOKUP('Données projet'!$B$10,Paramètres!$A$1:$I$89,3,0)*VLOOKUP('Données projet'!$B$10,Paramètres!$A$1:$I$89,5,0)</f>
        <v>231.66000000000011</v>
      </c>
      <c r="AK63" s="13">
        <f t="shared" si="35"/>
        <v>56.641461975682823</v>
      </c>
      <c r="AL63" s="20">
        <f t="shared" si="4"/>
        <v>502.1250462743144</v>
      </c>
      <c r="AM63" s="59">
        <f t="shared" si="5"/>
        <v>795.45837960764766</v>
      </c>
      <c r="AN63" s="59">
        <f ca="1">AVERAGE(OFFSET($AM$3,0,0,'Données projet'!$E$10+1,1))-AVERAGE(OFFSET($H$3,0,0,'Données projet'!$E$10+1,1))</f>
        <v>397.45670821030774</v>
      </c>
      <c r="AO63" s="59">
        <f t="shared" si="36"/>
        <v>256.77417912163997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28</v>
      </c>
      <c r="AR63" s="16">
        <f>IF(ISNA(VLOOKUP(A63,'Données projet'!$A$61:$I$81,5,0)),0%,VLOOKUP(A63,'Données projet'!$A$61:$I$81,5,0)*VLOOKUP('Données projet'!$B$10,Paramètres!$A$1:$I$89,7,0))</f>
        <v>0.21200000000000002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16.90495011867506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16.90495011867506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297</v>
      </c>
      <c r="BB63" s="12">
        <f>VLOOKUP(A63,'Données projet'!$A$87:$I$107,9,0)</f>
        <v>6.875</v>
      </c>
      <c r="BC63" s="12">
        <f t="array" ref="BC63">INDEX(BB:BB,MIN(IF(ISNUMBER(BB63:BB259),ROW(BB63:BB259),"")))</f>
        <v>6.875</v>
      </c>
      <c r="BD63" s="12">
        <f>IF('Données projet'!$A$88&gt;35,BD62+BC63-BL62,IF(A63&lt;'Données projet'!$A$88,$BA$205^A63,IF(A63='Données projet'!$A$88,'Données projet'!$B$88,BD62+BC63-BL62)))</f>
        <v>296.99999999999989</v>
      </c>
      <c r="BE63" s="13">
        <f>BD63*VLOOKUP('Données projet'!$B$11,Paramètres!$A$1:$I$89,3,0)*VLOOKUP('Données projet'!$B$11,Paramètres!$A$1:$I$89,5,0)</f>
        <v>231.65999999999991</v>
      </c>
      <c r="BF63" s="13">
        <f t="shared" si="37"/>
        <v>56.641461975682766</v>
      </c>
      <c r="BG63" s="20">
        <f t="shared" si="7"/>
        <v>502.125046274314</v>
      </c>
      <c r="BH63" s="59">
        <f t="shared" si="8"/>
        <v>795.45837960764732</v>
      </c>
      <c r="BI63" s="59">
        <f ca="1">AVERAGE(OFFSET($BH$3,0,0,'Données projet'!$E$11+1,1))-AVERAGE(OFFSET($H$3,0,0,'Données projet'!$E$11+1,1))</f>
        <v>293.20194140252903</v>
      </c>
      <c r="BJ63" s="59">
        <f t="shared" si="38"/>
        <v>280.69048279989266</v>
      </c>
      <c r="BK63" s="15">
        <f>IF(ISNA(VLOOKUP(A63,'Données projet'!$A$87:$I$107,3,0)),0,VLOOKUP(A63,'Données projet'!$A$87:$I$107,3,0))</f>
        <v>8</v>
      </c>
      <c r="BL63" s="15">
        <f>IF(ISNA(VLOOKUP(A63,'Données projet'!$A$87:$I$107,4,0)),0,VLOOKUP(A63,'Données projet'!$A$87:$I$107,4,0))</f>
        <v>47</v>
      </c>
      <c r="BM63" s="16">
        <f>IF(ISNA(VLOOKUP(A63,'Données projet'!$A$87:$I$107,5,0)),0%,VLOOKUP(A63,'Données projet'!$A$87:$I$107,5,0)*VLOOKUP('Données projet'!$B$11,Paramètres!$A$1:$I$89,7,0))</f>
        <v>0.25800000000000001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29.230793009393253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29.230793009393253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245</v>
      </c>
      <c r="BW63" s="12">
        <f>VLOOKUP(A63,'Données projet'!$A$113:$I$133,9,0)</f>
        <v>5.2</v>
      </c>
      <c r="BX63" s="12">
        <f t="array" ref="BX63">INDEX(BW:BW,MIN(IF(ISNUMBER(BW63:BW259),ROW(BW63:BW259),"")))</f>
        <v>5.2</v>
      </c>
      <c r="BY63" s="12">
        <f>IF('Données projet'!$A$114&gt;35,BY62+BX63-CG62,IF(A63&lt;'Données projet'!$A$114,$BV$205^A63,IF(A63='Données projet'!$A$114,'Données projet'!$B$114,BY62+BX63-CG62)))</f>
        <v>244.99999999999983</v>
      </c>
      <c r="BZ63" s="13">
        <f>BY63*VLOOKUP('Données projet'!$B$12,Paramètres!$A$1:$I$89,3,0)*VLOOKUP('Données projet'!$B$12,Paramètres!$A$1:$I$89,5,0)</f>
        <v>194.92199999999988</v>
      </c>
      <c r="CA63" s="13">
        <f t="shared" si="39"/>
        <v>48.626512129794925</v>
      </c>
      <c r="CB63" s="20">
        <f t="shared" si="10"/>
        <v>424.18032529272591</v>
      </c>
      <c r="CC63" s="59">
        <f t="shared" si="11"/>
        <v>717.51365862605917</v>
      </c>
      <c r="CD63" s="59">
        <f ca="1">AVERAGE(OFFSET($CC$3,0,0,'Données projet'!$E$12+1,1))-AVERAGE(OFFSET($H$3,0,0,'Données projet'!$E$12+1,1))</f>
        <v>271.25628946149067</v>
      </c>
      <c r="CE63" s="59">
        <f t="shared" si="40"/>
        <v>292.57799203101769</v>
      </c>
      <c r="CF63" s="15">
        <f>IF(ISNA(VLOOKUP(A63,'Données projet'!$A$113:$I$133,3,0)),0,VLOOKUP(A63,'Données projet'!$A$113:$I$133,3,0))</f>
        <v>10</v>
      </c>
      <c r="CG63" s="15">
        <f>IF(ISNA(VLOOKUP(A63,'Données projet'!$A$113:$I$133,4,0)),0,VLOOKUP(A63,'Données projet'!$A$113:$I$133,4,0))</f>
        <v>12</v>
      </c>
      <c r="CH63" s="16">
        <f>IF(ISNA(VLOOKUP(A63,'Données projet'!$A$113:$I$133,5,0)),0%,VLOOKUP(A63,'Données projet'!$A$113:$I$133,5,0)*VLOOKUP('Données projet'!$B$12,Paramètres!$A$1:$I$89,7,0))</f>
        <v>0.371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27.794158572528801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27.794158572528801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5.6843418860808015E-14</v>
      </c>
      <c r="CU63" s="17">
        <f>CT63*VLOOKUP('Données projet'!$B$13,Paramètres!$A$1:$I$89,3,0)*VLOOKUP('Données projet'!$B$13,Paramètres!$A$1:$I$89,5,0)</f>
        <v>3.1036506698001178E-14</v>
      </c>
      <c r="CV63" s="13">
        <f t="shared" si="41"/>
        <v>5.3428243983771088E-13</v>
      </c>
      <c r="CW63" s="20">
        <f t="shared" si="13"/>
        <v>9.8459716521636505E-13</v>
      </c>
      <c r="CX63" s="59">
        <f t="shared" si="14"/>
        <v>293.33333333333428</v>
      </c>
      <c r="CY63" s="59">
        <f ca="1">AVERAGE(OFFSET($CX$3,0,0,'Données projet'!$E$13+1,1))-AVERAGE(OFFSET($H$3,0,0,'Données projet'!$E$13+1,1))</f>
        <v>210.03861149060413</v>
      </c>
      <c r="CZ63" s="59">
        <f t="shared" si="42"/>
        <v>298.74602928001929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90.567865901878008</v>
      </c>
      <c r="DG63" s="21">
        <f>EXP(-LN(2)/25)*DG62+(1-EXP(-LN(2)/25))/(LN(2)/25)*Calculateur!DB63*Calculateur!DD63*VLOOKUP('Données projet'!$B$13,Paramètres!$A$1:$I$89,3,0)*0.475*44/12</f>
        <v>42.409400219626988</v>
      </c>
      <c r="DH63" s="21">
        <f>EXP(-LN(2)/2)*DH62+(1-EXP(-LN(2)/2))/(LN(2)/2)*DB63*DE63*VLOOKUP('Données projet'!$B$13,Paramètres!$A$1:$I$89,3,0)*0.475*44/12</f>
        <v>1.1283451965393425</v>
      </c>
      <c r="DI63" s="22">
        <f t="shared" si="15"/>
        <v>134.10561131804434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15.515714285714287</v>
      </c>
      <c r="DO63" s="12">
        <f>IF('Données projet'!$A$166&gt;35,DO62+DN63-DW62,IF(A63&lt;'Données projet'!$A$166,$DL$205^A63,IF(A63='Données projet'!$A$166,'Données projet'!$B$166,DO62+DN63-DW62)))</f>
        <v>537.26571428571435</v>
      </c>
      <c r="DP63" s="17">
        <f>DO63*VLOOKUP('Données projet'!$B$14,Paramètres!$A$1:$I$89,3,0)*VLOOKUP('Données projet'!$B$14,Paramètres!$A$1:$I$89,5,0)</f>
        <v>321.28489714285718</v>
      </c>
      <c r="DQ63" s="13">
        <f t="shared" si="43"/>
        <v>75.620639118286675</v>
      </c>
      <c r="DR63" s="20">
        <f t="shared" si="16"/>
        <v>691.27714232149219</v>
      </c>
      <c r="DS63" s="59">
        <f t="shared" si="17"/>
        <v>984.61047565482545</v>
      </c>
      <c r="DT63" s="59">
        <f ca="1">AVERAGE(OFFSET($DS$3,0,0,'Données projet'!$E$14+1,1))-AVERAGE(OFFSET($H$3,0,0,'Données projet'!$E$14+1,1))</f>
        <v>402.28353929315114</v>
      </c>
      <c r="DU63" s="59">
        <f t="shared" si="44"/>
        <v>376.94419168335463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30.711359286993446</v>
      </c>
      <c r="EB63" s="21">
        <f>EXP(-LN(2)/25)*EB62+(1-EXP(-LN(2)/25))/(LN(2)/25)*Calculateur!DW63*Calculateur!DY63*VLOOKUP('Données projet'!$B$14,Paramètres!$A$1:$I$89,3,0)*0.475*44/12</f>
        <v>28.796223099222011</v>
      </c>
      <c r="EC63" s="21">
        <f>EXP(-LN(2)/2)*EC62+(1-EXP(-LN(2)/2))/(LN(2)/2)*DW63*DZ63*VLOOKUP('Données projet'!$B$14,Paramètres!$A$1:$I$89,3,0)*0.475*44/12</f>
        <v>2.9998361983091835</v>
      </c>
      <c r="ED63" s="22">
        <f t="shared" si="18"/>
        <v>62.507418584524643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470</v>
      </c>
      <c r="EH63" s="12">
        <f>VLOOKUP(A63,'Données projet'!$A$191:$I$211,9,0)</f>
        <v>13</v>
      </c>
      <c r="EI63" s="12">
        <f t="array" ref="EI63">INDEX(EH:EH,MIN(IF(ISNUMBER(EH63:EH259),ROW(EH63:EH259),"")))</f>
        <v>13</v>
      </c>
      <c r="EJ63" s="12">
        <f>IF('Données projet'!$A$192&gt;35,EJ62+EI63-ER62,IF(A63&lt;'Données projet'!$A$192,$EG$205^A63,IF(A63='Données projet'!$A$192,'Données projet'!$B$192,EJ62+EI63-ER62)))</f>
        <v>470</v>
      </c>
      <c r="EK63" s="17">
        <f>EJ63*VLOOKUP('Données projet'!$B$15,Paramètres!$A$1:$I$89,3,0)*VLOOKUP('Données projet'!$B$15,Paramètres!$A$1:$I$89,5,0)</f>
        <v>219.95999999999998</v>
      </c>
      <c r="EL63" s="13">
        <f t="shared" si="45"/>
        <v>54.106191826225746</v>
      </c>
      <c r="EM63" s="20">
        <f t="shared" si="19"/>
        <v>477.33195076400972</v>
      </c>
      <c r="EN63" s="59">
        <f t="shared" si="20"/>
        <v>770.66528409734303</v>
      </c>
      <c r="EO63" s="59">
        <f ca="1">AVERAGE(OFFSET($EN$3,0,0,'Données projet'!$E$15+1,1))-AVERAGE(OFFSET($H$3,0,0,'Données projet'!$E$15+1,1))</f>
        <v>273.3012268683454</v>
      </c>
      <c r="EP63" s="59">
        <f t="shared" si="46"/>
        <v>254.08208375594052</v>
      </c>
      <c r="EQ63" s="15">
        <f>IF(ISNA(VLOOKUP(A63,'Données projet'!$A$191:$I$211,3,0)),0,VLOOKUP(A63,'Données projet'!$A$191:$I$211,3,0))</f>
        <v>5</v>
      </c>
      <c r="ER63" s="15">
        <f>IF(ISNA(VLOOKUP(A63,'Données projet'!$A$191:$I$211,4,0)),0,VLOOKUP(A63,'Données projet'!$A$191:$I$211,4,0))</f>
        <v>40</v>
      </c>
      <c r="ES63" s="16">
        <f>IF(ISNA(VLOOKUP(A63,'Données projet'!$A$191:$I$211,5,0)),0%,VLOOKUP(A63,'Données projet'!$A$191:$I$211,5,0)*VLOOKUP('Données projet'!$B$15,Paramètres!$A$1:$I$89,7,0))</f>
        <v>0.27500000000000002</v>
      </c>
      <c r="ET63" s="16">
        <f>IF(ISNA(VLOOKUP(A63,'Données projet'!$A$191:$I$211,6,0)),0%,VLOOKUP(A63,'Données projet'!$A$191:$I$211,6,0)*VLOOKUP('Données projet'!$B$15,Paramètres!$A$1:$I$89,7,0))</f>
        <v>0.15400000000000003</v>
      </c>
      <c r="EU63" s="16">
        <f>IF(ISNA(VLOOKUP(A63,'Données projet'!$A$191:$I$211,7,0)),0%,VLOOKUP(A63,'Données projet'!$A$191:$I$211,7,0))</f>
        <v>0.22</v>
      </c>
      <c r="EV63" s="21">
        <f>EXP(-LN(2)/35)*EV62+(1-EXP(-LN(2)/35))/(LN(2)/35)*ER63*ES63*VLOOKUP('Données projet'!$B$15,Paramètres!$A$1:$I$89,3,0)*0.475*44/12</f>
        <v>17.763109212001243</v>
      </c>
      <c r="EW63" s="21">
        <f>EXP(-LN(2)/25)*EW62+(1-EXP(-LN(2)/25))/(LN(2)/25)*Calculateur!ER63*Calculateur!ET63*VLOOKUP('Données projet'!$B$15,Paramètres!$A$1:$I$89,3,0)*0.475*44/12</f>
        <v>17.844496273071769</v>
      </c>
      <c r="EX63" s="21">
        <f>EXP(-LN(2)/2)*EX62+(1-EXP(-LN(2)/2))/(LN(2)/2)*ER63*EU63*VLOOKUP('Données projet'!$B$15,Paramètres!$A$1:$I$89,3,0)*0.475*44/12</f>
        <v>4.8865637585121773</v>
      </c>
      <c r="EY63" s="22">
        <f t="shared" si="21"/>
        <v>40.494169243585183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8.8000000000000007</v>
      </c>
      <c r="N64" s="13">
        <f>IF('Données projet'!$A$36&gt;35,N63+M64-V63,IF(A64&lt;'Données projet'!$A$36,$K$205^A64,IF(A64='Données projet'!$A$36,'Données projet'!$B$36,N63+M64-V63)))</f>
        <v>253.7999999999999</v>
      </c>
      <c r="O64" s="13">
        <f>N64*VLOOKUP('Données projet'!$B$9,Paramètres!$A$1:$I$89,3,0)*VLOOKUP('Données projet'!$B$9,Paramètres!$A$1:$I$89,5,0)</f>
        <v>229.63823999999988</v>
      </c>
      <c r="P64" s="13">
        <f t="shared" si="33"/>
        <v>56.204453396569633</v>
      </c>
      <c r="Q64" s="20">
        <f t="shared" si="53"/>
        <v>497.84269099902525</v>
      </c>
      <c r="R64" s="59">
        <f t="shared" si="0"/>
        <v>791.17602433235857</v>
      </c>
      <c r="S64" s="59">
        <f ca="1">AVERAGE(OFFSET($R$3,0,0,'Données projet'!$E$9+1,1))-AVERAGE(OFFSET($H$3,0,0,'Données projet'!$E$9+1,1))</f>
        <v>453.52760163325451</v>
      </c>
      <c r="T64" s="59">
        <f t="shared" si="34"/>
        <v>344.23959526427001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14.179826815943782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14.179826815943782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10.4</v>
      </c>
      <c r="AI64" s="13">
        <f>IF('Données projet'!$A$62&gt;35,AI63+AH64-AQ63,IF(A64&lt;'Données projet'!$A$62,$AF$205^A64,IF(A64='Données projet'!$A$62,'Données projet'!$B$62,AI63+AH64-AQ63)))</f>
        <v>252.40000000000003</v>
      </c>
      <c r="AJ64" s="13">
        <f>AI64*VLOOKUP('Données projet'!$B$10,Paramètres!$A$1:$I$89,3,0)*VLOOKUP('Données projet'!$B$10,Paramètres!$A$1:$I$89,5,0)</f>
        <v>216.55920000000003</v>
      </c>
      <c r="AK64" s="13">
        <f t="shared" si="35"/>
        <v>53.366360125240483</v>
      </c>
      <c r="AL64" s="20">
        <f t="shared" si="4"/>
        <v>470.12035055146049</v>
      </c>
      <c r="AM64" s="59">
        <f t="shared" si="5"/>
        <v>763.4536838847938</v>
      </c>
      <c r="AN64" s="59">
        <f ca="1">AVERAGE(OFFSET($AM$3,0,0,'Données projet'!$E$10+1,1))-AVERAGE(OFFSET($H$3,0,0,'Données projet'!$E$10+1,1))</f>
        <v>397.45670821030774</v>
      </c>
      <c r="AO64" s="59">
        <f t="shared" si="36"/>
        <v>256.77417912163997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16.57345435784929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16.57345435784929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7.8</v>
      </c>
      <c r="BD64" s="12">
        <f>IF('Données projet'!$A$88&gt;35,BD63+BC64-BL63,IF(A64&lt;'Données projet'!$A$88,$BA$205^A64,IF(A64='Données projet'!$A$88,'Données projet'!$B$88,BD63+BC64-BL63)))</f>
        <v>257.7999999999999</v>
      </c>
      <c r="BE64" s="13">
        <f>BD64*VLOOKUP('Données projet'!$B$11,Paramètres!$A$1:$I$89,3,0)*VLOOKUP('Données projet'!$B$11,Paramètres!$A$1:$I$89,5,0)</f>
        <v>201.08399999999992</v>
      </c>
      <c r="BF64" s="13">
        <f t="shared" si="37"/>
        <v>49.982323118757684</v>
      </c>
      <c r="BG64" s="20">
        <f t="shared" si="7"/>
        <v>437.27384609850282</v>
      </c>
      <c r="BH64" s="59">
        <f t="shared" si="8"/>
        <v>730.60717943183613</v>
      </c>
      <c r="BI64" s="59">
        <f ca="1">AVERAGE(OFFSET($BH$3,0,0,'Données projet'!$E$11+1,1))-AVERAGE(OFFSET($H$3,0,0,'Données projet'!$E$11+1,1))</f>
        <v>293.20194140252903</v>
      </c>
      <c r="BJ64" s="59">
        <f t="shared" si="38"/>
        <v>280.69048279989266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28.657594987502318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28.657594987502318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4.4000000000000004</v>
      </c>
      <c r="BY64" s="12">
        <f>IF('Données projet'!$A$114&gt;35,BY63+BX64-CG63,IF(A64&lt;'Données projet'!$A$114,$BV$205^A64,IF(A64='Données projet'!$A$114,'Données projet'!$B$114,BY63+BX64-CG63)))</f>
        <v>237.39999999999984</v>
      </c>
      <c r="BZ64" s="13">
        <f>BY64*VLOOKUP('Données projet'!$B$12,Paramètres!$A$1:$I$89,3,0)*VLOOKUP('Données projet'!$B$12,Paramètres!$A$1:$I$89,5,0)</f>
        <v>188.87543999999988</v>
      </c>
      <c r="CA64" s="13">
        <f t="shared" si="39"/>
        <v>47.291242769027726</v>
      </c>
      <c r="CB64" s="20">
        <f t="shared" si="10"/>
        <v>411.32363915605634</v>
      </c>
      <c r="CC64" s="59">
        <f t="shared" si="11"/>
        <v>704.65697248938966</v>
      </c>
      <c r="CD64" s="59">
        <f ca="1">AVERAGE(OFFSET($CC$3,0,0,'Données projet'!$E$12+1,1))-AVERAGE(OFFSET($H$3,0,0,'Données projet'!$E$12+1,1))</f>
        <v>271.25628946149067</v>
      </c>
      <c r="CE64" s="59">
        <f t="shared" si="40"/>
        <v>292.57799203101769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27.249132075684294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27.249132075684294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5.6843418860808015E-14</v>
      </c>
      <c r="CU64" s="17">
        <f>CT64*VLOOKUP('Données projet'!$B$13,Paramètres!$A$1:$I$89,3,0)*VLOOKUP('Données projet'!$B$13,Paramètres!$A$1:$I$89,5,0)</f>
        <v>3.1036506698001178E-14</v>
      </c>
      <c r="CV64" s="13">
        <f t="shared" si="41"/>
        <v>5.3428243983771088E-13</v>
      </c>
      <c r="CW64" s="20">
        <f t="shared" si="13"/>
        <v>9.8459716521636505E-13</v>
      </c>
      <c r="CX64" s="59">
        <f t="shared" si="14"/>
        <v>293.33333333333428</v>
      </c>
      <c r="CY64" s="59">
        <f ca="1">AVERAGE(OFFSET($CX$3,0,0,'Données projet'!$E$13+1,1))-AVERAGE(OFFSET($H$3,0,0,'Données projet'!$E$13+1,1))</f>
        <v>210.03861149060413</v>
      </c>
      <c r="CZ64" s="59">
        <f t="shared" si="42"/>
        <v>298.74602928001929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88.791885292485787</v>
      </c>
      <c r="DG64" s="21">
        <f>EXP(-LN(2)/25)*DG63+(1-EXP(-LN(2)/25))/(LN(2)/25)*Calculateur!DB64*Calculateur!DD64*VLOOKUP('Données projet'!$B$13,Paramètres!$A$1:$I$89,3,0)*0.475*44/12</f>
        <v>41.249712940407861</v>
      </c>
      <c r="DH64" s="21">
        <f>EXP(-LN(2)/2)*DH63+(1-EXP(-LN(2)/2))/(LN(2)/2)*DB64*DE64*VLOOKUP('Données projet'!$B$13,Paramètres!$A$1:$I$89,3,0)*0.475*44/12</f>
        <v>0.79786053999223683</v>
      </c>
      <c r="DI64" s="22">
        <f t="shared" si="15"/>
        <v>130.83945877288588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15.515714285714287</v>
      </c>
      <c r="DO64" s="12">
        <f>IF('Données projet'!$A$166&gt;35,DO63+DN64-DW63,IF(A64&lt;'Données projet'!$A$166,$DL$205^A64,IF(A64='Données projet'!$A$166,'Données projet'!$B$166,DO63+DN64-DW63)))</f>
        <v>552.78142857142859</v>
      </c>
      <c r="DP64" s="17">
        <f>DO64*VLOOKUP('Données projet'!$B$14,Paramètres!$A$1:$I$89,3,0)*VLOOKUP('Données projet'!$B$14,Paramètres!$A$1:$I$89,5,0)</f>
        <v>330.56329428571433</v>
      </c>
      <c r="DQ64" s="13">
        <f t="shared" si="43"/>
        <v>77.547080854167504</v>
      </c>
      <c r="DR64" s="20">
        <f t="shared" si="16"/>
        <v>710.79223670196086</v>
      </c>
      <c r="DS64" s="59">
        <f t="shared" si="17"/>
        <v>1004.1255700352942</v>
      </c>
      <c r="DT64" s="59">
        <f ca="1">AVERAGE(OFFSET($DS$3,0,0,'Données projet'!$E$14+1,1))-AVERAGE(OFFSET($H$3,0,0,'Données projet'!$E$14+1,1))</f>
        <v>402.28353929315114</v>
      </c>
      <c r="DU64" s="59">
        <f t="shared" si="44"/>
        <v>376.94419168335463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30.10912826345503</v>
      </c>
      <c r="EB64" s="21">
        <f>EXP(-LN(2)/25)*EB63+(1-EXP(-LN(2)/25))/(LN(2)/25)*Calculateur!DW64*Calculateur!DY64*VLOOKUP('Données projet'!$B$14,Paramètres!$A$1:$I$89,3,0)*0.475*44/12</f>
        <v>28.008788864246227</v>
      </c>
      <c r="EC64" s="21">
        <f>EXP(-LN(2)/2)*EC63+(1-EXP(-LN(2)/2))/(LN(2)/2)*DW64*DZ64*VLOOKUP('Données projet'!$B$14,Paramètres!$A$1:$I$89,3,0)*0.475*44/12</f>
        <v>2.1212045182732964</v>
      </c>
      <c r="ED64" s="22">
        <f t="shared" si="18"/>
        <v>60.239121645974556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12</v>
      </c>
      <c r="EJ64" s="12">
        <f>IF('Données projet'!$A$192&gt;35,EJ63+EI64-ER63,IF(A64&lt;'Données projet'!$A$192,$EG$205^A64,IF(A64='Données projet'!$A$192,'Données projet'!$B$192,EJ63+EI64-ER63)))</f>
        <v>442</v>
      </c>
      <c r="EK64" s="17">
        <f>EJ64*VLOOKUP('Données projet'!$B$15,Paramètres!$A$1:$I$89,3,0)*VLOOKUP('Données projet'!$B$15,Paramètres!$A$1:$I$89,5,0)</f>
        <v>206.85600000000002</v>
      </c>
      <c r="EL64" s="13">
        <f t="shared" si="45"/>
        <v>51.247940588293027</v>
      </c>
      <c r="EM64" s="20">
        <f t="shared" si="19"/>
        <v>449.53102985794368</v>
      </c>
      <c r="EN64" s="59">
        <f t="shared" si="20"/>
        <v>742.86436319127699</v>
      </c>
      <c r="EO64" s="59">
        <f ca="1">AVERAGE(OFFSET($EN$3,0,0,'Données projet'!$E$15+1,1))-AVERAGE(OFFSET($H$3,0,0,'Données projet'!$E$15+1,1))</f>
        <v>273.3012268683454</v>
      </c>
      <c r="EP64" s="59">
        <f t="shared" si="46"/>
        <v>254.08208375594052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17.414785474780707</v>
      </c>
      <c r="EW64" s="21">
        <f>EXP(-LN(2)/25)*EW63+(1-EXP(-LN(2)/25))/(LN(2)/25)*Calculateur!ER64*Calculateur!ET64*VLOOKUP('Données projet'!$B$15,Paramètres!$A$1:$I$89,3,0)*0.475*44/12</f>
        <v>17.356537584083348</v>
      </c>
      <c r="EX64" s="21">
        <f>EXP(-LN(2)/2)*EX63+(1-EXP(-LN(2)/2))/(LN(2)/2)*ER64*EU64*VLOOKUP('Données projet'!$B$15,Paramètres!$A$1:$I$89,3,0)*0.475*44/12</f>
        <v>3.4553223703443838</v>
      </c>
      <c r="EY64" s="22">
        <f t="shared" si="21"/>
        <v>38.226645429208439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8.8000000000000007</v>
      </c>
      <c r="N65" s="13">
        <f>IF('Données projet'!$A$36&gt;35,N64+M65-V64,IF(A65&lt;'Données projet'!$A$36,$K$205^A65,IF(A65='Données projet'!$A$36,'Données projet'!$B$36,N64+M65-V64)))</f>
        <v>262.59999999999991</v>
      </c>
      <c r="O65" s="13">
        <f>N65*VLOOKUP('Données projet'!$B$9,Paramètres!$A$1:$I$89,3,0)*VLOOKUP('Données projet'!$B$9,Paramètres!$A$1:$I$89,5,0)</f>
        <v>237.60047999999992</v>
      </c>
      <c r="P65" s="13">
        <f t="shared" si="33"/>
        <v>57.922960533442058</v>
      </c>
      <c r="Q65" s="20">
        <f t="shared" si="53"/>
        <v>514.70332559574479</v>
      </c>
      <c r="R65" s="59">
        <f t="shared" si="0"/>
        <v>808.03665892907816</v>
      </c>
      <c r="S65" s="59">
        <f ca="1">AVERAGE(OFFSET($R$3,0,0,'Données projet'!$E$9+1,1))-AVERAGE(OFFSET($H$3,0,0,'Données projet'!$E$9+1,1))</f>
        <v>453.52760163325451</v>
      </c>
      <c r="T65" s="59">
        <f t="shared" si="34"/>
        <v>344.23959526427001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13.901769060923479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13.901769060923479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10.4</v>
      </c>
      <c r="AI65" s="13">
        <f>IF('Données projet'!$A$62&gt;35,AI64+AH65-AQ64,IF(A65&lt;'Données projet'!$A$62,$AF$205^A65,IF(A65='Données projet'!$A$62,'Données projet'!$B$62,AI64+AH65-AQ64)))</f>
        <v>262.8</v>
      </c>
      <c r="AJ65" s="13">
        <f>AI65*VLOOKUP('Données projet'!$B$10,Paramètres!$A$1:$I$89,3,0)*VLOOKUP('Données projet'!$B$10,Paramètres!$A$1:$I$89,5,0)</f>
        <v>225.48240000000004</v>
      </c>
      <c r="AK65" s="13">
        <f t="shared" si="35"/>
        <v>55.304745901414371</v>
      </c>
      <c r="AL65" s="20">
        <f t="shared" si="4"/>
        <v>489.03761244496349</v>
      </c>
      <c r="AM65" s="59">
        <f t="shared" si="5"/>
        <v>782.3709457782968</v>
      </c>
      <c r="AN65" s="59">
        <f ca="1">AVERAGE(OFFSET($AM$3,0,0,'Données projet'!$E$10+1,1))-AVERAGE(OFFSET($H$3,0,0,'Données projet'!$E$10+1,1))</f>
        <v>397.45670821030774</v>
      </c>
      <c r="AO65" s="59">
        <f t="shared" si="36"/>
        <v>256.77417912163997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16.248459026700861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16.248459026700861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7.8</v>
      </c>
      <c r="BD65" s="12">
        <f>IF('Données projet'!$A$88&gt;35,BD64+BC65-BL64,IF(A65&lt;'Données projet'!$A$88,$BA$205^A65,IF(A65='Données projet'!$A$88,'Données projet'!$B$88,BD64+BC65-BL64)))</f>
        <v>265.59999999999991</v>
      </c>
      <c r="BE65" s="13">
        <f>BD65*VLOOKUP('Données projet'!$B$11,Paramètres!$A$1:$I$89,3,0)*VLOOKUP('Données projet'!$B$11,Paramètres!$A$1:$I$89,5,0)</f>
        <v>207.16799999999995</v>
      </c>
      <c r="BF65" s="13">
        <f t="shared" si="37"/>
        <v>51.316234264752268</v>
      </c>
      <c r="BG65" s="20">
        <f t="shared" si="7"/>
        <v>450.19337467777677</v>
      </c>
      <c r="BH65" s="59">
        <f t="shared" si="8"/>
        <v>743.52670801111003</v>
      </c>
      <c r="BI65" s="59">
        <f ca="1">AVERAGE(OFFSET($BH$3,0,0,'Données projet'!$E$11+1,1))-AVERAGE(OFFSET($H$3,0,0,'Données projet'!$E$11+1,1))</f>
        <v>293.20194140252903</v>
      </c>
      <c r="BJ65" s="59">
        <f t="shared" si="38"/>
        <v>280.69048279989266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28.09563702920439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28.09563702920439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4.4000000000000004</v>
      </c>
      <c r="BY65" s="12">
        <f>IF('Données projet'!$A$114&gt;35,BY64+BX65-CG64,IF(A65&lt;'Données projet'!$A$114,$BV$205^A65,IF(A65='Données projet'!$A$114,'Données projet'!$B$114,BY64+BX65-CG64)))</f>
        <v>241.79999999999984</v>
      </c>
      <c r="BZ65" s="13">
        <f>BY65*VLOOKUP('Données projet'!$B$12,Paramètres!$A$1:$I$89,3,0)*VLOOKUP('Données projet'!$B$12,Paramètres!$A$1:$I$89,5,0)</f>
        <v>192.37607999999989</v>
      </c>
      <c r="CA65" s="13">
        <f t="shared" si="39"/>
        <v>48.064889828485896</v>
      </c>
      <c r="CB65" s="20">
        <f t="shared" si="10"/>
        <v>418.76802245127936</v>
      </c>
      <c r="CC65" s="59">
        <f t="shared" si="11"/>
        <v>712.10135578461268</v>
      </c>
      <c r="CD65" s="59">
        <f ca="1">AVERAGE(OFFSET($CC$3,0,0,'Données projet'!$E$12+1,1))-AVERAGE(OFFSET($H$3,0,0,'Données projet'!$E$12+1,1))</f>
        <v>271.25628946149067</v>
      </c>
      <c r="CE65" s="59">
        <f t="shared" si="40"/>
        <v>292.57799203101769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26.714793216009571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26.714793216009571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5.6843418860808015E-14</v>
      </c>
      <c r="CU65" s="17">
        <f>CT65*VLOOKUP('Données projet'!$B$13,Paramètres!$A$1:$I$89,3,0)*VLOOKUP('Données projet'!$B$13,Paramètres!$A$1:$I$89,5,0)</f>
        <v>3.1036506698001178E-14</v>
      </c>
      <c r="CV65" s="13">
        <f t="shared" si="41"/>
        <v>5.3428243983771088E-13</v>
      </c>
      <c r="CW65" s="20">
        <f t="shared" si="13"/>
        <v>9.8459716521636505E-13</v>
      </c>
      <c r="CX65" s="59">
        <f t="shared" si="14"/>
        <v>293.33333333333428</v>
      </c>
      <c r="CY65" s="59">
        <f ca="1">AVERAGE(OFFSET($CX$3,0,0,'Données projet'!$E$13+1,1))-AVERAGE(OFFSET($H$3,0,0,'Données projet'!$E$13+1,1))</f>
        <v>210.03861149060413</v>
      </c>
      <c r="CZ65" s="59">
        <f t="shared" si="42"/>
        <v>298.74602928001929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87.050730579602543</v>
      </c>
      <c r="DG65" s="21">
        <f>EXP(-LN(2)/25)*DG64+(1-EXP(-LN(2)/25))/(LN(2)/25)*Calculateur!DB65*Calculateur!DD65*VLOOKUP('Données projet'!$B$13,Paramètres!$A$1:$I$89,3,0)*0.475*44/12</f>
        <v>40.121737370824285</v>
      </c>
      <c r="DH65" s="21">
        <f>EXP(-LN(2)/2)*DH64+(1-EXP(-LN(2)/2))/(LN(2)/2)*DB65*DE65*VLOOKUP('Données projet'!$B$13,Paramètres!$A$1:$I$89,3,0)*0.475*44/12</f>
        <v>0.56417259826967125</v>
      </c>
      <c r="DI65" s="22">
        <f t="shared" si="15"/>
        <v>127.7366405486965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15.515714285714287</v>
      </c>
      <c r="DO65" s="12">
        <f>IF('Données projet'!$A$166&gt;35,DO64+DN65-DW64,IF(A65&lt;'Données projet'!$A$166,$DL$205^A65,IF(A65='Données projet'!$A$166,'Données projet'!$B$166,DO64+DN65-DW64)))</f>
        <v>568.29714285714283</v>
      </c>
      <c r="DP65" s="17">
        <f>DO65*VLOOKUP('Données projet'!$B$14,Paramètres!$A$1:$I$89,3,0)*VLOOKUP('Données projet'!$B$14,Paramètres!$A$1:$I$89,5,0)</f>
        <v>339.84169142857149</v>
      </c>
      <c r="DQ65" s="13">
        <f t="shared" si="43"/>
        <v>79.467237982145818</v>
      </c>
      <c r="DR65" s="20">
        <f t="shared" si="16"/>
        <v>730.2963853903326</v>
      </c>
      <c r="DS65" s="59">
        <f t="shared" si="17"/>
        <v>1023.629718723666</v>
      </c>
      <c r="DT65" s="59">
        <f ca="1">AVERAGE(OFFSET($DS$3,0,0,'Données projet'!$E$14+1,1))-AVERAGE(OFFSET($H$3,0,0,'Données projet'!$E$14+1,1))</f>
        <v>402.28353929315114</v>
      </c>
      <c r="DU65" s="59">
        <f t="shared" si="44"/>
        <v>376.94419168335463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29.518706622963549</v>
      </c>
      <c r="EB65" s="21">
        <f>EXP(-LN(2)/25)*EB64+(1-EXP(-LN(2)/25))/(LN(2)/25)*Calculateur!DW65*Calculateur!DY65*VLOOKUP('Données projet'!$B$14,Paramètres!$A$1:$I$89,3,0)*0.475*44/12</f>
        <v>27.242887059835223</v>
      </c>
      <c r="EC65" s="21">
        <f>EXP(-LN(2)/2)*EC64+(1-EXP(-LN(2)/2))/(LN(2)/2)*DW65*DZ65*VLOOKUP('Données projet'!$B$14,Paramètres!$A$1:$I$89,3,0)*0.475*44/12</f>
        <v>1.4999180991545917</v>
      </c>
      <c r="ED65" s="22">
        <f t="shared" si="18"/>
        <v>58.261511781953367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12</v>
      </c>
      <c r="EJ65" s="12">
        <f>IF('Données projet'!$A$192&gt;35,EJ64+EI65-ER64,IF(A65&lt;'Données projet'!$A$192,$EG$205^A65,IF(A65='Données projet'!$A$192,'Données projet'!$B$192,EJ64+EI65-ER64)))</f>
        <v>454</v>
      </c>
      <c r="EK65" s="17">
        <f>EJ65*VLOOKUP('Données projet'!$B$15,Paramètres!$A$1:$I$89,3,0)*VLOOKUP('Données projet'!$B$15,Paramètres!$A$1:$I$89,5,0)</f>
        <v>212.47200000000001</v>
      </c>
      <c r="EL65" s="13">
        <f t="shared" si="45"/>
        <v>52.475411418566523</v>
      </c>
      <c r="EM65" s="20">
        <f t="shared" si="19"/>
        <v>461.45007488733671</v>
      </c>
      <c r="EN65" s="59">
        <f t="shared" si="20"/>
        <v>754.78340822067003</v>
      </c>
      <c r="EO65" s="59">
        <f ca="1">AVERAGE(OFFSET($EN$3,0,0,'Données projet'!$E$15+1,1))-AVERAGE(OFFSET($H$3,0,0,'Données projet'!$E$15+1,1))</f>
        <v>273.3012268683454</v>
      </c>
      <c r="EP65" s="59">
        <f t="shared" si="46"/>
        <v>254.08208375594052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17.073292153590565</v>
      </c>
      <c r="EW65" s="21">
        <f>EXP(-LN(2)/25)*EW64+(1-EXP(-LN(2)/25))/(LN(2)/25)*Calculateur!ER65*Calculateur!ET65*VLOOKUP('Données projet'!$B$15,Paramètres!$A$1:$I$89,3,0)*0.475*44/12</f>
        <v>16.881922151105947</v>
      </c>
      <c r="EX65" s="21">
        <f>EXP(-LN(2)/2)*EX64+(1-EXP(-LN(2)/2))/(LN(2)/2)*ER65*EU65*VLOOKUP('Données projet'!$B$15,Paramètres!$A$1:$I$89,3,0)*0.475*44/12</f>
        <v>2.4432818792560891</v>
      </c>
      <c r="EY65" s="22">
        <f t="shared" si="21"/>
        <v>36.398496183952602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8.8000000000000007</v>
      </c>
      <c r="N66" s="13">
        <f>IF('Données projet'!$A$36&gt;35,N65+M66-V65,IF(A66&lt;'Données projet'!$A$36,$K$205^A66,IF(A66='Données projet'!$A$36,'Données projet'!$B$36,N65+M66-V65)))</f>
        <v>271.39999999999992</v>
      </c>
      <c r="O66" s="13">
        <f>N66*VLOOKUP('Données projet'!$B$9,Paramètres!$A$1:$I$89,3,0)*VLOOKUP('Données projet'!$B$9,Paramètres!$A$1:$I$89,5,0)</f>
        <v>245.56271999999993</v>
      </c>
      <c r="P66" s="13">
        <f t="shared" si="33"/>
        <v>59.634776048276898</v>
      </c>
      <c r="Q66" s="20">
        <f t="shared" si="53"/>
        <v>531.55230561741553</v>
      </c>
      <c r="R66" s="59">
        <f t="shared" si="0"/>
        <v>824.8856389507489</v>
      </c>
      <c r="S66" s="59">
        <f ca="1">AVERAGE(OFFSET($R$3,0,0,'Données projet'!$E$9+1,1))-AVERAGE(OFFSET($H$3,0,0,'Données projet'!$E$9+1,1))</f>
        <v>453.52760163325451</v>
      </c>
      <c r="T66" s="59">
        <f t="shared" si="34"/>
        <v>344.23959526427001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13.629163848880642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13.629163848880642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10.4</v>
      </c>
      <c r="AI66" s="13">
        <f>IF('Données projet'!$A$62&gt;35,AI65+AH66-AQ65,IF(A66&lt;'Données projet'!$A$62,$AF$205^A66,IF(A66='Données projet'!$A$62,'Données projet'!$B$62,AI65+AH66-AQ65)))</f>
        <v>273.2</v>
      </c>
      <c r="AJ66" s="13">
        <f>AI66*VLOOKUP('Données projet'!$B$10,Paramètres!$A$1:$I$89,3,0)*VLOOKUP('Données projet'!$B$10,Paramètres!$A$1:$I$89,5,0)</f>
        <v>234.40560000000005</v>
      </c>
      <c r="AK66" s="13">
        <f t="shared" si="35"/>
        <v>57.234220788626125</v>
      </c>
      <c r="AL66" s="20">
        <f t="shared" si="4"/>
        <v>507.93935454019061</v>
      </c>
      <c r="AM66" s="59">
        <f t="shared" si="5"/>
        <v>801.27268787352386</v>
      </c>
      <c r="AN66" s="59">
        <f ca="1">AVERAGE(OFFSET($AM$3,0,0,'Données projet'!$E$10+1,1))-AVERAGE(OFFSET($H$3,0,0,'Données projet'!$E$10+1,1))</f>
        <v>397.45670821030774</v>
      </c>
      <c r="AO66" s="59">
        <f t="shared" si="36"/>
        <v>256.77417912163997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15.929836655768675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15.929836655768675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7.8</v>
      </c>
      <c r="BD66" s="12">
        <f>IF('Données projet'!$A$88&gt;35,BD65+BC66-BL65,IF(A66&lt;'Données projet'!$A$88,$BA$205^A66,IF(A66='Données projet'!$A$88,'Données projet'!$B$88,BD65+BC66-BL65)))</f>
        <v>273.39999999999992</v>
      </c>
      <c r="BE66" s="13">
        <f>BD66*VLOOKUP('Données projet'!$B$11,Paramètres!$A$1:$I$89,3,0)*VLOOKUP('Données projet'!$B$11,Paramètres!$A$1:$I$89,5,0)</f>
        <v>213.25199999999995</v>
      </c>
      <c r="BF66" s="13">
        <f t="shared" si="37"/>
        <v>52.64559269746821</v>
      </c>
      <c r="BG66" s="20">
        <f t="shared" si="7"/>
        <v>463.10497394809039</v>
      </c>
      <c r="BH66" s="59">
        <f t="shared" si="8"/>
        <v>756.4383072814237</v>
      </c>
      <c r="BI66" s="59">
        <f ca="1">AVERAGE(OFFSET($BH$3,0,0,'Données projet'!$E$11+1,1))-AVERAGE(OFFSET($H$3,0,0,'Données projet'!$E$11+1,1))</f>
        <v>293.20194140252903</v>
      </c>
      <c r="BJ66" s="59">
        <f t="shared" si="38"/>
        <v>280.69048279989266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27.544698723708176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27.544698723708176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4.4000000000000004</v>
      </c>
      <c r="BY66" s="12">
        <f>IF('Données projet'!$A$114&gt;35,BY65+BX66-CG65,IF(A66&lt;'Données projet'!$A$114,$BV$205^A66,IF(A66='Données projet'!$A$114,'Données projet'!$B$114,BY65+BX66-CG65)))</f>
        <v>246.19999999999985</v>
      </c>
      <c r="BZ66" s="13">
        <f>BY66*VLOOKUP('Données projet'!$B$12,Paramètres!$A$1:$I$89,3,0)*VLOOKUP('Données projet'!$B$12,Paramètres!$A$1:$I$89,5,0)</f>
        <v>195.87671999999989</v>
      </c>
      <c r="CA66" s="13">
        <f t="shared" si="39"/>
        <v>48.836899853879942</v>
      </c>
      <c r="CB66" s="20">
        <f t="shared" si="10"/>
        <v>426.20955457884071</v>
      </c>
      <c r="CC66" s="59">
        <f t="shared" si="11"/>
        <v>719.54288791217402</v>
      </c>
      <c r="CD66" s="59">
        <f ca="1">AVERAGE(OFFSET($CC$3,0,0,'Données projet'!$E$12+1,1))-AVERAGE(OFFSET($H$3,0,0,'Données projet'!$E$12+1,1))</f>
        <v>271.25628946149067</v>
      </c>
      <c r="CE66" s="59">
        <f t="shared" si="40"/>
        <v>292.57799203101769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26.190932415458544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26.190932415458544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5.6843418860808015E-14</v>
      </c>
      <c r="CU66" s="17">
        <f>CT66*VLOOKUP('Données projet'!$B$13,Paramètres!$A$1:$I$89,3,0)*VLOOKUP('Données projet'!$B$13,Paramètres!$A$1:$I$89,5,0)</f>
        <v>3.1036506698001178E-14</v>
      </c>
      <c r="CV66" s="13">
        <f t="shared" si="41"/>
        <v>5.3428243983771088E-13</v>
      </c>
      <c r="CW66" s="20">
        <f t="shared" si="13"/>
        <v>9.8459716521636505E-13</v>
      </c>
      <c r="CX66" s="59">
        <f t="shared" si="14"/>
        <v>293.33333333333428</v>
      </c>
      <c r="CY66" s="59">
        <f ca="1">AVERAGE(OFFSET($CX$3,0,0,'Données projet'!$E$13+1,1))-AVERAGE(OFFSET($H$3,0,0,'Données projet'!$E$13+1,1))</f>
        <v>210.03861149060413</v>
      </c>
      <c r="CZ66" s="59">
        <f t="shared" si="42"/>
        <v>298.74602928001929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85.343718848639426</v>
      </c>
      <c r="DG66" s="21">
        <f>EXP(-LN(2)/25)*DG65+(1-EXP(-LN(2)/25))/(LN(2)/25)*Calculateur!DB66*Calculateur!DD66*VLOOKUP('Données projet'!$B$13,Paramètres!$A$1:$I$89,3,0)*0.475*44/12</f>
        <v>39.024606352508627</v>
      </c>
      <c r="DH66" s="21">
        <f>EXP(-LN(2)/2)*DH65+(1-EXP(-LN(2)/2))/(LN(2)/2)*DB66*DE66*VLOOKUP('Données projet'!$B$13,Paramètres!$A$1:$I$89,3,0)*0.475*44/12</f>
        <v>0.39893026999611841</v>
      </c>
      <c r="DI66" s="22">
        <f t="shared" si="15"/>
        <v>124.76725547114417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15.515714285714287</v>
      </c>
      <c r="DO66" s="12">
        <f>IF('Données projet'!$A$166&gt;35,DO65+DN66-DW65,IF(A66&lt;'Données projet'!$A$166,$DL$205^A66,IF(A66='Données projet'!$A$166,'Données projet'!$B$166,DO65+DN66-DW65)))</f>
        <v>583.81285714285707</v>
      </c>
      <c r="DP66" s="17">
        <f>DO66*VLOOKUP('Données projet'!$B$14,Paramètres!$A$1:$I$89,3,0)*VLOOKUP('Données projet'!$B$14,Paramètres!$A$1:$I$89,5,0)</f>
        <v>349.12008857142854</v>
      </c>
      <c r="DQ66" s="13">
        <f t="shared" si="43"/>
        <v>81.381301801660527</v>
      </c>
      <c r="DR66" s="20">
        <f t="shared" si="16"/>
        <v>749.78992156646348</v>
      </c>
      <c r="DS66" s="59">
        <f t="shared" si="17"/>
        <v>1043.1232548997968</v>
      </c>
      <c r="DT66" s="59">
        <f ca="1">AVERAGE(OFFSET($DS$3,0,0,'Données projet'!$E$14+1,1))-AVERAGE(OFFSET($H$3,0,0,'Données projet'!$E$14+1,1))</f>
        <v>402.28353929315114</v>
      </c>
      <c r="DU66" s="59">
        <f t="shared" si="44"/>
        <v>376.94419168335463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28.939862790720465</v>
      </c>
      <c r="EB66" s="21">
        <f>EXP(-LN(2)/25)*EB65+(1-EXP(-LN(2)/25))/(LN(2)/25)*Calculateur!DW66*Calculateur!DY66*VLOOKUP('Données projet'!$B$14,Paramètres!$A$1:$I$89,3,0)*0.475*44/12</f>
        <v>26.497928880542862</v>
      </c>
      <c r="EC66" s="21">
        <f>EXP(-LN(2)/2)*EC65+(1-EXP(-LN(2)/2))/(LN(2)/2)*DW66*DZ66*VLOOKUP('Données projet'!$B$14,Paramètres!$A$1:$I$89,3,0)*0.475*44/12</f>
        <v>1.0606022591366482</v>
      </c>
      <c r="ED66" s="22">
        <f t="shared" si="18"/>
        <v>56.498393930399978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12</v>
      </c>
      <c r="EJ66" s="12">
        <f>IF('Données projet'!$A$192&gt;35,EJ65+EI66-ER65,IF(A66&lt;'Données projet'!$A$192,$EG$205^A66,IF(A66='Données projet'!$A$192,'Données projet'!$B$192,EJ65+EI66-ER65)))</f>
        <v>466</v>
      </c>
      <c r="EK66" s="17">
        <f>EJ66*VLOOKUP('Données projet'!$B$15,Paramètres!$A$1:$I$89,3,0)*VLOOKUP('Données projet'!$B$15,Paramètres!$A$1:$I$89,5,0)</f>
        <v>218.08799999999999</v>
      </c>
      <c r="EL66" s="13">
        <f t="shared" si="45"/>
        <v>53.699111087780629</v>
      </c>
      <c r="EM66" s="20">
        <f t="shared" si="19"/>
        <v>473.36255181121783</v>
      </c>
      <c r="EN66" s="59">
        <f t="shared" si="20"/>
        <v>766.69588514455108</v>
      </c>
      <c r="EO66" s="59">
        <f ca="1">AVERAGE(OFFSET($EN$3,0,0,'Données projet'!$E$15+1,1))-AVERAGE(OFFSET($H$3,0,0,'Données projet'!$E$15+1,1))</f>
        <v>273.3012268683454</v>
      </c>
      <c r="EP66" s="59">
        <f t="shared" si="46"/>
        <v>254.08208375594052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16.738495308138603</v>
      </c>
      <c r="EW66" s="21">
        <f>EXP(-LN(2)/25)*EW65+(1-EXP(-LN(2)/25))/(LN(2)/25)*Calculateur!ER66*Calculateur!ET66*VLOOKUP('Données projet'!$B$15,Paramètres!$A$1:$I$89,3,0)*0.475*44/12</f>
        <v>16.420285102102252</v>
      </c>
      <c r="EX66" s="21">
        <f>EXP(-LN(2)/2)*EX65+(1-EXP(-LN(2)/2))/(LN(2)/2)*ER66*EU66*VLOOKUP('Données projet'!$B$15,Paramètres!$A$1:$I$89,3,0)*0.475*44/12</f>
        <v>1.7276611851721921</v>
      </c>
      <c r="EY66" s="22">
        <f t="shared" si="21"/>
        <v>34.886441595413046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8.8000000000000007</v>
      </c>
      <c r="N67" s="13">
        <f>IF('Données projet'!$A$36&gt;35,N66+M67-V66,IF(A67&lt;'Données projet'!$A$36,$K$205^A67,IF(A67='Données projet'!$A$36,'Données projet'!$B$36,N66+M67-V66)))</f>
        <v>280.19999999999993</v>
      </c>
      <c r="O67" s="13">
        <f>N67*VLOOKUP('Données projet'!$B$9,Paramètres!$A$1:$I$89,3,0)*VLOOKUP('Données projet'!$B$9,Paramètres!$A$1:$I$89,5,0)</f>
        <v>253.52495999999996</v>
      </c>
      <c r="P67" s="13">
        <f t="shared" si="33"/>
        <v>61.340141798422209</v>
      </c>
      <c r="Q67" s="20">
        <f t="shared" ref="Q67:Q98" si="54">(O67+P67)*0.475*44/12</f>
        <v>548.39005229891859</v>
      </c>
      <c r="R67" s="59">
        <f t="shared" ref="R67:R130" si="55">Q67+(I67+J67)*44/12</f>
        <v>841.72338563225185</v>
      </c>
      <c r="S67" s="59">
        <f ca="1">AVERAGE(OFFSET($R$3,0,0,'Données projet'!$E$9+1,1))-AVERAGE(OFFSET($H$3,0,0,'Données projet'!$E$9+1,1))</f>
        <v>453.52760163325451</v>
      </c>
      <c r="T67" s="59">
        <f t="shared" si="34"/>
        <v>344.23959526427001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13.361904258773203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13.361904258773203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10.4</v>
      </c>
      <c r="AI67" s="13">
        <f>IF('Données projet'!$A$62&gt;35,AI66+AH67-AQ66,IF(A67&lt;'Données projet'!$A$62,$AF$205^A67,IF(A67='Données projet'!$A$62,'Données projet'!$B$62,AI66+AH67-AQ66)))</f>
        <v>283.59999999999997</v>
      </c>
      <c r="AJ67" s="13">
        <f>AI67*VLOOKUP('Données projet'!$B$10,Paramètres!$A$1:$I$89,3,0)*VLOOKUP('Données projet'!$B$10,Paramètres!$A$1:$I$89,5,0)</f>
        <v>243.3288</v>
      </c>
      <c r="AK67" s="13">
        <f t="shared" si="35"/>
        <v>59.155162833418565</v>
      </c>
      <c r="AL67" s="20">
        <f t="shared" si="4"/>
        <v>526.82623526820396</v>
      </c>
      <c r="AM67" s="59">
        <f t="shared" si="5"/>
        <v>820.15956860153733</v>
      </c>
      <c r="AN67" s="59">
        <f ca="1">AVERAGE(OFFSET($AM$3,0,0,'Données projet'!$E$10+1,1))-AVERAGE(OFFSET($H$3,0,0,'Données projet'!$E$10+1,1))</f>
        <v>397.45670821030774</v>
      </c>
      <c r="AO67" s="59">
        <f t="shared" si="36"/>
        <v>256.77417912163997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15.617462275190013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15.617462275190013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7.8</v>
      </c>
      <c r="BD67" s="12">
        <f>IF('Données projet'!$A$88&gt;35,BD66+BC67-BL66,IF(A67&lt;'Données projet'!$A$88,$BA$205^A67,IF(A67='Données projet'!$A$88,'Données projet'!$B$88,BD66+BC67-BL66)))</f>
        <v>281.19999999999993</v>
      </c>
      <c r="BE67" s="13">
        <f>BD67*VLOOKUP('Données projet'!$B$11,Paramètres!$A$1:$I$89,3,0)*VLOOKUP('Données projet'!$B$11,Paramètres!$A$1:$I$89,5,0)</f>
        <v>219.33599999999996</v>
      </c>
      <c r="BF67" s="13">
        <f t="shared" si="37"/>
        <v>53.970543222289891</v>
      </c>
      <c r="BG67" s="20">
        <f t="shared" si="7"/>
        <v>476.00889611215479</v>
      </c>
      <c r="BH67" s="59">
        <f t="shared" si="8"/>
        <v>769.3422294454881</v>
      </c>
      <c r="BI67" s="59">
        <f ca="1">AVERAGE(OFFSET($BH$3,0,0,'Données projet'!$E$11+1,1))-AVERAGE(OFFSET($H$3,0,0,'Données projet'!$E$11+1,1))</f>
        <v>293.20194140252903</v>
      </c>
      <c r="BJ67" s="59">
        <f t="shared" si="38"/>
        <v>280.69048279989266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27.004563982343559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27.004563982343559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4.4000000000000004</v>
      </c>
      <c r="BY67" s="12">
        <f>IF('Données projet'!$A$114&gt;35,BY66+BX67-CG66,IF(A67&lt;'Données projet'!$A$114,$BV$205^A67,IF(A67='Données projet'!$A$114,'Données projet'!$B$114,BY66+BX67-CG66)))</f>
        <v>250.59999999999985</v>
      </c>
      <c r="BZ67" s="13">
        <f>BY67*VLOOKUP('Données projet'!$B$12,Paramètres!$A$1:$I$89,3,0)*VLOOKUP('Données projet'!$B$12,Paramètres!$A$1:$I$89,5,0)</f>
        <v>199.3773599999999</v>
      </c>
      <c r="CA67" s="13">
        <f t="shared" si="39"/>
        <v>49.607305476717762</v>
      </c>
      <c r="CB67" s="20">
        <f t="shared" si="10"/>
        <v>433.64829237194994</v>
      </c>
      <c r="CC67" s="59">
        <f t="shared" si="11"/>
        <v>726.98162570528325</v>
      </c>
      <c r="CD67" s="59">
        <f ca="1">AVERAGE(OFFSET($CC$3,0,0,'Données projet'!$E$12+1,1))-AVERAGE(OFFSET($H$3,0,0,'Données projet'!$E$12+1,1))</f>
        <v>271.25628946149067</v>
      </c>
      <c r="CE67" s="59">
        <f t="shared" si="40"/>
        <v>292.57799203101769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25.677344205682786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25.677344205682786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5.6843418860808015E-14</v>
      </c>
      <c r="CU67" s="17">
        <f>CT67*VLOOKUP('Données projet'!$B$13,Paramètres!$A$1:$I$89,3,0)*VLOOKUP('Données projet'!$B$13,Paramètres!$A$1:$I$89,5,0)</f>
        <v>3.1036506698001178E-14</v>
      </c>
      <c r="CV67" s="13">
        <f t="shared" si="41"/>
        <v>5.3428243983771088E-13</v>
      </c>
      <c r="CW67" s="20">
        <f t="shared" si="13"/>
        <v>9.8459716521636505E-13</v>
      </c>
      <c r="CX67" s="59">
        <f t="shared" si="14"/>
        <v>293.33333333333428</v>
      </c>
      <c r="CY67" s="59">
        <f ca="1">AVERAGE(OFFSET($CX$3,0,0,'Données projet'!$E$13+1,1))-AVERAGE(OFFSET($H$3,0,0,'Données projet'!$E$13+1,1))</f>
        <v>210.03861149060413</v>
      </c>
      <c r="CZ67" s="59">
        <f t="shared" si="42"/>
        <v>298.74602928001929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83.670180576546144</v>
      </c>
      <c r="DG67" s="21">
        <f>EXP(-LN(2)/25)*DG66+(1-EXP(-LN(2)/25))/(LN(2)/25)*Calculateur!DB67*Calculateur!DD67*VLOOKUP('Données projet'!$B$13,Paramètres!$A$1:$I$89,3,0)*0.475*44/12</f>
        <v>37.957476439584426</v>
      </c>
      <c r="DH67" s="21">
        <f>EXP(-LN(2)/2)*DH66+(1-EXP(-LN(2)/2))/(LN(2)/2)*DB67*DE67*VLOOKUP('Données projet'!$B$13,Paramètres!$A$1:$I$89,3,0)*0.475*44/12</f>
        <v>0.28208629913483563</v>
      </c>
      <c r="DI67" s="22">
        <f t="shared" si="15"/>
        <v>121.9097433152654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15.515714285714287</v>
      </c>
      <c r="DO67" s="12">
        <f>IF('Données projet'!$A$166&gt;35,DO66+DN67-DW66,IF(A67&lt;'Données projet'!$A$166,$DL$205^A67,IF(A67='Données projet'!$A$166,'Données projet'!$B$166,DO66+DN67-DW66)))</f>
        <v>599.32857142857131</v>
      </c>
      <c r="DP67" s="17">
        <f>DO67*VLOOKUP('Données projet'!$B$14,Paramètres!$A$1:$I$89,3,0)*VLOOKUP('Données projet'!$B$14,Paramètres!$A$1:$I$89,5,0)</f>
        <v>358.3984857142857</v>
      </c>
      <c r="DQ67" s="13">
        <f t="shared" si="43"/>
        <v>83.289452865023264</v>
      </c>
      <c r="DR67" s="20">
        <f t="shared" si="16"/>
        <v>769.2731596922963</v>
      </c>
      <c r="DS67" s="59">
        <f t="shared" si="17"/>
        <v>1062.6064930256296</v>
      </c>
      <c r="DT67" s="59">
        <f ca="1">AVERAGE(OFFSET($DS$3,0,0,'Données projet'!$E$14+1,1))-AVERAGE(OFFSET($H$3,0,0,'Données projet'!$E$14+1,1))</f>
        <v>402.28353929315114</v>
      </c>
      <c r="DU67" s="59">
        <f t="shared" si="44"/>
        <v>376.94419168335463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28.37236973296779</v>
      </c>
      <c r="EB67" s="21">
        <f>EXP(-LN(2)/25)*EB66+(1-EXP(-LN(2)/25))/(LN(2)/25)*Calculateur!DW67*Calculateur!DY67*VLOOKUP('Données projet'!$B$14,Paramètres!$A$1:$I$89,3,0)*0.475*44/12</f>
        <v>25.773341621838899</v>
      </c>
      <c r="EC67" s="21">
        <f>EXP(-LN(2)/2)*EC66+(1-EXP(-LN(2)/2))/(LN(2)/2)*DW67*DZ67*VLOOKUP('Données projet'!$B$14,Paramètres!$A$1:$I$89,3,0)*0.475*44/12</f>
        <v>0.74995904957729587</v>
      </c>
      <c r="ED67" s="22">
        <f t="shared" si="18"/>
        <v>54.895670404383992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12</v>
      </c>
      <c r="EJ67" s="12">
        <f>IF('Données projet'!$A$192&gt;35,EJ66+EI67-ER66,IF(A67&lt;'Données projet'!$A$192,$EG$205^A67,IF(A67='Données projet'!$A$192,'Données projet'!$B$192,EJ66+EI67-ER66)))</f>
        <v>478</v>
      </c>
      <c r="EK67" s="17">
        <f>EJ67*VLOOKUP('Données projet'!$B$15,Paramètres!$A$1:$I$89,3,0)*VLOOKUP('Données projet'!$B$15,Paramètres!$A$1:$I$89,5,0)</f>
        <v>223.70399999999998</v>
      </c>
      <c r="EL67" s="13">
        <f t="shared" si="45"/>
        <v>54.919147873047578</v>
      </c>
      <c r="EM67" s="20">
        <f t="shared" si="19"/>
        <v>485.26864921222455</v>
      </c>
      <c r="EN67" s="59">
        <f t="shared" si="20"/>
        <v>778.6019825455578</v>
      </c>
      <c r="EO67" s="59">
        <f ca="1">AVERAGE(OFFSET($EN$3,0,0,'Données projet'!$E$15+1,1))-AVERAGE(OFFSET($H$3,0,0,'Données projet'!$E$15+1,1))</f>
        <v>273.3012268683454</v>
      </c>
      <c r="EP67" s="59">
        <f t="shared" si="46"/>
        <v>254.08208375594052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16.41026362462004</v>
      </c>
      <c r="EW67" s="21">
        <f>EXP(-LN(2)/25)*EW66+(1-EXP(-LN(2)/25))/(LN(2)/25)*Calculateur!ER67*Calculateur!ET67*VLOOKUP('Données projet'!$B$15,Paramètres!$A$1:$I$89,3,0)*0.475*44/12</f>
        <v>15.971271542480002</v>
      </c>
      <c r="EX67" s="21">
        <f>EXP(-LN(2)/2)*EX66+(1-EXP(-LN(2)/2))/(LN(2)/2)*ER67*EU67*VLOOKUP('Données projet'!$B$15,Paramètres!$A$1:$I$89,3,0)*0.475*44/12</f>
        <v>1.2216409396280448</v>
      </c>
      <c r="EY67" s="22">
        <f t="shared" si="21"/>
        <v>33.603176106728085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289</v>
      </c>
      <c r="L68" s="12">
        <f>VLOOKUP(A68,'Données projet'!$A$35:$I$55,9,0)</f>
        <v>8.8000000000000007</v>
      </c>
      <c r="M68" s="12">
        <f t="array" ref="M68">INDEX(L:L,MIN(IF(ISNUMBER(L68:L264),ROW(L68:L264),"")))</f>
        <v>8.8000000000000007</v>
      </c>
      <c r="N68" s="13">
        <f>IF('Données projet'!$A$36&gt;35,N67+M68-V67,IF(A68&lt;'Données projet'!$A$36,$K$205^A68,IF(A68='Données projet'!$A$36,'Données projet'!$B$36,N67+M68-V67)))</f>
        <v>288.99999999999994</v>
      </c>
      <c r="O68" s="13">
        <f>N68*VLOOKUP('Données projet'!$B$9,Paramètres!$A$1:$I$89,3,0)*VLOOKUP('Données projet'!$B$9,Paramètres!$A$1:$I$89,5,0)</f>
        <v>261.48719999999992</v>
      </c>
      <c r="P68" s="13">
        <f t="shared" si="33"/>
        <v>63.039283586802391</v>
      </c>
      <c r="Q68" s="20">
        <f t="shared" si="54"/>
        <v>565.21695891368074</v>
      </c>
      <c r="R68" s="59">
        <f t="shared" si="55"/>
        <v>858.55029224701411</v>
      </c>
      <c r="S68" s="59">
        <f ca="1">AVERAGE(OFFSET($R$3,0,0,'Données projet'!$E$9+1,1))-AVERAGE(OFFSET($H$3,0,0,'Données projet'!$E$9+1,1))</f>
        <v>453.52760163325451</v>
      </c>
      <c r="T68" s="59">
        <f t="shared" si="34"/>
        <v>344.23959526427001</v>
      </c>
      <c r="U68" s="15">
        <f>IF(ISNA(VLOOKUP(A68,'Données projet'!$A$35:$I$55,3,0)),0,VLOOKUP(A68,'Données projet'!$A$35:$I$55,3,0))</f>
        <v>10</v>
      </c>
      <c r="V68" s="15">
        <f>IF(ISNA(VLOOKUP(A68,'Données projet'!$A$35:$I$55,4,0)),0,VLOOKUP(A68,'Données projet'!$A$35:$I$55,4,0))</f>
        <v>28</v>
      </c>
      <c r="W68" s="16">
        <f>IF(ISNA(VLOOKUP(A68,'Données projet'!$A$35:$I$55,5,0)),0%,VLOOKUP(A68,'Données projet'!$A$35:$I$55,5,0)*VLOOKUP('Données projet'!$B$9,Paramètres!$A$1:$I$89,7,0))</f>
        <v>0.17200000000000001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17.916991216932722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17.916991216932722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294</v>
      </c>
      <c r="AG68" s="12">
        <f>VLOOKUP(A68,'Données projet'!$A$61:$I$81,9,0)</f>
        <v>10.4</v>
      </c>
      <c r="AH68" s="12">
        <f t="array" ref="AH68">INDEX(AG:AG,MIN(IF(ISNUMBER(AG68:AG264),ROW(AG68:AG264),"")))</f>
        <v>10.4</v>
      </c>
      <c r="AI68" s="13">
        <f>IF('Données projet'!$A$62&gt;35,AI67+AH68-AQ67,IF(A68&lt;'Données projet'!$A$62,$AF$205^A68,IF(A68='Données projet'!$A$62,'Données projet'!$B$62,AI67+AH68-AQ67)))</f>
        <v>293.99999999999994</v>
      </c>
      <c r="AJ68" s="13">
        <f>AI68*VLOOKUP('Données projet'!$B$10,Paramètres!$A$1:$I$89,3,0)*VLOOKUP('Données projet'!$B$10,Paramètres!$A$1:$I$89,5,0)</f>
        <v>252.25199999999998</v>
      </c>
      <c r="AK68" s="13">
        <f t="shared" si="35"/>
        <v>61.067920784150822</v>
      </c>
      <c r="AL68" s="20">
        <f t="shared" ref="AL68:AL131" si="58">(AJ68+AK68)*0.475*44/12</f>
        <v>545.69886203239594</v>
      </c>
      <c r="AM68" s="59">
        <f t="shared" ref="AM68:AM131" si="59">AL68+(AD68+AE68)*44/12</f>
        <v>839.03219536572919</v>
      </c>
      <c r="AN68" s="59">
        <f ca="1">AVERAGE(OFFSET($AM$3,0,0,'Données projet'!$E$10+1,1))-AVERAGE(OFFSET($H$3,0,0,'Données projet'!$E$10+1,1))</f>
        <v>397.45670821030774</v>
      </c>
      <c r="AO68" s="59">
        <f t="shared" si="36"/>
        <v>256.77417912163997</v>
      </c>
      <c r="AP68" s="15">
        <f>IF(ISNA(VLOOKUP(A68,'Données projet'!$A$61:$I$81,3,0)),0,VLOOKUP(A68,'Données projet'!$A$61:$I$81,3,0))</f>
        <v>10</v>
      </c>
      <c r="AQ68" s="15">
        <f>IF(ISNA(VLOOKUP(A68,'Données projet'!$A$61:$I$81,4,0)),0,VLOOKUP(A68,'Données projet'!$A$61:$I$81,4,0))</f>
        <v>28</v>
      </c>
      <c r="AR68" s="16">
        <f>IF(ISNA(VLOOKUP(A68,'Données projet'!$A$61:$I$81,5,0)),0%,VLOOKUP(A68,'Données projet'!$A$61:$I$81,5,0)*VLOOKUP('Données projet'!$B$10,Paramètres!$A$1:$I$89,7,0))</f>
        <v>0.21200000000000002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20.941471290039651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20.941471290039651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7.8</v>
      </c>
      <c r="BD68" s="12">
        <f>IF('Données projet'!$A$88&gt;35,BD67+BC68-BL67,IF(A68&lt;'Données projet'!$A$88,$BA$205^A68,IF(A68='Données projet'!$A$88,'Données projet'!$B$88,BD67+BC68-BL67)))</f>
        <v>288.99999999999994</v>
      </c>
      <c r="BE68" s="13">
        <f>BD68*VLOOKUP('Données projet'!$B$11,Paramètres!$A$1:$I$89,3,0)*VLOOKUP('Données projet'!$B$11,Paramètres!$A$1:$I$89,5,0)</f>
        <v>225.41999999999996</v>
      </c>
      <c r="BF68" s="13">
        <f t="shared" si="37"/>
        <v>55.291222154180652</v>
      </c>
      <c r="BG68" s="20">
        <f t="shared" ref="BG68:BG131" si="61">(BE68+BF68)*0.475*44/12</f>
        <v>488.90537858519792</v>
      </c>
      <c r="BH68" s="59">
        <f t="shared" ref="BH68:BH131" si="62">BG68+(AY68+AZ68)*44/12</f>
        <v>782.23871191853118</v>
      </c>
      <c r="BI68" s="59">
        <f ca="1">AVERAGE(OFFSET($BH$3,0,0,'Données projet'!$E$11+1,1))-AVERAGE(OFFSET($H$3,0,0,'Données projet'!$E$11+1,1))</f>
        <v>293.20194140252903</v>
      </c>
      <c r="BJ68" s="59">
        <f t="shared" si="38"/>
        <v>280.69048279989266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26.475020953807437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26.475020953807437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255</v>
      </c>
      <c r="BW68" s="12">
        <f>VLOOKUP(A68,'Données projet'!$A$113:$I$133,9,0)</f>
        <v>4.4000000000000004</v>
      </c>
      <c r="BX68" s="12">
        <f t="array" ref="BX68">INDEX(BW:BW,MIN(IF(ISNUMBER(BW68:BW264),ROW(BW68:BW264),"")))</f>
        <v>4.4000000000000004</v>
      </c>
      <c r="BY68" s="12">
        <f>IF('Données projet'!$A$114&gt;35,BY67+BX68-CG67,IF(A68&lt;'Données projet'!$A$114,$BV$205^A68,IF(A68='Données projet'!$A$114,'Données projet'!$B$114,BY67+BX68-CG67)))</f>
        <v>254.99999999999986</v>
      </c>
      <c r="BZ68" s="13">
        <f>BY68*VLOOKUP('Données projet'!$B$12,Paramètres!$A$1:$I$89,3,0)*VLOOKUP('Données projet'!$B$12,Paramètres!$A$1:$I$89,5,0)</f>
        <v>202.8779999999999</v>
      </c>
      <c r="CA68" s="13">
        <f t="shared" si="39"/>
        <v>50.376138116990084</v>
      </c>
      <c r="CB68" s="20">
        <f t="shared" ref="CB68:CB131" si="64">(BZ68+CA68)*0.475*44/12</f>
        <v>441.08429055375751</v>
      </c>
      <c r="CC68" s="59">
        <f t="shared" ref="CC68:CC131" si="65">CB68+(BT68+BU68)*44/12</f>
        <v>734.41762388709083</v>
      </c>
      <c r="CD68" s="59">
        <f ca="1">AVERAGE(OFFSET($CC$3,0,0,'Données projet'!$E$12+1,1))-AVERAGE(OFFSET($H$3,0,0,'Données projet'!$E$12+1,1))</f>
        <v>271.25628946149067</v>
      </c>
      <c r="CE68" s="59">
        <f t="shared" si="40"/>
        <v>292.57799203101769</v>
      </c>
      <c r="CF68" s="15">
        <f>IF(ISNA(VLOOKUP(A68,'Données projet'!$A$113:$I$133,3,0)),0,VLOOKUP(A68,'Données projet'!$A$113:$I$133,3,0))</f>
        <v>11</v>
      </c>
      <c r="CG68" s="15">
        <f>IF(ISNA(VLOOKUP(A68,'Données projet'!$A$113:$I$133,4,0)),0,VLOOKUP(A68,'Données projet'!$A$113:$I$133,4,0))</f>
        <v>11</v>
      </c>
      <c r="CH68" s="16">
        <f>IF(ISNA(VLOOKUP(A68,'Données projet'!$A$113:$I$133,5,0)),0%,VLOOKUP(A68,'Données projet'!$A$113:$I$133,5,0)*VLOOKUP('Données projet'!$B$12,Paramètres!$A$1:$I$89,7,0))</f>
        <v>0.371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28.763116574218984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28.763116574218984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5.6843418860808015E-14</v>
      </c>
      <c r="CU68" s="17">
        <f>CT68*VLOOKUP('Données projet'!$B$13,Paramètres!$A$1:$I$89,3,0)*VLOOKUP('Données projet'!$B$13,Paramètres!$A$1:$I$89,5,0)</f>
        <v>3.1036506698001178E-14</v>
      </c>
      <c r="CV68" s="13">
        <f t="shared" si="41"/>
        <v>5.3428243983771088E-13</v>
      </c>
      <c r="CW68" s="20">
        <f t="shared" ref="CW68:CW131" si="67">(CU68+CV68)*0.475*44/12</f>
        <v>9.8459716521636505E-13</v>
      </c>
      <c r="CX68" s="59">
        <f t="shared" ref="CX68:CX131" si="68">CW68+(CO68+CP68)*44/12</f>
        <v>293.33333333333428</v>
      </c>
      <c r="CY68" s="59">
        <f ca="1">AVERAGE(OFFSET($CX$3,0,0,'Données projet'!$E$13+1,1))-AVERAGE(OFFSET($H$3,0,0,'Données projet'!$E$13+1,1))</f>
        <v>210.03861149060413</v>
      </c>
      <c r="CZ68" s="59">
        <f t="shared" si="42"/>
        <v>298.74602928001929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82.029459369211054</v>
      </c>
      <c r="DG68" s="21">
        <f>EXP(-LN(2)/25)*DG67+(1-EXP(-LN(2)/25))/(LN(2)/25)*Calculateur!DB68*Calculateur!DD68*VLOOKUP('Données projet'!$B$13,Paramètres!$A$1:$I$89,3,0)*0.475*44/12</f>
        <v>36.919527250247057</v>
      </c>
      <c r="DH68" s="21">
        <f>EXP(-LN(2)/2)*DH67+(1-EXP(-LN(2)/2))/(LN(2)/2)*DB68*DE68*VLOOKUP('Données projet'!$B$13,Paramètres!$A$1:$I$89,3,0)*0.475*44/12</f>
        <v>0.19946513499805921</v>
      </c>
      <c r="DI68" s="22">
        <f t="shared" ref="DI68:DI131" si="69">SUM(DF68:DH68)</f>
        <v>119.14845175445618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15.515714285714287</v>
      </c>
      <c r="DO68" s="12">
        <f>IF('Données projet'!$A$166&gt;35,DO67+DN68-DW67,IF(A68&lt;'Données projet'!$A$166,$DL$205^A68,IF(A68='Données projet'!$A$166,'Données projet'!$B$166,DO67+DN68-DW67)))</f>
        <v>614.84428571428555</v>
      </c>
      <c r="DP68" s="17">
        <f>DO68*VLOOKUP('Données projet'!$B$14,Paramètres!$A$1:$I$89,3,0)*VLOOKUP('Données projet'!$B$14,Paramètres!$A$1:$I$89,5,0)</f>
        <v>367.6768828571428</v>
      </c>
      <c r="DQ68" s="13">
        <f t="shared" si="43"/>
        <v>85.191861843570578</v>
      </c>
      <c r="DR68" s="20">
        <f t="shared" ref="DR68:DR131" si="70">(DP68+DQ68)*0.475*44/12</f>
        <v>788.74639702040906</v>
      </c>
      <c r="DS68" s="59">
        <f t="shared" ref="DS68:DS131" si="71">DR68+(DJ68+DK68)*44/12</f>
        <v>1082.0797303537424</v>
      </c>
      <c r="DT68" s="59">
        <f ca="1">AVERAGE(OFFSET($DS$3,0,0,'Données projet'!$E$14+1,1))-AVERAGE(OFFSET($H$3,0,0,'Données projet'!$E$14+1,1))</f>
        <v>402.28353929315114</v>
      </c>
      <c r="DU68" s="59">
        <f t="shared" si="44"/>
        <v>376.94419168335463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27.816004867941061</v>
      </c>
      <c r="EB68" s="21">
        <f>EXP(-LN(2)/25)*EB67+(1-EXP(-LN(2)/25))/(LN(2)/25)*Calculateur!DW68*Calculateur!DY68*VLOOKUP('Données projet'!$B$14,Paramètres!$A$1:$I$89,3,0)*0.475*44/12</f>
        <v>25.068568239828583</v>
      </c>
      <c r="EC68" s="21">
        <f>EXP(-LN(2)/2)*EC67+(1-EXP(-LN(2)/2))/(LN(2)/2)*DW68*DZ68*VLOOKUP('Données projet'!$B$14,Paramètres!$A$1:$I$89,3,0)*0.475*44/12</f>
        <v>0.53030112956832409</v>
      </c>
      <c r="ED68" s="22">
        <f t="shared" ref="ED68:ED131" si="72">SUM(EA68:EC68)</f>
        <v>53.414874237337962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12</v>
      </c>
      <c r="EJ68" s="12">
        <f>IF('Données projet'!$A$192&gt;35,EJ67+EI68-ER67,IF(A68&lt;'Données projet'!$A$192,$EG$205^A68,IF(A68='Données projet'!$A$192,'Données projet'!$B$192,EJ67+EI68-ER67)))</f>
        <v>490</v>
      </c>
      <c r="EK68" s="17">
        <f>EJ68*VLOOKUP('Données projet'!$B$15,Paramètres!$A$1:$I$89,3,0)*VLOOKUP('Données projet'!$B$15,Paramètres!$A$1:$I$89,5,0)</f>
        <v>229.32000000000002</v>
      </c>
      <c r="EL68" s="13">
        <f t="shared" si="45"/>
        <v>56.135624305144624</v>
      </c>
      <c r="EM68" s="20">
        <f t="shared" ref="EM68:EM131" si="73">(EK68+EL68)*0.475*44/12</f>
        <v>497.16854566479356</v>
      </c>
      <c r="EN68" s="59">
        <f t="shared" ref="EN68:EN131" si="74">EM68+(EE68+EF68)*44/12</f>
        <v>790.50187899812681</v>
      </c>
      <c r="EO68" s="59">
        <f ca="1">AVERAGE(OFFSET($EN$3,0,0,'Données projet'!$E$15+1,1))-AVERAGE(OFFSET($H$3,0,0,'Données projet'!$E$15+1,1))</f>
        <v>273.3012268683454</v>
      </c>
      <c r="EP68" s="59">
        <f t="shared" si="46"/>
        <v>254.08208375594052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16.088468364213718</v>
      </c>
      <c r="EW68" s="21">
        <f>EXP(-LN(2)/25)*EW67+(1-EXP(-LN(2)/25))/(LN(2)/25)*Calculateur!ER68*Calculateur!ET68*VLOOKUP('Données projet'!$B$15,Paramètres!$A$1:$I$89,3,0)*0.475*44/12</f>
        <v>15.53453628225822</v>
      </c>
      <c r="EX68" s="21">
        <f>EXP(-LN(2)/2)*EX67+(1-EXP(-LN(2)/2))/(LN(2)/2)*ER68*EU68*VLOOKUP('Données projet'!$B$15,Paramètres!$A$1:$I$89,3,0)*0.475*44/12</f>
        <v>0.86383059258609618</v>
      </c>
      <c r="EY68" s="22">
        <f t="shared" ref="EY68:EY131" si="75">SUM(EV68:EX68)</f>
        <v>32.486835239058031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8.1999999999999993</v>
      </c>
      <c r="N69" s="13">
        <f>IF('Données projet'!$A$36&gt;35,N68+M69-V68,IF(A69&lt;'Données projet'!$A$36,$K$205^A69,IF(A69='Données projet'!$A$36,'Données projet'!$B$36,N68+M69-V68)))</f>
        <v>269.19999999999993</v>
      </c>
      <c r="O69" s="13">
        <f>N69*VLOOKUP('Données projet'!$B$9,Paramètres!$A$1:$I$89,3,0)*VLOOKUP('Données projet'!$B$9,Paramètres!$A$1:$I$89,5,0)</f>
        <v>243.57215999999991</v>
      </c>
      <c r="P69" s="13">
        <f t="shared" ref="P69:P132" si="87">EXP(-1.0587+0.8836*LN(O69)+0.284)</f>
        <v>59.207435995642292</v>
      </c>
      <c r="Q69" s="20">
        <f t="shared" si="54"/>
        <v>527.34112969241005</v>
      </c>
      <c r="R69" s="59">
        <f t="shared" si="55"/>
        <v>820.67446302574331</v>
      </c>
      <c r="S69" s="59">
        <f ca="1">AVERAGE(OFFSET($R$3,0,0,'Données projet'!$E$9+1,1))-AVERAGE(OFFSET($H$3,0,0,'Données projet'!$E$9+1,1))</f>
        <v>453.52760163325451</v>
      </c>
      <c r="T69" s="59">
        <f t="shared" ref="T69:T132" si="88">$T$3</f>
        <v>344.23959526427001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17.565649947454236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17.565649947454236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10</v>
      </c>
      <c r="AI69" s="13">
        <f>IF('Données projet'!$A$62&gt;35,AI68+AH69-AQ68,IF(A69&lt;'Données projet'!$A$62,$AF$205^A69,IF(A69='Données projet'!$A$62,'Données projet'!$B$62,AI68+AH69-AQ68)))</f>
        <v>275.99999999999994</v>
      </c>
      <c r="AJ69" s="13">
        <f>AI69*VLOOKUP('Données projet'!$B$10,Paramètres!$A$1:$I$89,3,0)*VLOOKUP('Données projet'!$B$10,Paramètres!$A$1:$I$89,5,0)</f>
        <v>236.80799999999999</v>
      </c>
      <c r="AK69" s="13">
        <f t="shared" ref="AK69:AK132" si="89">EXP(-1.0587+0.8836*LN(AJ69)+0.284)</f>
        <v>57.752221878398714</v>
      </c>
      <c r="AL69" s="20">
        <f t="shared" si="58"/>
        <v>513.02571977154435</v>
      </c>
      <c r="AM69" s="59">
        <f t="shared" si="59"/>
        <v>806.3590531048776</v>
      </c>
      <c r="AN69" s="59">
        <f ca="1">AVERAGE(OFFSET($AM$3,0,0,'Données projet'!$E$10+1,1))-AVERAGE(OFFSET($H$3,0,0,'Données projet'!$E$10+1,1))</f>
        <v>397.45670821030774</v>
      </c>
      <c r="AO69" s="59">
        <f t="shared" ref="AO69:AO132" si="90">$AO$3</f>
        <v>256.77417912163997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20.530821811078226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20.530821811078226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7.8</v>
      </c>
      <c r="BD69" s="12">
        <f>IF('Données projet'!$A$88&gt;35,BD68+BC69-BL68,IF(A69&lt;'Données projet'!$A$88,$BA$205^A69,IF(A69='Données projet'!$A$88,'Données projet'!$B$88,BD68+BC69-BL68)))</f>
        <v>296.79999999999995</v>
      </c>
      <c r="BE69" s="13">
        <f>BD69*VLOOKUP('Données projet'!$B$11,Paramètres!$A$1:$I$89,3,0)*VLOOKUP('Données projet'!$B$11,Paramètres!$A$1:$I$89,5,0)</f>
        <v>231.50399999999996</v>
      </c>
      <c r="BF69" s="13">
        <f t="shared" ref="BF69:BF132" si="91">EXP(-1.0587+0.8836*LN(BE69)+0.284)</f>
        <v>56.607758031045634</v>
      </c>
      <c r="BG69" s="20">
        <f t="shared" si="61"/>
        <v>501.79464523740444</v>
      </c>
      <c r="BH69" s="59">
        <f t="shared" si="62"/>
        <v>795.1279785707377</v>
      </c>
      <c r="BI69" s="59">
        <f ca="1">AVERAGE(OFFSET($BH$3,0,0,'Données projet'!$E$11+1,1))-AVERAGE(OFFSET($H$3,0,0,'Données projet'!$E$11+1,1))</f>
        <v>293.20194140252903</v>
      </c>
      <c r="BJ69" s="59">
        <f t="shared" ref="BJ69:BJ132" si="92">$BJ$3</f>
        <v>280.69048279989266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25.955861941071557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25.955861941071557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3.8</v>
      </c>
      <c r="BY69" s="12">
        <f>IF('Données projet'!$A$114&gt;35,BY68+BX69-CG68,IF(A69&lt;'Données projet'!$A$114,$BV$205^A69,IF(A69='Données projet'!$A$114,'Données projet'!$B$114,BY68+BX69-CG68)))</f>
        <v>247.79999999999984</v>
      </c>
      <c r="BZ69" s="13">
        <f>BY69*VLOOKUP('Données projet'!$B$12,Paramètres!$A$1:$I$89,3,0)*VLOOKUP('Données projet'!$B$12,Paramètres!$A$1:$I$89,5,0)</f>
        <v>197.14967999999988</v>
      </c>
      <c r="CA69" s="13">
        <f t="shared" ref="CA69:CA132" si="93">EXP(-1.0587+0.8836*LN(BZ69)+0.284)</f>
        <v>49.11723130862363</v>
      </c>
      <c r="CB69" s="20">
        <f t="shared" si="64"/>
        <v>428.91487052918592</v>
      </c>
      <c r="CC69" s="59">
        <f t="shared" si="65"/>
        <v>722.24820386251918</v>
      </c>
      <c r="CD69" s="59">
        <f ca="1">AVERAGE(OFFSET($CC$3,0,0,'Données projet'!$E$12+1,1))-AVERAGE(OFFSET($H$3,0,0,'Données projet'!$E$12+1,1))</f>
        <v>271.25628946149067</v>
      </c>
      <c r="CE69" s="59">
        <f t="shared" ref="CE69:CE132" si="94">$CE$3</f>
        <v>292.57799203101769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28.199089401967356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28.199089401967356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5.6843418860808015E-14</v>
      </c>
      <c r="CU69" s="17">
        <f>CT69*VLOOKUP('Données projet'!$B$13,Paramètres!$A$1:$I$89,3,0)*VLOOKUP('Données projet'!$B$13,Paramètres!$A$1:$I$89,5,0)</f>
        <v>3.1036506698001178E-14</v>
      </c>
      <c r="CV69" s="13">
        <f t="shared" ref="CV69:CV132" si="95">EXP(-1.0587+0.8836*LN(CU69)+0.284)</f>
        <v>5.3428243983771088E-13</v>
      </c>
      <c r="CW69" s="20">
        <f t="shared" si="67"/>
        <v>9.8459716521636505E-13</v>
      </c>
      <c r="CX69" s="59">
        <f t="shared" si="68"/>
        <v>293.33333333333428</v>
      </c>
      <c r="CY69" s="59">
        <f ca="1">AVERAGE(OFFSET($CX$3,0,0,'Données projet'!$E$13+1,1))-AVERAGE(OFFSET($H$3,0,0,'Données projet'!$E$13+1,1))</f>
        <v>210.03861149060413</v>
      </c>
      <c r="CZ69" s="59">
        <f t="shared" ref="CZ69:CZ132" si="96">$CZ$3</f>
        <v>298.74602928001929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80.420911704010692</v>
      </c>
      <c r="DG69" s="21">
        <f>EXP(-LN(2)/25)*DG68+(1-EXP(-LN(2)/25))/(LN(2)/25)*Calculateur!DB69*Calculateur!DD69*VLOOKUP('Données projet'!$B$13,Paramètres!$A$1:$I$89,3,0)*0.475*44/12</f>
        <v>35.909960836075491</v>
      </c>
      <c r="DH69" s="21">
        <f>EXP(-LN(2)/2)*DH68+(1-EXP(-LN(2)/2))/(LN(2)/2)*DB69*DE69*VLOOKUP('Données projet'!$B$13,Paramètres!$A$1:$I$89,3,0)*0.475*44/12</f>
        <v>0.14104314956741781</v>
      </c>
      <c r="DI69" s="22">
        <f t="shared" si="69"/>
        <v>116.4719156896536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>
        <f>VLOOKUP(A69,'Données projet'!$A$165:$I$185,2,0)</f>
        <v>630.36</v>
      </c>
      <c r="DM69" s="12">
        <f>VLOOKUP(A69,'Données projet'!$A$165:$I$185,9,0)</f>
        <v>15.515714285714287</v>
      </c>
      <c r="DN69" s="12">
        <f t="array" ref="DN69">INDEX(DM:DM,MIN(IF(ISNUMBER(DM69:DM265),ROW(DM69:DM265),"")))</f>
        <v>15.515714285714287</v>
      </c>
      <c r="DO69" s="12">
        <f>IF('Données projet'!$A$166&gt;35,DO68+DN69-DW68,IF(A69&lt;'Données projet'!$A$166,$DL$205^A69,IF(A69='Données projet'!$A$166,'Données projet'!$B$166,DO68+DN69-DW68)))</f>
        <v>630.35999999999979</v>
      </c>
      <c r="DP69" s="17">
        <f>DO69*VLOOKUP('Données projet'!$B$14,Paramètres!$A$1:$I$89,3,0)*VLOOKUP('Données projet'!$B$14,Paramètres!$A$1:$I$89,5,0)</f>
        <v>376.95527999999996</v>
      </c>
      <c r="DQ69" s="13">
        <f t="shared" ref="DQ69:DQ132" si="97">EXP(-1.0587+0.8836*LN(DP69)+0.284)</f>
        <v>87.088690303924849</v>
      </c>
      <c r="DR69" s="20">
        <f t="shared" si="70"/>
        <v>808.20991494600241</v>
      </c>
      <c r="DS69" s="59">
        <f t="shared" si="71"/>
        <v>1101.5432482793358</v>
      </c>
      <c r="DT69" s="59">
        <f ca="1">AVERAGE(OFFSET($DS$3,0,0,'Données projet'!$E$14+1,1))-AVERAGE(OFFSET($H$3,0,0,'Données projet'!$E$14+1,1))</f>
        <v>402.28353929315114</v>
      </c>
      <c r="DU69" s="59">
        <f t="shared" ref="DU69:DU132" si="98">$DU$3</f>
        <v>376.94419168335463</v>
      </c>
      <c r="DV69" s="15">
        <f>IF(ISNA(VLOOKUP(A69,'Données projet'!$A$165:$I$185,3,0)),0,VLOOKUP(A69,'Données projet'!$A$165:$I$185,3,0))</f>
        <v>13</v>
      </c>
      <c r="DW69" s="15">
        <f>IF(ISNA(VLOOKUP(A69,'Données projet'!$A$165:$I$185,4,0)),0,VLOOKUP(A69,'Données projet'!$A$165:$I$185,4,0))</f>
        <v>87</v>
      </c>
      <c r="DX69" s="16">
        <f>IF(ISNA(VLOOKUP(A69,'Données projet'!$A$165:$I$185,5,0)),0%,VLOOKUP(A69,'Données projet'!$A$165:$I$185,5,0)*VLOOKUP('Données projet'!$B$14,Paramètres!$A$1:$I$89,7,0))</f>
        <v>0.315</v>
      </c>
      <c r="DY69" s="16">
        <f>IF(ISNA(VLOOKUP(A69,'Données projet'!$A$165:$I$185,6,0)),0%,VLOOKUP(A69,'Données projet'!$A$165:$I$185,6,0)*VLOOKUP('Données projet'!$B$14,Paramètres!$A$1:$I$89,7,0))</f>
        <v>7.6500000000000012E-2</v>
      </c>
      <c r="DZ69" s="16">
        <f>IF(ISNA(VLOOKUP(A69,'Données projet'!$A$165:$I$185,7,0)),0%,VLOOKUP(A69,'Données projet'!$A$165:$I$185,7,0))</f>
        <v>0.13</v>
      </c>
      <c r="EA69" s="21">
        <f>EXP(-LN(2)/35)*EA68+(1-EXP(-LN(2)/35))/(LN(2)/35)*DW69*DX69*VLOOKUP('Données projet'!$B$14,Paramètres!$A$1:$I$89,3,0)*0.475*44/12</f>
        <v>49.01054032155816</v>
      </c>
      <c r="EB69" s="21">
        <f>EXP(-LN(2)/25)*EB68+(1-EXP(-LN(2)/25))/(LN(2)/25)*Calculateur!DW69*Calculateur!DY69*VLOOKUP('Données projet'!$B$14,Paramètres!$A$1:$I$89,3,0)*0.475*44/12</f>
        <v>29.641990625814643</v>
      </c>
      <c r="EC69" s="21">
        <f>EXP(-LN(2)/2)*EC68+(1-EXP(-LN(2)/2))/(LN(2)/2)*DW69*DZ69*VLOOKUP('Données projet'!$B$14,Paramètres!$A$1:$I$89,3,0)*0.475*44/12</f>
        <v>8.0326968012331985</v>
      </c>
      <c r="ED69" s="22">
        <f t="shared" si="72"/>
        <v>86.68522774860601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12</v>
      </c>
      <c r="EJ69" s="12">
        <f>IF('Données projet'!$A$192&gt;35,EJ68+EI69-ER68,IF(A69&lt;'Données projet'!$A$192,$EG$205^A69,IF(A69='Données projet'!$A$192,'Données projet'!$B$192,EJ68+EI69-ER68)))</f>
        <v>502</v>
      </c>
      <c r="EK69" s="17">
        <f>EJ69*VLOOKUP('Données projet'!$B$15,Paramètres!$A$1:$I$89,3,0)*VLOOKUP('Données projet'!$B$15,Paramètres!$A$1:$I$89,5,0)</f>
        <v>234.93600000000001</v>
      </c>
      <c r="EL69" s="13">
        <f t="shared" ref="EL69:EL132" si="99">EXP(-1.0587+0.8836*LN(EK69)+0.284)</f>
        <v>57.34863760662617</v>
      </c>
      <c r="EM69" s="20">
        <f t="shared" si="73"/>
        <v>509.06241049820727</v>
      </c>
      <c r="EN69" s="59">
        <f t="shared" si="74"/>
        <v>802.39574383154059</v>
      </c>
      <c r="EO69" s="59">
        <f ca="1">AVERAGE(OFFSET($EN$3,0,0,'Données projet'!$E$15+1,1))-AVERAGE(OFFSET($H$3,0,0,'Données projet'!$E$15+1,1))</f>
        <v>273.3012268683454</v>
      </c>
      <c r="EP69" s="59">
        <f t="shared" ref="EP69:EP132" si="100">$EP$3</f>
        <v>254.08208375594052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15.772983312588236</v>
      </c>
      <c r="EW69" s="21">
        <f>EXP(-LN(2)/25)*EW68+(1-EXP(-LN(2)/25))/(LN(2)/25)*Calculateur!ER69*Calculateur!ET69*VLOOKUP('Données projet'!$B$15,Paramètres!$A$1:$I$89,3,0)*0.475*44/12</f>
        <v>15.109743570694111</v>
      </c>
      <c r="EX69" s="21">
        <f>EXP(-LN(2)/2)*EX68+(1-EXP(-LN(2)/2))/(LN(2)/2)*ER69*EU69*VLOOKUP('Données projet'!$B$15,Paramètres!$A$1:$I$89,3,0)*0.475*44/12</f>
        <v>0.61082046981402238</v>
      </c>
      <c r="EY69" s="22">
        <f t="shared" si="75"/>
        <v>31.493547353096368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8.1999999999999993</v>
      </c>
      <c r="N70" s="13">
        <f>IF('Données projet'!$A$36&gt;35,N69+M70-V69,IF(A70&lt;'Données projet'!$A$36,$K$205^A70,IF(A70='Données projet'!$A$36,'Données projet'!$B$36,N69+M70-V69)))</f>
        <v>277.39999999999992</v>
      </c>
      <c r="O70" s="13">
        <f>N70*VLOOKUP('Données projet'!$B$9,Paramètres!$A$1:$I$89,3,0)*VLOOKUP('Données projet'!$B$9,Paramètres!$A$1:$I$89,5,0)</f>
        <v>250.99151999999992</v>
      </c>
      <c r="P70" s="13">
        <f t="shared" si="87"/>
        <v>60.798211000769349</v>
      </c>
      <c r="Q70" s="20">
        <f t="shared" si="54"/>
        <v>543.03378149300647</v>
      </c>
      <c r="R70" s="59">
        <f t="shared" si="55"/>
        <v>836.36711482633973</v>
      </c>
      <c r="S70" s="59">
        <f ca="1">AVERAGE(OFFSET($R$3,0,0,'Données projet'!$E$9+1,1))-AVERAGE(OFFSET($H$3,0,0,'Données projet'!$E$9+1,1))</f>
        <v>453.52760163325451</v>
      </c>
      <c r="T70" s="59">
        <f t="shared" si="88"/>
        <v>344.23959526427001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17.221198265973207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17.221198265973207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10</v>
      </c>
      <c r="AI70" s="13">
        <f>IF('Données projet'!$A$62&gt;35,AI69+AH70-AQ69,IF(A70&lt;'Données projet'!$A$62,$AF$205^A70,IF(A70='Données projet'!$A$62,'Données projet'!$B$62,AI69+AH70-AQ69)))</f>
        <v>285.99999999999994</v>
      </c>
      <c r="AJ70" s="13">
        <f>AI70*VLOOKUP('Données projet'!$B$10,Paramètres!$A$1:$I$89,3,0)*VLOOKUP('Données projet'!$B$10,Paramètres!$A$1:$I$89,5,0)</f>
        <v>245.38799999999998</v>
      </c>
      <c r="AK70" s="13">
        <f t="shared" si="89"/>
        <v>59.597282764919569</v>
      </c>
      <c r="AL70" s="20">
        <f t="shared" si="58"/>
        <v>531.18270081556818</v>
      </c>
      <c r="AM70" s="59">
        <f t="shared" si="59"/>
        <v>824.51603414890155</v>
      </c>
      <c r="AN70" s="59">
        <f ca="1">AVERAGE(OFFSET($AM$3,0,0,'Données projet'!$E$10+1,1))-AVERAGE(OFFSET($H$3,0,0,'Données projet'!$E$10+1,1))</f>
        <v>397.45670821030774</v>
      </c>
      <c r="AO70" s="59">
        <f t="shared" si="90"/>
        <v>256.77417912163997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20.128224917927785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20.128224917927785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7.8</v>
      </c>
      <c r="BD70" s="12">
        <f>IF('Données projet'!$A$88&gt;35,BD69+BC70-BL69,IF(A70&lt;'Données projet'!$A$88,$BA$205^A70,IF(A70='Données projet'!$A$88,'Données projet'!$B$88,BD69+BC70-BL69)))</f>
        <v>304.59999999999997</v>
      </c>
      <c r="BE70" s="13">
        <f>BD70*VLOOKUP('Données projet'!$B$11,Paramètres!$A$1:$I$89,3,0)*VLOOKUP('Données projet'!$B$11,Paramètres!$A$1:$I$89,5,0)</f>
        <v>237.58799999999999</v>
      </c>
      <c r="BF70" s="13">
        <f t="shared" si="91"/>
        <v>57.920272249996003</v>
      </c>
      <c r="BG70" s="20">
        <f t="shared" si="61"/>
        <v>514.67690750207646</v>
      </c>
      <c r="BH70" s="59">
        <f t="shared" si="62"/>
        <v>808.01024083540983</v>
      </c>
      <c r="BI70" s="59">
        <f ca="1">AVERAGE(OFFSET($BH$3,0,0,'Données projet'!$E$11+1,1))-AVERAGE(OFFSET($H$3,0,0,'Données projet'!$E$11+1,1))</f>
        <v>293.20194140252903</v>
      </c>
      <c r="BJ70" s="59">
        <f t="shared" si="92"/>
        <v>280.69048279989266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25.446883319919696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25.446883319919696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3.8</v>
      </c>
      <c r="BY70" s="12">
        <f>IF('Données projet'!$A$114&gt;35,BY69+BX70-CG69,IF(A70&lt;'Données projet'!$A$114,$BV$205^A70,IF(A70='Données projet'!$A$114,'Données projet'!$B$114,BY69+BX70-CG69)))</f>
        <v>251.59999999999985</v>
      </c>
      <c r="BZ70" s="13">
        <f>BY70*VLOOKUP('Données projet'!$B$12,Paramètres!$A$1:$I$89,3,0)*VLOOKUP('Données projet'!$B$12,Paramètres!$A$1:$I$89,5,0)</f>
        <v>200.17295999999988</v>
      </c>
      <c r="CA70" s="13">
        <f t="shared" si="93"/>
        <v>49.782177185855986</v>
      </c>
      <c r="CB70" s="20">
        <f t="shared" si="64"/>
        <v>435.33853059869892</v>
      </c>
      <c r="CC70" s="59">
        <f t="shared" si="65"/>
        <v>728.67186393203224</v>
      </c>
      <c r="CD70" s="59">
        <f ca="1">AVERAGE(OFFSET($CC$3,0,0,'Données projet'!$E$12+1,1))-AVERAGE(OFFSET($H$3,0,0,'Données projet'!$E$12+1,1))</f>
        <v>271.25628946149067</v>
      </c>
      <c r="CE70" s="59">
        <f t="shared" si="94"/>
        <v>292.57799203101769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27.646122458540976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27.646122458540976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5.6843418860808015E-14</v>
      </c>
      <c r="CU70" s="17">
        <f>CT70*VLOOKUP('Données projet'!$B$13,Paramètres!$A$1:$I$89,3,0)*VLOOKUP('Données projet'!$B$13,Paramètres!$A$1:$I$89,5,0)</f>
        <v>3.1036506698001178E-14</v>
      </c>
      <c r="CV70" s="13">
        <f t="shared" si="95"/>
        <v>5.3428243983771088E-13</v>
      </c>
      <c r="CW70" s="20">
        <f t="shared" si="67"/>
        <v>9.8459716521636505E-13</v>
      </c>
      <c r="CX70" s="59">
        <f t="shared" si="68"/>
        <v>293.33333333333428</v>
      </c>
      <c r="CY70" s="59">
        <f ca="1">AVERAGE(OFFSET($CX$3,0,0,'Données projet'!$E$13+1,1))-AVERAGE(OFFSET($H$3,0,0,'Données projet'!$E$13+1,1))</f>
        <v>210.03861149060413</v>
      </c>
      <c r="CZ70" s="59">
        <f t="shared" si="96"/>
        <v>298.74602928001929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78.843906677407702</v>
      </c>
      <c r="DG70" s="21">
        <f>EXP(-LN(2)/25)*DG69+(1-EXP(-LN(2)/25))/(LN(2)/25)*Calculateur!DB70*Calculateur!DD70*VLOOKUP('Données projet'!$B$13,Paramètres!$A$1:$I$89,3,0)*0.475*44/12</f>
        <v>34.928001068590241</v>
      </c>
      <c r="DH70" s="21">
        <f>EXP(-LN(2)/2)*DH69+(1-EXP(-LN(2)/2))/(LN(2)/2)*DB70*DE70*VLOOKUP('Données projet'!$B$13,Paramètres!$A$1:$I$89,3,0)*0.475*44/12</f>
        <v>9.9732567499029603E-2</v>
      </c>
      <c r="DI70" s="22">
        <f t="shared" si="69"/>
        <v>113.87164031349697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6.2750000000000057</v>
      </c>
      <c r="DO70" s="12">
        <f>IF('Données projet'!$A$166&gt;35,DO69+DN70-DW69,IF(A70&lt;'Données projet'!$A$166,$DL$205^A70,IF(A70='Données projet'!$A$166,'Données projet'!$B$166,DO69+DN70-DW69)))</f>
        <v>549.63499999999976</v>
      </c>
      <c r="DP70" s="17">
        <f>DO70*VLOOKUP('Données projet'!$B$14,Paramètres!$A$1:$I$89,3,0)*VLOOKUP('Données projet'!$B$14,Paramètres!$A$1:$I$89,5,0)</f>
        <v>328.6817299999999</v>
      </c>
      <c r="DQ70" s="13">
        <f t="shared" si="97"/>
        <v>77.156932529217016</v>
      </c>
      <c r="DR70" s="20">
        <f t="shared" si="70"/>
        <v>706.83567057171933</v>
      </c>
      <c r="DS70" s="59">
        <f t="shared" si="71"/>
        <v>1000.1690039050527</v>
      </c>
      <c r="DT70" s="59">
        <f ca="1">AVERAGE(OFFSET($DS$3,0,0,'Données projet'!$E$14+1,1))-AVERAGE(OFFSET($H$3,0,0,'Données projet'!$E$14+1,1))</f>
        <v>402.28353929315114</v>
      </c>
      <c r="DU70" s="59">
        <f t="shared" si="98"/>
        <v>376.94419168335463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48.049473519330263</v>
      </c>
      <c r="EB70" s="21">
        <f>EXP(-LN(2)/25)*EB69+(1-EXP(-LN(2)/25))/(LN(2)/25)*Calculateur!DW70*Calculateur!DY70*VLOOKUP('Données projet'!$B$14,Paramètres!$A$1:$I$89,3,0)*0.475*44/12</f>
        <v>28.831428833347204</v>
      </c>
      <c r="EC70" s="21">
        <f>EXP(-LN(2)/2)*EC69+(1-EXP(-LN(2)/2))/(LN(2)/2)*DW70*DZ70*VLOOKUP('Données projet'!$B$14,Paramètres!$A$1:$I$89,3,0)*0.475*44/12</f>
        <v>5.6799743793674837</v>
      </c>
      <c r="ED70" s="22">
        <f t="shared" si="72"/>
        <v>82.560876732044946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12</v>
      </c>
      <c r="EJ70" s="12">
        <f>IF('Données projet'!$A$192&gt;35,EJ69+EI70-ER69,IF(A70&lt;'Données projet'!$A$192,$EG$205^A70,IF(A70='Données projet'!$A$192,'Données projet'!$B$192,EJ69+EI70-ER69)))</f>
        <v>514</v>
      </c>
      <c r="EK70" s="17">
        <f>EJ70*VLOOKUP('Données projet'!$B$15,Paramètres!$A$1:$I$89,3,0)*VLOOKUP('Données projet'!$B$15,Paramètres!$A$1:$I$89,5,0)</f>
        <v>240.55199999999999</v>
      </c>
      <c r="EL70" s="13">
        <f t="shared" si="99"/>
        <v>58.55828008686521</v>
      </c>
      <c r="EM70" s="20">
        <f t="shared" si="73"/>
        <v>520.9504044846235</v>
      </c>
      <c r="EN70" s="59">
        <f t="shared" si="74"/>
        <v>814.28373781795676</v>
      </c>
      <c r="EO70" s="59">
        <f ca="1">AVERAGE(OFFSET($EN$3,0,0,'Données projet'!$E$15+1,1))-AVERAGE(OFFSET($H$3,0,0,'Données projet'!$E$15+1,1))</f>
        <v>273.3012268683454</v>
      </c>
      <c r="EP70" s="59">
        <f t="shared" si="100"/>
        <v>254.08208375594052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15.463684730398249</v>
      </c>
      <c r="EW70" s="21">
        <f>EXP(-LN(2)/25)*EW69+(1-EXP(-LN(2)/25))/(LN(2)/25)*Calculateur!ER70*Calculateur!ET70*VLOOKUP('Données projet'!$B$15,Paramètres!$A$1:$I$89,3,0)*0.475*44/12</f>
        <v>14.6965668381666</v>
      </c>
      <c r="EX70" s="21">
        <f>EXP(-LN(2)/2)*EX69+(1-EXP(-LN(2)/2))/(LN(2)/2)*ER70*EU70*VLOOKUP('Données projet'!$B$15,Paramètres!$A$1:$I$89,3,0)*0.475*44/12</f>
        <v>0.43191529629304809</v>
      </c>
      <c r="EY70" s="22">
        <f t="shared" si="75"/>
        <v>30.592166864857898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8.1999999999999993</v>
      </c>
      <c r="N71" s="13">
        <f>IF('Données projet'!$A$36&gt;35,N70+M71-V70,IF(A71&lt;'Données projet'!$A$36,$K$205^A71,IF(A71='Données projet'!$A$36,'Données projet'!$B$36,N70+M71-V70)))</f>
        <v>285.59999999999991</v>
      </c>
      <c r="O71" s="13">
        <f>N71*VLOOKUP('Données projet'!$B$9,Paramètres!$A$1:$I$89,3,0)*VLOOKUP('Données projet'!$B$9,Paramètres!$A$1:$I$89,5,0)</f>
        <v>258.41087999999991</v>
      </c>
      <c r="P71" s="13">
        <f t="shared" si="87"/>
        <v>62.383521020316756</v>
      </c>
      <c r="Q71" s="20">
        <f t="shared" si="54"/>
        <v>558.71691511038478</v>
      </c>
      <c r="R71" s="59">
        <f t="shared" si="55"/>
        <v>852.05024844371815</v>
      </c>
      <c r="S71" s="59">
        <f ca="1">AVERAGE(OFFSET($R$3,0,0,'Données projet'!$E$9+1,1))-AVERAGE(OFFSET($H$3,0,0,'Données projet'!$E$9+1,1))</f>
        <v>453.52760163325451</v>
      </c>
      <c r="T71" s="59">
        <f t="shared" si="88"/>
        <v>344.23959526427001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16.88350107187124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16.88350107187124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10</v>
      </c>
      <c r="AI71" s="13">
        <f>IF('Données projet'!$A$62&gt;35,AI70+AH71-AQ70,IF(A71&lt;'Données projet'!$A$62,$AF$205^A71,IF(A71='Données projet'!$A$62,'Données projet'!$B$62,AI70+AH71-AQ70)))</f>
        <v>295.99999999999994</v>
      </c>
      <c r="AJ71" s="13">
        <f>AI71*VLOOKUP('Données projet'!$B$10,Paramètres!$A$1:$I$89,3,0)*VLOOKUP('Données projet'!$B$10,Paramètres!$A$1:$I$89,5,0)</f>
        <v>253.96799999999999</v>
      </c>
      <c r="AK71" s="13">
        <f t="shared" si="89"/>
        <v>61.434848029666512</v>
      </c>
      <c r="AL71" s="20">
        <f t="shared" si="58"/>
        <v>549.32662698500246</v>
      </c>
      <c r="AM71" s="59">
        <f t="shared" si="59"/>
        <v>842.65996031833583</v>
      </c>
      <c r="AN71" s="59">
        <f ca="1">AVERAGE(OFFSET($AM$3,0,0,'Données projet'!$E$10+1,1))-AVERAGE(OFFSET($H$3,0,0,'Données projet'!$E$10+1,1))</f>
        <v>397.45670821030774</v>
      </c>
      <c r="AO71" s="59">
        <f t="shared" si="90"/>
        <v>256.77417912163997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19.733522704292167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19.733522704292167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7.8</v>
      </c>
      <c r="BD71" s="12">
        <f>IF('Données projet'!$A$88&gt;35,BD70+BC71-BL70,IF(A71&lt;'Données projet'!$A$88,$BA$205^A71,IF(A71='Données projet'!$A$88,'Données projet'!$B$88,BD70+BC71-BL70)))</f>
        <v>312.39999999999998</v>
      </c>
      <c r="BE71" s="13">
        <f>BD71*VLOOKUP('Données projet'!$B$11,Paramètres!$A$1:$I$89,3,0)*VLOOKUP('Données projet'!$B$11,Paramètres!$A$1:$I$89,5,0)</f>
        <v>243.672</v>
      </c>
      <c r="BF71" s="13">
        <f t="shared" si="91"/>
        <v>59.228879636606152</v>
      </c>
      <c r="BG71" s="20">
        <f t="shared" si="61"/>
        <v>527.55236536708901</v>
      </c>
      <c r="BH71" s="59">
        <f t="shared" si="62"/>
        <v>820.88569870042238</v>
      </c>
      <c r="BI71" s="59">
        <f ca="1">AVERAGE(OFFSET($BH$3,0,0,'Données projet'!$E$11+1,1))-AVERAGE(OFFSET($H$3,0,0,'Données projet'!$E$11+1,1))</f>
        <v>293.20194140252903</v>
      </c>
      <c r="BJ71" s="59">
        <f t="shared" si="92"/>
        <v>280.69048279989266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24.947885459082318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24.947885459082318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3.8</v>
      </c>
      <c r="BY71" s="12">
        <f>IF('Données projet'!$A$114&gt;35,BY70+BX71-CG70,IF(A71&lt;'Données projet'!$A$114,$BV$205^A71,IF(A71='Données projet'!$A$114,'Données projet'!$B$114,BY70+BX71-CG70)))</f>
        <v>255.39999999999986</v>
      </c>
      <c r="BZ71" s="13">
        <f>BY71*VLOOKUP('Données projet'!$B$12,Paramètres!$A$1:$I$89,3,0)*VLOOKUP('Données projet'!$B$12,Paramètres!$A$1:$I$89,5,0)</f>
        <v>203.1962399999999</v>
      </c>
      <c r="CA71" s="13">
        <f t="shared" si="93"/>
        <v>50.445955049216174</v>
      </c>
      <c r="CB71" s="20">
        <f t="shared" si="64"/>
        <v>441.76015637738465</v>
      </c>
      <c r="CC71" s="59">
        <f t="shared" si="65"/>
        <v>735.0934897107179</v>
      </c>
      <c r="CD71" s="59">
        <f ca="1">AVERAGE(OFFSET($CC$3,0,0,'Données projet'!$E$12+1,1))-AVERAGE(OFFSET($H$3,0,0,'Données projet'!$E$12+1,1))</f>
        <v>271.25628946149067</v>
      </c>
      <c r="CE71" s="59">
        <f t="shared" si="94"/>
        <v>292.57799203101769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27.103998859598658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27.103998859598658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5.6843418860808015E-14</v>
      </c>
      <c r="CU71" s="17">
        <f>CT71*VLOOKUP('Données projet'!$B$13,Paramètres!$A$1:$I$89,3,0)*VLOOKUP('Données projet'!$B$13,Paramètres!$A$1:$I$89,5,0)</f>
        <v>3.1036506698001178E-14</v>
      </c>
      <c r="CV71" s="13">
        <f t="shared" si="95"/>
        <v>5.3428243983771088E-13</v>
      </c>
      <c r="CW71" s="20">
        <f t="shared" si="67"/>
        <v>9.8459716521636505E-13</v>
      </c>
      <c r="CX71" s="59">
        <f t="shared" si="68"/>
        <v>293.33333333333428</v>
      </c>
      <c r="CY71" s="59">
        <f ca="1">AVERAGE(OFFSET($CX$3,0,0,'Données projet'!$E$13+1,1))-AVERAGE(OFFSET($H$3,0,0,'Données projet'!$E$13+1,1))</f>
        <v>210.03861149060413</v>
      </c>
      <c r="CZ71" s="59">
        <f t="shared" si="96"/>
        <v>298.74602928001929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77.297825757498316</v>
      </c>
      <c r="DG71" s="21">
        <f>EXP(-LN(2)/25)*DG70+(1-EXP(-LN(2)/25))/(LN(2)/25)*Calculateur!DB71*Calculateur!DD71*VLOOKUP('Données projet'!$B$13,Paramètres!$A$1:$I$89,3,0)*0.475*44/12</f>
        <v>33.972893042585895</v>
      </c>
      <c r="DH71" s="21">
        <f>EXP(-LN(2)/2)*DH70+(1-EXP(-LN(2)/2))/(LN(2)/2)*DB71*DE71*VLOOKUP('Données projet'!$B$13,Paramètres!$A$1:$I$89,3,0)*0.475*44/12</f>
        <v>7.0521574783708907E-2</v>
      </c>
      <c r="DI71" s="22">
        <f t="shared" si="69"/>
        <v>111.34124037486792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6.2750000000000057</v>
      </c>
      <c r="DO71" s="12">
        <f>IF('Données projet'!$A$166&gt;35,DO70+DN71-DW70,IF(A71&lt;'Données projet'!$A$166,$DL$205^A71,IF(A71='Données projet'!$A$166,'Données projet'!$B$166,DO70+DN71-DW70)))</f>
        <v>555.90999999999974</v>
      </c>
      <c r="DP71" s="17">
        <f>DO71*VLOOKUP('Données projet'!$B$14,Paramètres!$A$1:$I$89,3,0)*VLOOKUP('Données projet'!$B$14,Paramètres!$A$1:$I$89,5,0)</f>
        <v>332.43417999999986</v>
      </c>
      <c r="DQ71" s="13">
        <f t="shared" si="97"/>
        <v>77.934758728161157</v>
      </c>
      <c r="DR71" s="20">
        <f t="shared" si="70"/>
        <v>714.72590161821381</v>
      </c>
      <c r="DS71" s="59">
        <f t="shared" si="71"/>
        <v>1008.0592349515471</v>
      </c>
      <c r="DT71" s="59">
        <f ca="1">AVERAGE(OFFSET($DS$3,0,0,'Données projet'!$E$14+1,1))-AVERAGE(OFFSET($H$3,0,0,'Données projet'!$E$14+1,1))</f>
        <v>402.28353929315114</v>
      </c>
      <c r="DU71" s="59">
        <f t="shared" si="98"/>
        <v>376.94419168335463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47.107252650901188</v>
      </c>
      <c r="EB71" s="21">
        <f>EXP(-LN(2)/25)*EB70+(1-EXP(-LN(2)/25))/(LN(2)/25)*Calculateur!DW71*Calculateur!DY71*VLOOKUP('Données projet'!$B$14,Paramètres!$A$1:$I$89,3,0)*0.475*44/12</f>
        <v>28.043031895720375</v>
      </c>
      <c r="EC71" s="21">
        <f>EXP(-LN(2)/2)*EC70+(1-EXP(-LN(2)/2))/(LN(2)/2)*DW71*DZ71*VLOOKUP('Données projet'!$B$14,Paramètres!$A$1:$I$89,3,0)*0.475*44/12</f>
        <v>4.0163484006165993</v>
      </c>
      <c r="ED71" s="22">
        <f t="shared" si="72"/>
        <v>79.166632947238156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12</v>
      </c>
      <c r="EJ71" s="12">
        <f>IF('Données projet'!$A$192&gt;35,EJ70+EI71-ER70,IF(A71&lt;'Données projet'!$A$192,$EG$205^A71,IF(A71='Données projet'!$A$192,'Données projet'!$B$192,EJ70+EI71-ER70)))</f>
        <v>526</v>
      </c>
      <c r="EK71" s="17">
        <f>EJ71*VLOOKUP('Données projet'!$B$15,Paramètres!$A$1:$I$89,3,0)*VLOOKUP('Données projet'!$B$15,Paramètres!$A$1:$I$89,5,0)</f>
        <v>246.16799999999998</v>
      </c>
      <c r="EL71" s="13">
        <f t="shared" si="99"/>
        <v>59.764639499163827</v>
      </c>
      <c r="EM71" s="20">
        <f t="shared" si="73"/>
        <v>532.83268046104365</v>
      </c>
      <c r="EN71" s="59">
        <f t="shared" si="74"/>
        <v>826.16601379437702</v>
      </c>
      <c r="EO71" s="59">
        <f ca="1">AVERAGE(OFFSET($EN$3,0,0,'Données projet'!$E$15+1,1))-AVERAGE(OFFSET($H$3,0,0,'Données projet'!$E$15+1,1))</f>
        <v>273.3012268683454</v>
      </c>
      <c r="EP71" s="59">
        <f t="shared" si="100"/>
        <v>254.08208375594052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15.160451304751501</v>
      </c>
      <c r="EW71" s="21">
        <f>EXP(-LN(2)/25)*EW70+(1-EXP(-LN(2)/25))/(LN(2)/25)*Calculateur!ER71*Calculateur!ET71*VLOOKUP('Données projet'!$B$15,Paramètres!$A$1:$I$89,3,0)*0.475*44/12</f>
        <v>14.294688445118073</v>
      </c>
      <c r="EX71" s="21">
        <f>EXP(-LN(2)/2)*EX70+(1-EXP(-LN(2)/2))/(LN(2)/2)*ER71*EU71*VLOOKUP('Données projet'!$B$15,Paramètres!$A$1:$I$89,3,0)*0.475*44/12</f>
        <v>0.30541023490701119</v>
      </c>
      <c r="EY71" s="22">
        <f t="shared" si="75"/>
        <v>29.760549984776585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8.1999999999999993</v>
      </c>
      <c r="N72" s="13">
        <f>IF('Données projet'!$A$36&gt;35,N71+M72-V71,IF(A72&lt;'Données projet'!$A$36,$K$205^A72,IF(A72='Données projet'!$A$36,'Données projet'!$B$36,N71+M72-V71)))</f>
        <v>293.7999999999999</v>
      </c>
      <c r="O72" s="13">
        <f>N72*VLOOKUP('Données projet'!$B$9,Paramètres!$A$1:$I$89,3,0)*VLOOKUP('Données projet'!$B$9,Paramètres!$A$1:$I$89,5,0)</f>
        <v>265.83023999999989</v>
      </c>
      <c r="P72" s="13">
        <f t="shared" si="87"/>
        <v>63.963540982526439</v>
      </c>
      <c r="Q72" s="20">
        <f t="shared" si="54"/>
        <v>574.39083521123325</v>
      </c>
      <c r="R72" s="59">
        <f t="shared" si="55"/>
        <v>867.72416854456651</v>
      </c>
      <c r="S72" s="59">
        <f ca="1">AVERAGE(OFFSET($R$3,0,0,'Données projet'!$E$9+1,1))-AVERAGE(OFFSET($H$3,0,0,'Données projet'!$E$9+1,1))</f>
        <v>453.52760163325451</v>
      </c>
      <c r="T72" s="59">
        <f t="shared" si="88"/>
        <v>344.23959526427001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16.552425913770666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16.552425913770666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10</v>
      </c>
      <c r="AI72" s="13">
        <f>IF('Données projet'!$A$62&gt;35,AI71+AH72-AQ71,IF(A72&lt;'Données projet'!$A$62,$AF$205^A72,IF(A72='Données projet'!$A$62,'Données projet'!$B$62,AI71+AH72-AQ71)))</f>
        <v>305.99999999999994</v>
      </c>
      <c r="AJ72" s="13">
        <f>AI72*VLOOKUP('Données projet'!$B$10,Paramètres!$A$1:$I$89,3,0)*VLOOKUP('Données projet'!$B$10,Paramètres!$A$1:$I$89,5,0)</f>
        <v>262.548</v>
      </c>
      <c r="AK72" s="13">
        <f t="shared" si="89"/>
        <v>63.265199933079444</v>
      </c>
      <c r="AL72" s="20">
        <f t="shared" si="58"/>
        <v>567.45798988344666</v>
      </c>
      <c r="AM72" s="59">
        <f t="shared" si="59"/>
        <v>860.79132321678003</v>
      </c>
      <c r="AN72" s="59">
        <f ca="1">AVERAGE(OFFSET($AM$3,0,0,'Données projet'!$E$10+1,1))-AVERAGE(OFFSET($H$3,0,0,'Données projet'!$E$10+1,1))</f>
        <v>397.45670821030774</v>
      </c>
      <c r="AO72" s="59">
        <f t="shared" si="90"/>
        <v>256.77417912163997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19.346560360321366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19.346560360321366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7.8</v>
      </c>
      <c r="BD72" s="12">
        <f>IF('Données projet'!$A$88&gt;35,BD71+BC72-BL71,IF(A72&lt;'Données projet'!$A$88,$BA$205^A72,IF(A72='Données projet'!$A$88,'Données projet'!$B$88,BD71+BC72-BL71)))</f>
        <v>320.2</v>
      </c>
      <c r="BE72" s="13">
        <f>BD72*VLOOKUP('Données projet'!$B$11,Paramètres!$A$1:$I$89,3,0)*VLOOKUP('Données projet'!$B$11,Paramètres!$A$1:$I$89,5,0)</f>
        <v>249.756</v>
      </c>
      <c r="BF72" s="13">
        <f t="shared" si="91"/>
        <v>60.533688955718922</v>
      </c>
      <c r="BG72" s="20">
        <f t="shared" si="61"/>
        <v>540.42120826454379</v>
      </c>
      <c r="BH72" s="59">
        <f t="shared" si="62"/>
        <v>833.75454159787705</v>
      </c>
      <c r="BI72" s="59">
        <f ca="1">AVERAGE(OFFSET($BH$3,0,0,'Données projet'!$E$11+1,1))-AVERAGE(OFFSET($H$3,0,0,'Données projet'!$E$11+1,1))</f>
        <v>293.20194140252903</v>
      </c>
      <c r="BJ72" s="59">
        <f t="shared" si="92"/>
        <v>280.69048279989266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24.458672641937319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24.458672641937319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3.8</v>
      </c>
      <c r="BY72" s="12">
        <f>IF('Données projet'!$A$114&gt;35,BY71+BX72-CG71,IF(A72&lt;'Données projet'!$A$114,$BV$205^A72,IF(A72='Données projet'!$A$114,'Données projet'!$B$114,BY71+BX72-CG71)))</f>
        <v>259.19999999999987</v>
      </c>
      <c r="BZ72" s="13">
        <f>BY72*VLOOKUP('Données projet'!$B$12,Paramètres!$A$1:$I$89,3,0)*VLOOKUP('Données projet'!$B$12,Paramètres!$A$1:$I$89,5,0)</f>
        <v>206.21951999999993</v>
      </c>
      <c r="CA72" s="13">
        <f t="shared" si="93"/>
        <v>51.10858428464028</v>
      </c>
      <c r="CB72" s="20">
        <f t="shared" si="64"/>
        <v>448.17978162908167</v>
      </c>
      <c r="CC72" s="59">
        <f t="shared" si="65"/>
        <v>741.51311496241499</v>
      </c>
      <c r="CD72" s="59">
        <f ca="1">AVERAGE(OFFSET($CC$3,0,0,'Données projet'!$E$12+1,1))-AVERAGE(OFFSET($H$3,0,0,'Données projet'!$E$12+1,1))</f>
        <v>271.25628946149067</v>
      </c>
      <c r="CE72" s="59">
        <f t="shared" si="94"/>
        <v>292.57799203101769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26.572505973768852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26.572505973768852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5.6843418860808015E-14</v>
      </c>
      <c r="CU72" s="17">
        <f>CT72*VLOOKUP('Données projet'!$B$13,Paramètres!$A$1:$I$89,3,0)*VLOOKUP('Données projet'!$B$13,Paramètres!$A$1:$I$89,5,0)</f>
        <v>3.1036506698001178E-14</v>
      </c>
      <c r="CV72" s="13">
        <f t="shared" si="95"/>
        <v>5.3428243983771088E-13</v>
      </c>
      <c r="CW72" s="20">
        <f t="shared" si="67"/>
        <v>9.8459716521636505E-13</v>
      </c>
      <c r="CX72" s="59">
        <f t="shared" si="68"/>
        <v>293.33333333333428</v>
      </c>
      <c r="CY72" s="59">
        <f ca="1">AVERAGE(OFFSET($CX$3,0,0,'Données projet'!$E$13+1,1))-AVERAGE(OFFSET($H$3,0,0,'Données projet'!$E$13+1,1))</f>
        <v>210.03861149060413</v>
      </c>
      <c r="CZ72" s="59">
        <f t="shared" si="96"/>
        <v>298.74602928001929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75.782062541412103</v>
      </c>
      <c r="DG72" s="21">
        <f>EXP(-LN(2)/25)*DG71+(1-EXP(-LN(2)/25))/(LN(2)/25)*Calculateur!DB72*Calculateur!DD72*VLOOKUP('Données projet'!$B$13,Paramètres!$A$1:$I$89,3,0)*0.475*44/12</f>
        <v>33.043902495779584</v>
      </c>
      <c r="DH72" s="21">
        <f>EXP(-LN(2)/2)*DH71+(1-EXP(-LN(2)/2))/(LN(2)/2)*DB72*DE72*VLOOKUP('Données projet'!$B$13,Paramètres!$A$1:$I$89,3,0)*0.475*44/12</f>
        <v>4.9866283749514802E-2</v>
      </c>
      <c r="DI72" s="22">
        <f t="shared" si="69"/>
        <v>108.87583132094119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6.2750000000000057</v>
      </c>
      <c r="DO72" s="12">
        <f>IF('Données projet'!$A$166&gt;35,DO71+DN72-DW71,IF(A72&lt;'Données projet'!$A$166,$DL$205^A72,IF(A72='Données projet'!$A$166,'Données projet'!$B$166,DO71+DN72-DW71)))</f>
        <v>562.18499999999972</v>
      </c>
      <c r="DP72" s="17">
        <f>DO72*VLOOKUP('Données projet'!$B$14,Paramètres!$A$1:$I$89,3,0)*VLOOKUP('Données projet'!$B$14,Paramètres!$A$1:$I$89,5,0)</f>
        <v>336.18662999999987</v>
      </c>
      <c r="DQ72" s="13">
        <f t="shared" si="97"/>
        <v>78.711563589633471</v>
      </c>
      <c r="DR72" s="20">
        <f t="shared" si="70"/>
        <v>722.61435383527805</v>
      </c>
      <c r="DS72" s="59">
        <f t="shared" si="71"/>
        <v>1015.9476871686113</v>
      </c>
      <c r="DT72" s="59">
        <f ca="1">AVERAGE(OFFSET($DS$3,0,0,'Données projet'!$E$14+1,1))-AVERAGE(OFFSET($H$3,0,0,'Données projet'!$E$14+1,1))</f>
        <v>402.28353929315114</v>
      </c>
      <c r="DU72" s="59">
        <f t="shared" si="98"/>
        <v>376.94419168335463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46.183508159004028</v>
      </c>
      <c r="EB72" s="21">
        <f>EXP(-LN(2)/25)*EB71+(1-EXP(-LN(2)/25))/(LN(2)/25)*Calculateur!DW72*Calculateur!DY72*VLOOKUP('Données projet'!$B$14,Paramètres!$A$1:$I$89,3,0)*0.475*44/12</f>
        <v>27.276193713812948</v>
      </c>
      <c r="EC72" s="21">
        <f>EXP(-LN(2)/2)*EC71+(1-EXP(-LN(2)/2))/(LN(2)/2)*DW72*DZ72*VLOOKUP('Données projet'!$B$14,Paramètres!$A$1:$I$89,3,0)*0.475*44/12</f>
        <v>2.8399871896837419</v>
      </c>
      <c r="ED72" s="22">
        <f t="shared" si="72"/>
        <v>76.299689062500718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12</v>
      </c>
      <c r="EJ72" s="12">
        <f>IF('Données projet'!$A$192&gt;35,EJ71+EI72-ER71,IF(A72&lt;'Données projet'!$A$192,$EG$205^A72,IF(A72='Données projet'!$A$192,'Données projet'!$B$192,EJ71+EI72-ER71)))</f>
        <v>538</v>
      </c>
      <c r="EK72" s="17">
        <f>EJ72*VLOOKUP('Données projet'!$B$15,Paramètres!$A$1:$I$89,3,0)*VLOOKUP('Données projet'!$B$15,Paramètres!$A$1:$I$89,5,0)</f>
        <v>251.78400000000002</v>
      </c>
      <c r="EL72" s="13">
        <f t="shared" si="99"/>
        <v>60.967799364357568</v>
      </c>
      <c r="EM72" s="20">
        <f t="shared" si="73"/>
        <v>544.7093838929228</v>
      </c>
      <c r="EN72" s="59">
        <f t="shared" si="74"/>
        <v>838.04271722625617</v>
      </c>
      <c r="EO72" s="59">
        <f ca="1">AVERAGE(OFFSET($EN$3,0,0,'Données projet'!$E$15+1,1))-AVERAGE(OFFSET($H$3,0,0,'Données projet'!$E$15+1,1))</f>
        <v>273.3012268683454</v>
      </c>
      <c r="EP72" s="59">
        <f t="shared" si="100"/>
        <v>254.08208375594052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14.863164101627557</v>
      </c>
      <c r="EW72" s="21">
        <f>EXP(-LN(2)/25)*EW71+(1-EXP(-LN(2)/25))/(LN(2)/25)*Calculateur!ER72*Calculateur!ET72*VLOOKUP('Données projet'!$B$15,Paramètres!$A$1:$I$89,3,0)*0.475*44/12</f>
        <v>13.903799437861325</v>
      </c>
      <c r="EX72" s="21">
        <f>EXP(-LN(2)/2)*EX71+(1-EXP(-LN(2)/2))/(LN(2)/2)*ER72*EU72*VLOOKUP('Données projet'!$B$15,Paramètres!$A$1:$I$89,3,0)*0.475*44/12</f>
        <v>0.21595764814652404</v>
      </c>
      <c r="EY72" s="22">
        <f t="shared" si="75"/>
        <v>28.982921187635409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302</v>
      </c>
      <c r="L73" s="12">
        <f>VLOOKUP(A73,'Données projet'!$A$35:$I$55,9,0)</f>
        <v>8.1999999999999993</v>
      </c>
      <c r="M73" s="12">
        <f t="array" ref="M73">INDEX(L:L,MIN(IF(ISNUMBER(L73:L269),ROW(L73:L269),"")))</f>
        <v>8.1999999999999993</v>
      </c>
      <c r="N73" s="13">
        <f>IF('Données projet'!$A$36&gt;35,N72+M73-V72,IF(A73&lt;'Données projet'!$A$36,$K$205^A73,IF(A73='Données projet'!$A$36,'Données projet'!$B$36,N72+M73-V72)))</f>
        <v>301.99999999999989</v>
      </c>
      <c r="O73" s="13">
        <f>N73*VLOOKUP('Données projet'!$B$9,Paramètres!$A$1:$I$89,3,0)*VLOOKUP('Données projet'!$B$9,Paramètres!$A$1:$I$89,5,0)</f>
        <v>273.24959999999987</v>
      </c>
      <c r="P73" s="13">
        <f t="shared" si="87"/>
        <v>65.538435495514321</v>
      </c>
      <c r="Q73" s="20">
        <f t="shared" si="54"/>
        <v>590.05582848802044</v>
      </c>
      <c r="R73" s="59">
        <f t="shared" si="55"/>
        <v>883.38916182135381</v>
      </c>
      <c r="S73" s="59">
        <f ca="1">AVERAGE(OFFSET($R$3,0,0,'Données projet'!$E$9+1,1))-AVERAGE(OFFSET($H$3,0,0,'Données projet'!$E$9+1,1))</f>
        <v>453.52760163325451</v>
      </c>
      <c r="T73" s="59">
        <f t="shared" si="88"/>
        <v>344.23959526427001</v>
      </c>
      <c r="U73" s="15">
        <f>IF(ISNA(VLOOKUP(A73,'Données projet'!$A$35:$I$55,3,0)),0,VLOOKUP(A73,'Données projet'!$A$35:$I$55,3,0))</f>
        <v>11</v>
      </c>
      <c r="V73" s="15">
        <f>IF(ISNA(VLOOKUP(A73,'Données projet'!$A$35:$I$55,4,0)),0,VLOOKUP(A73,'Données projet'!$A$35:$I$55,4,0))</f>
        <v>28</v>
      </c>
      <c r="W73" s="16">
        <f>IF(ISNA(VLOOKUP(A73,'Données projet'!$A$35:$I$55,5,0)),0%,VLOOKUP(A73,'Données projet'!$A$35:$I$55,5,0)*VLOOKUP('Données projet'!$B$9,Paramètres!$A$1:$I$89,7,0))</f>
        <v>0.215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22.249225125981042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22.249225125981042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316</v>
      </c>
      <c r="AG73" s="12">
        <f>VLOOKUP(A73,'Données projet'!$A$61:$I$81,9,0)</f>
        <v>10</v>
      </c>
      <c r="AH73" s="12">
        <f t="array" ref="AH73">INDEX(AG:AG,MIN(IF(ISNUMBER(AG73:AG269),ROW(AG73:AG269),"")))</f>
        <v>10</v>
      </c>
      <c r="AI73" s="13">
        <f>IF('Données projet'!$A$62&gt;35,AI72+AH73-AQ72,IF(A73&lt;'Données projet'!$A$62,$AF$205^A73,IF(A73='Données projet'!$A$62,'Données projet'!$B$62,AI72+AH73-AQ72)))</f>
        <v>315.99999999999994</v>
      </c>
      <c r="AJ73" s="13">
        <f>AI73*VLOOKUP('Données projet'!$B$10,Paramètres!$A$1:$I$89,3,0)*VLOOKUP('Données projet'!$B$10,Paramètres!$A$1:$I$89,5,0)</f>
        <v>271.12799999999999</v>
      </c>
      <c r="AK73" s="13">
        <f t="shared" si="89"/>
        <v>65.088601240045278</v>
      </c>
      <c r="AL73" s="20">
        <f t="shared" si="58"/>
        <v>585.57724715974553</v>
      </c>
      <c r="AM73" s="59">
        <f t="shared" si="59"/>
        <v>878.9105804930789</v>
      </c>
      <c r="AN73" s="59">
        <f ca="1">AVERAGE(OFFSET($AM$3,0,0,'Données projet'!$E$10+1,1))-AVERAGE(OFFSET($H$3,0,0,'Données projet'!$E$10+1,1))</f>
        <v>397.45670821030774</v>
      </c>
      <c r="AO73" s="59">
        <f t="shared" si="90"/>
        <v>256.77417912163997</v>
      </c>
      <c r="AP73" s="15">
        <f>IF(ISNA(VLOOKUP(A73,'Données projet'!$A$61:$I$81,3,0)),0,VLOOKUP(A73,'Données projet'!$A$61:$I$81,3,0))</f>
        <v>11</v>
      </c>
      <c r="AQ73" s="15">
        <f>IF(ISNA(VLOOKUP(A73,'Données projet'!$A$61:$I$81,4,0)),0,VLOOKUP(A73,'Données projet'!$A$61:$I$81,4,0))</f>
        <v>28</v>
      </c>
      <c r="AR73" s="16">
        <f>IF(ISNA(VLOOKUP(A73,'Données projet'!$A$61:$I$81,5,0)),0%,VLOOKUP(A73,'Données projet'!$A$61:$I$81,5,0)*VLOOKUP('Données projet'!$B$10,Paramètres!$A$1:$I$89,7,0))</f>
        <v>0.26500000000000001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26.005008517335501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26.005008517335501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328</v>
      </c>
      <c r="BB73" s="12">
        <f>VLOOKUP(A73,'Données projet'!$A$87:$I$107,9,0)</f>
        <v>7.8</v>
      </c>
      <c r="BC73" s="12">
        <f t="array" ref="BC73">INDEX(BB:BB,MIN(IF(ISNUMBER(BB73:BB269),ROW(BB73:BB269),"")))</f>
        <v>7.8</v>
      </c>
      <c r="BD73" s="12">
        <f>IF('Données projet'!$A$88&gt;35,BD72+BC73-BL72,IF(A73&lt;'Données projet'!$A$88,$BA$205^A73,IF(A73='Données projet'!$A$88,'Données projet'!$B$88,BD72+BC73-BL72)))</f>
        <v>328</v>
      </c>
      <c r="BE73" s="13">
        <f>BD73*VLOOKUP('Données projet'!$B$11,Paramètres!$A$1:$I$89,3,0)*VLOOKUP('Données projet'!$B$11,Paramètres!$A$1:$I$89,5,0)</f>
        <v>255.84</v>
      </c>
      <c r="BF73" s="13">
        <f t="shared" si="91"/>
        <v>61.834803371075836</v>
      </c>
      <c r="BG73" s="20">
        <f t="shared" si="61"/>
        <v>553.28361587129041</v>
      </c>
      <c r="BH73" s="59">
        <f t="shared" si="62"/>
        <v>846.61694920462378</v>
      </c>
      <c r="BI73" s="59">
        <f ca="1">AVERAGE(OFFSET($BH$3,0,0,'Données projet'!$E$11+1,1))-AVERAGE(OFFSET($H$3,0,0,'Données projet'!$E$11+1,1))</f>
        <v>293.20194140252903</v>
      </c>
      <c r="BJ73" s="59">
        <f t="shared" si="92"/>
        <v>280.69048279989266</v>
      </c>
      <c r="BK73" s="15">
        <f>IF(ISNA(VLOOKUP(A73,'Données projet'!$A$87:$I$107,3,0)),0,VLOOKUP(A73,'Données projet'!$A$87:$I$107,3,0))</f>
        <v>9</v>
      </c>
      <c r="BL73" s="15">
        <f>IF(ISNA(VLOOKUP(A73,'Données projet'!$A$87:$I$107,4,0)),0,VLOOKUP(A73,'Données projet'!$A$87:$I$107,4,0))</f>
        <v>328</v>
      </c>
      <c r="BM73" s="16">
        <f>IF(ISNA(VLOOKUP(A73,'Données projet'!$A$87:$I$107,5,0)),0%,VLOOKUP(A73,'Données projet'!$A$87:$I$107,5,0)*VLOOKUP('Données projet'!$B$11,Paramètres!$A$1:$I$89,7,0))</f>
        <v>0.25800000000000001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96.947526799871355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96.947526799871355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263</v>
      </c>
      <c r="BW73" s="12">
        <f>VLOOKUP(A73,'Données projet'!$A$113:$I$133,9,0)</f>
        <v>3.8</v>
      </c>
      <c r="BX73" s="12">
        <f t="array" ref="BX73">INDEX(BW:BW,MIN(IF(ISNUMBER(BW73:BW269),ROW(BW73:BW269),"")))</f>
        <v>3.8</v>
      </c>
      <c r="BY73" s="12">
        <f>IF('Données projet'!$A$114&gt;35,BY72+BX73-CG72,IF(A73&lt;'Données projet'!$A$114,$BV$205^A73,IF(A73='Données projet'!$A$114,'Données projet'!$B$114,BY72+BX73-CG72)))</f>
        <v>262.99999999999989</v>
      </c>
      <c r="BZ73" s="13">
        <f>BY73*VLOOKUP('Données projet'!$B$12,Paramètres!$A$1:$I$89,3,0)*VLOOKUP('Données projet'!$B$12,Paramètres!$A$1:$I$89,5,0)</f>
        <v>209.2427999999999</v>
      </c>
      <c r="CA73" s="13">
        <f t="shared" si="93"/>
        <v>51.770083677016814</v>
      </c>
      <c r="CB73" s="20">
        <f t="shared" si="64"/>
        <v>454.59743907080406</v>
      </c>
      <c r="CC73" s="59">
        <f t="shared" si="65"/>
        <v>747.93077240413731</v>
      </c>
      <c r="CD73" s="59">
        <f ca="1">AVERAGE(OFFSET($CC$3,0,0,'Données projet'!$E$12+1,1))-AVERAGE(OFFSET($H$3,0,0,'Données projet'!$E$12+1,1))</f>
        <v>271.25628946149067</v>
      </c>
      <c r="CE73" s="59">
        <f t="shared" si="94"/>
        <v>292.57799203101769</v>
      </c>
      <c r="CF73" s="15">
        <f>IF(ISNA(VLOOKUP(A73,'Données projet'!$A$113:$I$133,3,0)),0,VLOOKUP(A73,'Données projet'!$A$113:$I$133,3,0))</f>
        <v>12</v>
      </c>
      <c r="CG73" s="15">
        <f>IF(ISNA(VLOOKUP(A73,'Données projet'!$A$113:$I$133,4,0)),0,VLOOKUP(A73,'Données projet'!$A$113:$I$133,4,0))</f>
        <v>263</v>
      </c>
      <c r="CH73" s="16">
        <f>IF(ISNA(VLOOKUP(A73,'Données projet'!$A$113:$I$133,5,0)),0%,VLOOKUP(A73,'Données projet'!$A$113:$I$133,5,0)*VLOOKUP('Données projet'!$B$12,Paramètres!$A$1:$I$89,7,0))</f>
        <v>0.42400000000000004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124.12760357219929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124.12760357219929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5.6843418860808015E-14</v>
      </c>
      <c r="CU73" s="17">
        <f>CT73*VLOOKUP('Données projet'!$B$13,Paramètres!$A$1:$I$89,3,0)*VLOOKUP('Données projet'!$B$13,Paramètres!$A$1:$I$89,5,0)</f>
        <v>3.1036506698001178E-14</v>
      </c>
      <c r="CV73" s="13">
        <f t="shared" si="95"/>
        <v>5.3428243983771088E-13</v>
      </c>
      <c r="CW73" s="20">
        <f t="shared" si="67"/>
        <v>9.8459716521636505E-13</v>
      </c>
      <c r="CX73" s="59">
        <f t="shared" si="68"/>
        <v>293.33333333333428</v>
      </c>
      <c r="CY73" s="59">
        <f ca="1">AVERAGE(OFFSET($CX$3,0,0,'Données projet'!$E$13+1,1))-AVERAGE(OFFSET($H$3,0,0,'Données projet'!$E$13+1,1))</f>
        <v>210.03861149060413</v>
      </c>
      <c r="CZ73" s="59">
        <f t="shared" si="96"/>
        <v>298.74602928001929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74.296022517469069</v>
      </c>
      <c r="DG73" s="21">
        <f>EXP(-LN(2)/25)*DG72+(1-EXP(-LN(2)/25))/(LN(2)/25)*Calculateur!DB73*Calculateur!DD73*VLOOKUP('Données projet'!$B$13,Paramètres!$A$1:$I$89,3,0)*0.475*44/12</f>
        <v>32.14031524432918</v>
      </c>
      <c r="DH73" s="21">
        <f>EXP(-LN(2)/2)*DH72+(1-EXP(-LN(2)/2))/(LN(2)/2)*DB73*DE73*VLOOKUP('Données projet'!$B$13,Paramètres!$A$1:$I$89,3,0)*0.475*44/12</f>
        <v>3.5260787391854453E-2</v>
      </c>
      <c r="DI73" s="22">
        <f t="shared" si="69"/>
        <v>106.47159854919011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568.46</v>
      </c>
      <c r="DM73" s="12">
        <f>VLOOKUP(A73,'Données projet'!$A$165:$I$185,9,0)</f>
        <v>6.2750000000000057</v>
      </c>
      <c r="DN73" s="12">
        <f t="array" ref="DN73">INDEX(DM:DM,MIN(IF(ISNUMBER(DM73:DM269),ROW(DM73:DM269),"")))</f>
        <v>6.2750000000000057</v>
      </c>
      <c r="DO73" s="12">
        <f>IF('Données projet'!$A$166&gt;35,DO72+DN73-DW72,IF(A73&lt;'Données projet'!$A$166,$DL$205^A73,IF(A73='Données projet'!$A$166,'Données projet'!$B$166,DO72+DN73-DW72)))</f>
        <v>568.4599999999997</v>
      </c>
      <c r="DP73" s="17">
        <f>DO73*VLOOKUP('Données projet'!$B$14,Paramètres!$A$1:$I$89,3,0)*VLOOKUP('Données projet'!$B$14,Paramètres!$A$1:$I$89,5,0)</f>
        <v>339.93907999999988</v>
      </c>
      <c r="DQ73" s="13">
        <f t="shared" si="97"/>
        <v>79.487359832828432</v>
      </c>
      <c r="DR73" s="20">
        <f t="shared" si="70"/>
        <v>730.5010493755093</v>
      </c>
      <c r="DS73" s="59">
        <f t="shared" si="71"/>
        <v>1023.8343827088427</v>
      </c>
      <c r="DT73" s="59">
        <f ca="1">AVERAGE(OFFSET($DS$3,0,0,'Données projet'!$E$14+1,1))-AVERAGE(OFFSET($H$3,0,0,'Données projet'!$E$14+1,1))</f>
        <v>402.28353929315114</v>
      </c>
      <c r="DU73" s="59">
        <f t="shared" si="98"/>
        <v>376.94419168335463</v>
      </c>
      <c r="DV73" s="15">
        <f>IF(ISNA(VLOOKUP(A73,'Données projet'!$A$165:$I$185,3,0)),0,VLOOKUP(A73,'Données projet'!$A$165:$I$185,3,0))</f>
        <v>14</v>
      </c>
      <c r="DW73" s="15">
        <f>IF(ISNA(VLOOKUP(A73,'Données projet'!$A$165:$I$185,4,0)),0,VLOOKUP(A73,'Données projet'!$A$165:$I$185,4,0))</f>
        <v>568.46</v>
      </c>
      <c r="DX73" s="16">
        <f>IF(ISNA(VLOOKUP(A73,'Données projet'!$A$165:$I$185,5,0)),0%,VLOOKUP(A73,'Données projet'!$A$165:$I$185,5,0)*VLOOKUP('Données projet'!$B$14,Paramètres!$A$1:$I$89,7,0))</f>
        <v>0.36000000000000004</v>
      </c>
      <c r="DY73" s="16">
        <f>IF(ISNA(VLOOKUP(A73,'Données projet'!$A$165:$I$185,6,0)),0%,VLOOKUP(A73,'Données projet'!$A$165:$I$185,6,0)*VLOOKUP('Données projet'!$B$14,Paramètres!$A$1:$I$89,7,0))</f>
        <v>4.9500000000000002E-2</v>
      </c>
      <c r="DZ73" s="16">
        <f>IF(ISNA(VLOOKUP(A73,'Données projet'!$A$165:$I$185,7,0)),0%,VLOOKUP(A73,'Données projet'!$A$165:$I$185,7,0))</f>
        <v>0.09</v>
      </c>
      <c r="EA73" s="21">
        <f>EXP(-LN(2)/35)*EA72+(1-EXP(-LN(2)/35))/(LN(2)/35)*DW73*DX73*VLOOKUP('Données projet'!$B$14,Paramètres!$A$1:$I$89,3,0)*0.475*44/12</f>
        <v>207.62027392857908</v>
      </c>
      <c r="EB73" s="21">
        <f>EXP(-LN(2)/25)*EB72+(1-EXP(-LN(2)/25))/(LN(2)/25)*Calculateur!DW73*Calculateur!DY73*VLOOKUP('Données projet'!$B$14,Paramètres!$A$1:$I$89,3,0)*0.475*44/12</f>
        <v>48.764513706906023</v>
      </c>
      <c r="EC73" s="21">
        <f>EXP(-LN(2)/2)*EC72+(1-EXP(-LN(2)/2))/(LN(2)/2)*DW73*DZ73*VLOOKUP('Données projet'!$B$14,Paramètres!$A$1:$I$89,3,0)*0.475*44/12</f>
        <v>36.648274701377268</v>
      </c>
      <c r="ED73" s="22">
        <f t="shared" si="72"/>
        <v>293.03306233686237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550</v>
      </c>
      <c r="EH73" s="12">
        <f>VLOOKUP(A73,'Données projet'!$A$191:$I$211,9,0)</f>
        <v>12</v>
      </c>
      <c r="EI73" s="12">
        <f t="array" ref="EI73">INDEX(EH:EH,MIN(IF(ISNUMBER(EH73:EH269),ROW(EH73:EH269),"")))</f>
        <v>12</v>
      </c>
      <c r="EJ73" s="12">
        <f>IF('Données projet'!$A$192&gt;35,EJ72+EI73-ER72,IF(A73&lt;'Données projet'!$A$192,$EG$205^A73,IF(A73='Données projet'!$A$192,'Données projet'!$B$192,EJ72+EI73-ER72)))</f>
        <v>550</v>
      </c>
      <c r="EK73" s="17">
        <f>EJ73*VLOOKUP('Données projet'!$B$15,Paramètres!$A$1:$I$89,3,0)*VLOOKUP('Données projet'!$B$15,Paramètres!$A$1:$I$89,5,0)</f>
        <v>257.40000000000003</v>
      </c>
      <c r="EL73" s="13">
        <f t="shared" si="99"/>
        <v>62.167839264733466</v>
      </c>
      <c r="EM73" s="20">
        <f t="shared" si="73"/>
        <v>556.58065338607753</v>
      </c>
      <c r="EN73" s="59">
        <f t="shared" si="74"/>
        <v>849.91398671941079</v>
      </c>
      <c r="EO73" s="59">
        <f ca="1">AVERAGE(OFFSET($EN$3,0,0,'Données projet'!$E$15+1,1))-AVERAGE(OFFSET($H$3,0,0,'Données projet'!$E$15+1,1))</f>
        <v>273.3012268683454</v>
      </c>
      <c r="EP73" s="59">
        <f t="shared" si="100"/>
        <v>254.08208375594052</v>
      </c>
      <c r="EQ73" s="15">
        <f>IF(ISNA(VLOOKUP(A73,'Données projet'!$A$191:$I$211,3,0)),0,VLOOKUP(A73,'Données projet'!$A$191:$I$211,3,0))</f>
        <v>6</v>
      </c>
      <c r="ER73" s="15">
        <f>IF(ISNA(VLOOKUP(A73,'Données projet'!$A$191:$I$211,4,0)),0,VLOOKUP(A73,'Données projet'!$A$191:$I$211,4,0))</f>
        <v>550</v>
      </c>
      <c r="ES73" s="16">
        <f>IF(ISNA(VLOOKUP(A73,'Données projet'!$A$191:$I$211,5,0)),0%,VLOOKUP(A73,'Données projet'!$A$191:$I$211,5,0)*VLOOKUP('Données projet'!$B$15,Paramètres!$A$1:$I$89,7,0))</f>
        <v>0.33</v>
      </c>
      <c r="ET73" s="16">
        <f>IF(ISNA(VLOOKUP(A73,'Données projet'!$A$191:$I$211,6,0)),0%,VLOOKUP(A73,'Données projet'!$A$191:$I$211,6,0)*VLOOKUP('Données projet'!$B$15,Paramètres!$A$1:$I$89,7,0))</f>
        <v>0.12100000000000001</v>
      </c>
      <c r="EU73" s="16">
        <f>IF(ISNA(VLOOKUP(A73,'Données projet'!$A$191:$I$211,7,0)),0%,VLOOKUP(A73,'Données projet'!$A$191:$I$211,7,0))</f>
        <v>0.18</v>
      </c>
      <c r="EV73" s="21">
        <f>EXP(-LN(2)/35)*EV72+(1-EXP(-LN(2)/35))/(LN(2)/35)*ER73*ES73*VLOOKUP('Données projet'!$B$15,Paramètres!$A$1:$I$89,3,0)*0.475*44/12</f>
        <v>127.25274449317502</v>
      </c>
      <c r="EW73" s="21">
        <f>EXP(-LN(2)/25)*EW72+(1-EXP(-LN(2)/25))/(LN(2)/25)*Calculateur!ER73*Calculateur!ET73*VLOOKUP('Données projet'!$B$15,Paramètres!$A$1:$I$89,3,0)*0.475*44/12</f>
        <v>54.677301568350813</v>
      </c>
      <c r="EX73" s="21">
        <f>EXP(-LN(2)/2)*EX72+(1-EXP(-LN(2)/2))/(LN(2)/2)*ER73*EU73*VLOOKUP('Données projet'!$B$15,Paramètres!$A$1:$I$89,3,0)*0.475*44/12</f>
        <v>52.611291926449717</v>
      </c>
      <c r="EY73" s="22">
        <f t="shared" si="75"/>
        <v>234.54133798797557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7.6</v>
      </c>
      <c r="N74" s="13">
        <f>IF('Données projet'!$A$36&gt;35,N73+M74-V73,IF(A74&lt;'Données projet'!$A$36,$K$205^A74,IF(A74='Données projet'!$A$36,'Données projet'!$B$36,N73+M74-V73)))</f>
        <v>281.59999999999991</v>
      </c>
      <c r="O74" s="13">
        <f>N74*VLOOKUP('Données projet'!$B$9,Paramètres!$A$1:$I$89,3,0)*VLOOKUP('Données projet'!$B$9,Paramètres!$A$1:$I$89,5,0)</f>
        <v>254.79167999999993</v>
      </c>
      <c r="P74" s="13">
        <f t="shared" si="87"/>
        <v>61.610870508448471</v>
      </c>
      <c r="Q74" s="20">
        <f t="shared" si="54"/>
        <v>551.06777546888088</v>
      </c>
      <c r="R74" s="59">
        <f t="shared" si="55"/>
        <v>844.40110880221414</v>
      </c>
      <c r="S74" s="59">
        <f ca="1">AVERAGE(OFFSET($R$3,0,0,'Données projet'!$E$9+1,1))-AVERAGE(OFFSET($H$3,0,0,'Données projet'!$E$9+1,1))</f>
        <v>453.52760163325451</v>
      </c>
      <c r="T74" s="59">
        <f t="shared" si="88"/>
        <v>344.23959526427001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21.812931391947885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21.812931391947885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9.4</v>
      </c>
      <c r="AI74" s="13">
        <f>IF('Données projet'!$A$62&gt;35,AI73+AH74-AQ73,IF(A74&lt;'Données projet'!$A$62,$AF$205^A74,IF(A74='Données projet'!$A$62,'Données projet'!$B$62,AI73+AH74-AQ73)))</f>
        <v>297.39999999999992</v>
      </c>
      <c r="AJ74" s="13">
        <f>AI74*VLOOKUP('Données projet'!$B$10,Paramètres!$A$1:$I$89,3,0)*VLOOKUP('Données projet'!$B$10,Paramètres!$A$1:$I$89,5,0)</f>
        <v>255.16919999999996</v>
      </c>
      <c r="AK74" s="13">
        <f t="shared" si="89"/>
        <v>61.691525331424884</v>
      </c>
      <c r="AL74" s="20">
        <f t="shared" si="58"/>
        <v>551.86576328556498</v>
      </c>
      <c r="AM74" s="59">
        <f t="shared" si="59"/>
        <v>845.19909661889824</v>
      </c>
      <c r="AN74" s="59">
        <f ca="1">AVERAGE(OFFSET($AM$3,0,0,'Données projet'!$E$10+1,1))-AVERAGE(OFFSET($H$3,0,0,'Données projet'!$E$10+1,1))</f>
        <v>397.45670821030774</v>
      </c>
      <c r="AO74" s="59">
        <f t="shared" si="90"/>
        <v>256.77417912163997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25.495066161799556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25.495066161799556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>
        <f>BD74*VLOOKUP('Données projet'!$B$11,Paramètres!$A$1:$I$89,3,0)*VLOOKUP('Données projet'!$B$11,Paramètres!$A$1:$I$89,5,0)</f>
        <v>0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293.20194140252903</v>
      </c>
      <c r="BJ74" s="59">
        <f t="shared" si="92"/>
        <v>280.69048279989266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95.046444931478405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95.046444931478405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-1.1368683772161603E-13</v>
      </c>
      <c r="BZ74" s="13">
        <f>BY74*VLOOKUP('Données projet'!$B$12,Paramètres!$A$1:$I$89,3,0)*VLOOKUP('Données projet'!$B$12,Paramètres!$A$1:$I$89,5,0)</f>
        <v>-9.0449248091317723E-14</v>
      </c>
      <c r="CA74" s="13" t="e">
        <f t="shared" si="93"/>
        <v>#NUM!</v>
      </c>
      <c r="CB74" s="20" t="e">
        <f t="shared" si="64"/>
        <v>#NUM!</v>
      </c>
      <c r="CC74" s="59" t="e">
        <f t="shared" si="65"/>
        <v>#NUM!</v>
      </c>
      <c r="CD74" s="59">
        <f ca="1">AVERAGE(OFFSET($CC$3,0,0,'Données projet'!$E$12+1,1))-AVERAGE(OFFSET($H$3,0,0,'Données projet'!$E$12+1,1))</f>
        <v>271.25628946149067</v>
      </c>
      <c r="CE74" s="59">
        <f t="shared" si="94"/>
        <v>292.57799203101769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121.69353697651087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121.69353697651087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5.6843418860808015E-14</v>
      </c>
      <c r="CU74" s="17">
        <f>CT74*VLOOKUP('Données projet'!$B$13,Paramètres!$A$1:$I$89,3,0)*VLOOKUP('Données projet'!$B$13,Paramètres!$A$1:$I$89,5,0)</f>
        <v>3.1036506698001178E-14</v>
      </c>
      <c r="CV74" s="13">
        <f t="shared" si="95"/>
        <v>5.3428243983771088E-13</v>
      </c>
      <c r="CW74" s="20">
        <f t="shared" si="67"/>
        <v>9.8459716521636505E-13</v>
      </c>
      <c r="CX74" s="59">
        <f t="shared" si="68"/>
        <v>293.33333333333428</v>
      </c>
      <c r="CY74" s="59">
        <f ca="1">AVERAGE(OFFSET($CX$3,0,0,'Données projet'!$E$13+1,1))-AVERAGE(OFFSET($H$3,0,0,'Données projet'!$E$13+1,1))</f>
        <v>210.03861149060413</v>
      </c>
      <c r="CZ74" s="59">
        <f t="shared" si="96"/>
        <v>298.74602928001929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72.839122832000641</v>
      </c>
      <c r="DG74" s="21">
        <f>EXP(-LN(2)/25)*DG73+(1-EXP(-LN(2)/25))/(LN(2)/25)*Calculateur!DB74*Calculateur!DD74*VLOOKUP('Données projet'!$B$13,Paramètres!$A$1:$I$89,3,0)*0.475*44/12</f>
        <v>31.261436633787277</v>
      </c>
      <c r="DH74" s="21">
        <f>EXP(-LN(2)/2)*DH73+(1-EXP(-LN(2)/2))/(LN(2)/2)*DB74*DE74*VLOOKUP('Données projet'!$B$13,Paramètres!$A$1:$I$89,3,0)*0.475*44/12</f>
        <v>2.4933141874757401E-2</v>
      </c>
      <c r="DI74" s="22">
        <f t="shared" si="69"/>
        <v>104.12549260766266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-3.4106051316484809E-13</v>
      </c>
      <c r="DP74" s="17">
        <f>DO74*VLOOKUP('Données projet'!$B$14,Paramètres!$A$1:$I$89,3,0)*VLOOKUP('Données projet'!$B$14,Paramètres!$A$1:$I$89,5,0)</f>
        <v>-2.0395418687257919E-13</v>
      </c>
      <c r="DQ74" s="13" t="e">
        <f t="shared" si="97"/>
        <v>#NUM!</v>
      </c>
      <c r="DR74" s="20" t="e">
        <f t="shared" si="70"/>
        <v>#NUM!</v>
      </c>
      <c r="DS74" s="59" t="e">
        <f t="shared" si="71"/>
        <v>#NUM!</v>
      </c>
      <c r="DT74" s="59">
        <f ca="1">AVERAGE(OFFSET($DS$3,0,0,'Données projet'!$E$14+1,1))-AVERAGE(OFFSET($H$3,0,0,'Données projet'!$E$14+1,1))</f>
        <v>402.28353929315114</v>
      </c>
      <c r="DU74" s="59">
        <f t="shared" si="98"/>
        <v>376.94419168335463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203.54896699270247</v>
      </c>
      <c r="EB74" s="21">
        <f>EXP(-LN(2)/25)*EB73+(1-EXP(-LN(2)/25))/(LN(2)/25)*Calculateur!DW74*Calculateur!DY74*VLOOKUP('Données projet'!$B$14,Paramètres!$A$1:$I$89,3,0)*0.475*44/12</f>
        <v>47.431045515176358</v>
      </c>
      <c r="EC74" s="21">
        <f>EXP(-LN(2)/2)*EC73+(1-EXP(-LN(2)/2))/(LN(2)/2)*DW74*DZ74*VLOOKUP('Données projet'!$B$14,Paramètres!$A$1:$I$89,3,0)*0.475*44/12</f>
        <v>25.914243560131261</v>
      </c>
      <c r="ED74" s="22">
        <f t="shared" si="72"/>
        <v>276.89425606801007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>
        <f>EJ74*VLOOKUP('Données projet'!$B$15,Paramètres!$A$1:$I$89,3,0)*VLOOKUP('Données projet'!$B$15,Paramètres!$A$1:$I$89,5,0)</f>
        <v>0</v>
      </c>
      <c r="EL74" s="13" t="e">
        <f t="shared" si="99"/>
        <v>#NUM!</v>
      </c>
      <c r="EM74" s="20" t="e">
        <f t="shared" si="73"/>
        <v>#NUM!</v>
      </c>
      <c r="EN74" s="59" t="e">
        <f t="shared" si="74"/>
        <v>#NUM!</v>
      </c>
      <c r="EO74" s="59">
        <f ca="1">AVERAGE(OFFSET($EN$3,0,0,'Données projet'!$E$15+1,1))-AVERAGE(OFFSET($H$3,0,0,'Données projet'!$E$15+1,1))</f>
        <v>273.3012268683454</v>
      </c>
      <c r="EP74" s="59">
        <f t="shared" si="100"/>
        <v>254.08208375594052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124.757395790174</v>
      </c>
      <c r="EW74" s="21">
        <f>EXP(-LN(2)/25)*EW73+(1-EXP(-LN(2)/25))/(LN(2)/25)*Calculateur!ER74*Calculateur!ET74*VLOOKUP('Données projet'!$B$15,Paramètres!$A$1:$I$89,3,0)*0.475*44/12</f>
        <v>53.182147881609936</v>
      </c>
      <c r="EX74" s="21">
        <f>EXP(-LN(2)/2)*EX73+(1-EXP(-LN(2)/2))/(LN(2)/2)*ER74*EU74*VLOOKUP('Données projet'!$B$15,Paramètres!$A$1:$I$89,3,0)*0.475*44/12</f>
        <v>37.201801288177656</v>
      </c>
      <c r="EY74" s="22">
        <f t="shared" si="75"/>
        <v>215.1413449599616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7.6</v>
      </c>
      <c r="N75" s="13">
        <f>IF('Données projet'!$A$36&gt;35,N74+M75-V74,IF(A75&lt;'Données projet'!$A$36,$K$205^A75,IF(A75='Données projet'!$A$36,'Données projet'!$B$36,N74+M75-V74)))</f>
        <v>289.19999999999993</v>
      </c>
      <c r="O75" s="13">
        <f>N75*VLOOKUP('Données projet'!$B$9,Paramètres!$A$1:$I$89,3,0)*VLOOKUP('Données projet'!$B$9,Paramètres!$A$1:$I$89,5,0)</f>
        <v>261.66815999999994</v>
      </c>
      <c r="P75" s="13">
        <f t="shared" si="87"/>
        <v>63.077829793082856</v>
      </c>
      <c r="Q75" s="20">
        <f t="shared" si="54"/>
        <v>565.59926555628579</v>
      </c>
      <c r="R75" s="59">
        <f t="shared" si="55"/>
        <v>858.93259888961916</v>
      </c>
      <c r="S75" s="59">
        <f ca="1">AVERAGE(OFFSET($R$3,0,0,'Données projet'!$E$9+1,1))-AVERAGE(OFFSET($H$3,0,0,'Données projet'!$E$9+1,1))</f>
        <v>453.52760163325451</v>
      </c>
      <c r="T75" s="59">
        <f t="shared" si="88"/>
        <v>344.23959526427001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21.385193111926217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21.385193111926217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9.4</v>
      </c>
      <c r="AI75" s="13">
        <f>IF('Données projet'!$A$62&gt;35,AI74+AH75-AQ74,IF(A75&lt;'Données projet'!$A$62,$AF$205^A75,IF(A75='Données projet'!$A$62,'Données projet'!$B$62,AI74+AH75-AQ74)))</f>
        <v>306.7999999999999</v>
      </c>
      <c r="AJ75" s="13">
        <f>AI75*VLOOKUP('Données projet'!$B$10,Paramètres!$A$1:$I$89,3,0)*VLOOKUP('Données projet'!$B$10,Paramètres!$A$1:$I$89,5,0)</f>
        <v>263.23439999999994</v>
      </c>
      <c r="AK75" s="13">
        <f t="shared" si="89"/>
        <v>63.411324464279403</v>
      </c>
      <c r="AL75" s="20">
        <f t="shared" si="58"/>
        <v>568.90797010861979</v>
      </c>
      <c r="AM75" s="59">
        <f t="shared" si="59"/>
        <v>862.24130344195305</v>
      </c>
      <c r="AN75" s="59">
        <f ca="1">AVERAGE(OFFSET($AM$3,0,0,'Données projet'!$E$10+1,1))-AVERAGE(OFFSET($H$3,0,0,'Données projet'!$E$10+1,1))</f>
        <v>397.45670821030774</v>
      </c>
      <c r="AO75" s="59">
        <f t="shared" si="90"/>
        <v>256.77417912163997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24.995123464821546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24.995123464821546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>
        <f>BD75*VLOOKUP('Données projet'!$B$11,Paramètres!$A$1:$I$89,3,0)*VLOOKUP('Données projet'!$B$11,Paramètres!$A$1:$I$89,5,0)</f>
        <v>0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293.20194140252903</v>
      </c>
      <c r="BJ75" s="59">
        <f t="shared" si="92"/>
        <v>280.69048279989266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93.182642118979203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93.182642118979203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-1.1368683772161603E-13</v>
      </c>
      <c r="BZ75" s="13">
        <f>BY75*VLOOKUP('Données projet'!$B$12,Paramètres!$A$1:$I$89,3,0)*VLOOKUP('Données projet'!$B$12,Paramètres!$A$1:$I$89,5,0)</f>
        <v>-9.0449248091317723E-14</v>
      </c>
      <c r="CA75" s="13" t="e">
        <f t="shared" si="93"/>
        <v>#NUM!</v>
      </c>
      <c r="CB75" s="20" t="e">
        <f t="shared" si="64"/>
        <v>#NUM!</v>
      </c>
      <c r="CC75" s="59" t="e">
        <f t="shared" si="65"/>
        <v>#NUM!</v>
      </c>
      <c r="CD75" s="59">
        <f ca="1">AVERAGE(OFFSET($CC$3,0,0,'Données projet'!$E$12+1,1))-AVERAGE(OFFSET($H$3,0,0,'Données projet'!$E$12+1,1))</f>
        <v>271.25628946149067</v>
      </c>
      <c r="CE75" s="59">
        <f t="shared" si="94"/>
        <v>292.57799203101769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119.30720094212987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119.30720094212987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5.6843418860808015E-14</v>
      </c>
      <c r="CU75" s="17">
        <f>CT75*VLOOKUP('Données projet'!$B$13,Paramètres!$A$1:$I$89,3,0)*VLOOKUP('Données projet'!$B$13,Paramètres!$A$1:$I$89,5,0)</f>
        <v>3.1036506698001178E-14</v>
      </c>
      <c r="CV75" s="13">
        <f t="shared" si="95"/>
        <v>5.3428243983771088E-13</v>
      </c>
      <c r="CW75" s="20">
        <f t="shared" si="67"/>
        <v>9.8459716521636505E-13</v>
      </c>
      <c r="CX75" s="59">
        <f t="shared" si="68"/>
        <v>293.33333333333428</v>
      </c>
      <c r="CY75" s="59">
        <f ca="1">AVERAGE(OFFSET($CX$3,0,0,'Données projet'!$E$13+1,1))-AVERAGE(OFFSET($H$3,0,0,'Données projet'!$E$13+1,1))</f>
        <v>210.03861149060413</v>
      </c>
      <c r="CZ75" s="59">
        <f t="shared" si="96"/>
        <v>298.74602928001929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71.410792060743191</v>
      </c>
      <c r="DG75" s="21">
        <f>EXP(-LN(2)/25)*DG74+(1-EXP(-LN(2)/25))/(LN(2)/25)*Calculateur!DB75*Calculateur!DD75*VLOOKUP('Données projet'!$B$13,Paramètres!$A$1:$I$89,3,0)*0.475*44/12</f>
        <v>30.406591005068861</v>
      </c>
      <c r="DH75" s="21">
        <f>EXP(-LN(2)/2)*DH74+(1-EXP(-LN(2)/2))/(LN(2)/2)*DB75*DE75*VLOOKUP('Données projet'!$B$13,Paramètres!$A$1:$I$89,3,0)*0.475*44/12</f>
        <v>1.7630393695927227E-2</v>
      </c>
      <c r="DI75" s="22">
        <f t="shared" si="69"/>
        <v>101.83501345950798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-3.4106051316484809E-13</v>
      </c>
      <c r="DP75" s="17">
        <f>DO75*VLOOKUP('Données projet'!$B$14,Paramètres!$A$1:$I$89,3,0)*VLOOKUP('Données projet'!$B$14,Paramètres!$A$1:$I$89,5,0)</f>
        <v>-2.0395418687257919E-13</v>
      </c>
      <c r="DQ75" s="13" t="e">
        <f t="shared" si="97"/>
        <v>#NUM!</v>
      </c>
      <c r="DR75" s="20" t="e">
        <f t="shared" si="70"/>
        <v>#NUM!</v>
      </c>
      <c r="DS75" s="59" t="e">
        <f t="shared" si="71"/>
        <v>#NUM!</v>
      </c>
      <c r="DT75" s="59">
        <f ca="1">AVERAGE(OFFSET($DS$3,0,0,'Données projet'!$E$14+1,1))-AVERAGE(OFFSET($H$3,0,0,'Données projet'!$E$14+1,1))</f>
        <v>402.28353929315114</v>
      </c>
      <c r="DU75" s="59">
        <f t="shared" si="98"/>
        <v>376.94419168335463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199.5574959025864</v>
      </c>
      <c r="EB75" s="21">
        <f>EXP(-LN(2)/25)*EB74+(1-EXP(-LN(2)/25))/(LN(2)/25)*Calculateur!DW75*Calculateur!DY75*VLOOKUP('Données projet'!$B$14,Paramètres!$A$1:$I$89,3,0)*0.475*44/12</f>
        <v>46.13404108127358</v>
      </c>
      <c r="EC75" s="21">
        <f>EXP(-LN(2)/2)*EC74+(1-EXP(-LN(2)/2))/(LN(2)/2)*DW75*DZ75*VLOOKUP('Données projet'!$B$14,Paramètres!$A$1:$I$89,3,0)*0.475*44/12</f>
        <v>18.324137350688634</v>
      </c>
      <c r="ED75" s="22">
        <f t="shared" si="72"/>
        <v>264.01567433454863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>
        <f>EJ75*VLOOKUP('Données projet'!$B$15,Paramètres!$A$1:$I$89,3,0)*VLOOKUP('Données projet'!$B$15,Paramètres!$A$1:$I$89,5,0)</f>
        <v>0</v>
      </c>
      <c r="EL75" s="13" t="e">
        <f t="shared" si="99"/>
        <v>#NUM!</v>
      </c>
      <c r="EM75" s="20" t="e">
        <f t="shared" si="73"/>
        <v>#NUM!</v>
      </c>
      <c r="EN75" s="59" t="e">
        <f t="shared" si="74"/>
        <v>#NUM!</v>
      </c>
      <c r="EO75" s="59">
        <f ca="1">AVERAGE(OFFSET($EN$3,0,0,'Données projet'!$E$15+1,1))-AVERAGE(OFFSET($H$3,0,0,'Données projet'!$E$15+1,1))</f>
        <v>273.3012268683454</v>
      </c>
      <c r="EP75" s="59">
        <f t="shared" si="100"/>
        <v>254.08208375594052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122.31097935322641</v>
      </c>
      <c r="EW75" s="21">
        <f>EXP(-LN(2)/25)*EW74+(1-EXP(-LN(2)/25))/(LN(2)/25)*Calculateur!ER75*Calculateur!ET75*VLOOKUP('Données projet'!$B$15,Paramètres!$A$1:$I$89,3,0)*0.475*44/12</f>
        <v>51.727879251059704</v>
      </c>
      <c r="EX75" s="21">
        <f>EXP(-LN(2)/2)*EX74+(1-EXP(-LN(2)/2))/(LN(2)/2)*ER75*EU75*VLOOKUP('Données projet'!$B$15,Paramètres!$A$1:$I$89,3,0)*0.475*44/12</f>
        <v>26.305645963224862</v>
      </c>
      <c r="EY75" s="22">
        <f t="shared" si="75"/>
        <v>200.344504567511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7.6</v>
      </c>
      <c r="N76" s="13">
        <f>IF('Données projet'!$A$36&gt;35,N75+M76-V75,IF(A76&lt;'Données projet'!$A$36,$K$205^A76,IF(A76='Données projet'!$A$36,'Données projet'!$B$36,N75+M76-V75)))</f>
        <v>296.79999999999995</v>
      </c>
      <c r="O76" s="13">
        <f>N76*VLOOKUP('Données projet'!$B$9,Paramètres!$A$1:$I$89,3,0)*VLOOKUP('Données projet'!$B$9,Paramètres!$A$1:$I$89,5,0)</f>
        <v>268.5446399999999</v>
      </c>
      <c r="P76" s="13">
        <f t="shared" si="87"/>
        <v>64.54030807605065</v>
      </c>
      <c r="Q76" s="20">
        <f t="shared" si="54"/>
        <v>580.12295123245474</v>
      </c>
      <c r="R76" s="59">
        <f t="shared" si="55"/>
        <v>873.45628456578811</v>
      </c>
      <c r="S76" s="59">
        <f ca="1">AVERAGE(OFFSET($R$3,0,0,'Données projet'!$E$9+1,1))-AVERAGE(OFFSET($H$3,0,0,'Données projet'!$E$9+1,1))</f>
        <v>453.52760163325451</v>
      </c>
      <c r="T76" s="59">
        <f t="shared" si="88"/>
        <v>344.23959526427001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20.965842518681185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20.965842518681185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9.4</v>
      </c>
      <c r="AI76" s="13">
        <f>IF('Données projet'!$A$62&gt;35,AI75+AH76-AQ75,IF(A76&lt;'Données projet'!$A$62,$AF$205^A76,IF(A76='Données projet'!$A$62,'Données projet'!$B$62,AI75+AH76-AQ75)))</f>
        <v>316.19999999999987</v>
      </c>
      <c r="AJ76" s="13">
        <f>AI76*VLOOKUP('Données projet'!$B$10,Paramètres!$A$1:$I$89,3,0)*VLOOKUP('Données projet'!$B$10,Paramètres!$A$1:$I$89,5,0)</f>
        <v>271.29959999999994</v>
      </c>
      <c r="AK76" s="13">
        <f t="shared" si="89"/>
        <v>65.125000081857877</v>
      </c>
      <c r="AL76" s="20">
        <f t="shared" si="58"/>
        <v>585.93951180923568</v>
      </c>
      <c r="AM76" s="59">
        <f t="shared" si="59"/>
        <v>879.27284514256894</v>
      </c>
      <c r="AN76" s="59">
        <f ca="1">AVERAGE(OFFSET($AM$3,0,0,'Données projet'!$E$10+1,1))-AVERAGE(OFFSET($H$3,0,0,'Données projet'!$E$10+1,1))</f>
        <v>397.45670821030774</v>
      </c>
      <c r="AO76" s="59">
        <f t="shared" si="90"/>
        <v>256.77417912163997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24.504984339196341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24.504984339196341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>
        <f>BD76*VLOOKUP('Données projet'!$B$11,Paramètres!$A$1:$I$89,3,0)*VLOOKUP('Données projet'!$B$11,Paramètres!$A$1:$I$89,5,0)</f>
        <v>0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293.20194140252903</v>
      </c>
      <c r="BJ76" s="59">
        <f t="shared" si="92"/>
        <v>280.69048279989266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91.355387342825651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91.355387342825651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-1.1368683772161603E-13</v>
      </c>
      <c r="BZ76" s="13">
        <f>BY76*VLOOKUP('Données projet'!$B$12,Paramètres!$A$1:$I$89,3,0)*VLOOKUP('Données projet'!$B$12,Paramètres!$A$1:$I$89,5,0)</f>
        <v>-9.0449248091317723E-14</v>
      </c>
      <c r="CA76" s="13" t="e">
        <f t="shared" si="93"/>
        <v>#NUM!</v>
      </c>
      <c r="CB76" s="20" t="e">
        <f t="shared" si="64"/>
        <v>#NUM!</v>
      </c>
      <c r="CC76" s="59" t="e">
        <f t="shared" si="65"/>
        <v>#NUM!</v>
      </c>
      <c r="CD76" s="59">
        <f ca="1">AVERAGE(OFFSET($CC$3,0,0,'Données projet'!$E$12+1,1))-AVERAGE(OFFSET($H$3,0,0,'Données projet'!$E$12+1,1))</f>
        <v>271.25628946149067</v>
      </c>
      <c r="CE76" s="59">
        <f t="shared" si="94"/>
        <v>292.57799203101769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116.96765950186182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116.96765950186182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5.6843418860808015E-14</v>
      </c>
      <c r="CU76" s="17">
        <f>CT76*VLOOKUP('Données projet'!$B$13,Paramètres!$A$1:$I$89,3,0)*VLOOKUP('Données projet'!$B$13,Paramètres!$A$1:$I$89,5,0)</f>
        <v>3.1036506698001178E-14</v>
      </c>
      <c r="CV76" s="13">
        <f t="shared" si="95"/>
        <v>5.3428243983771088E-13</v>
      </c>
      <c r="CW76" s="20">
        <f t="shared" si="67"/>
        <v>9.8459716521636505E-13</v>
      </c>
      <c r="CX76" s="59">
        <f t="shared" si="68"/>
        <v>293.33333333333428</v>
      </c>
      <c r="CY76" s="59">
        <f ca="1">AVERAGE(OFFSET($CX$3,0,0,'Données projet'!$E$13+1,1))-AVERAGE(OFFSET($H$3,0,0,'Données projet'!$E$13+1,1))</f>
        <v>210.03861149060413</v>
      </c>
      <c r="CZ76" s="59">
        <f t="shared" si="96"/>
        <v>298.74602928001929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70.010469984714348</v>
      </c>
      <c r="DG76" s="21">
        <f>EXP(-LN(2)/25)*DG75+(1-EXP(-LN(2)/25))/(LN(2)/25)*Calculateur!DB76*Calculateur!DD76*VLOOKUP('Données projet'!$B$13,Paramètres!$A$1:$I$89,3,0)*0.475*44/12</f>
        <v>29.575121175022129</v>
      </c>
      <c r="DH76" s="21">
        <f>EXP(-LN(2)/2)*DH75+(1-EXP(-LN(2)/2))/(LN(2)/2)*DB76*DE76*VLOOKUP('Données projet'!$B$13,Paramètres!$A$1:$I$89,3,0)*0.475*44/12</f>
        <v>1.24665709373787E-2</v>
      </c>
      <c r="DI76" s="22">
        <f t="shared" si="69"/>
        <v>99.598057730673858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-3.4106051316484809E-13</v>
      </c>
      <c r="DP76" s="17">
        <f>DO76*VLOOKUP('Données projet'!$B$14,Paramètres!$A$1:$I$89,3,0)*VLOOKUP('Données projet'!$B$14,Paramètres!$A$1:$I$89,5,0)</f>
        <v>-2.0395418687257919E-13</v>
      </c>
      <c r="DQ76" s="13" t="e">
        <f t="shared" si="97"/>
        <v>#NUM!</v>
      </c>
      <c r="DR76" s="20" t="e">
        <f t="shared" si="70"/>
        <v>#NUM!</v>
      </c>
      <c r="DS76" s="59" t="e">
        <f t="shared" si="71"/>
        <v>#NUM!</v>
      </c>
      <c r="DT76" s="59">
        <f ca="1">AVERAGE(OFFSET($DS$3,0,0,'Données projet'!$E$14+1,1))-AVERAGE(OFFSET($H$3,0,0,'Données projet'!$E$14+1,1))</f>
        <v>402.28353929315114</v>
      </c>
      <c r="DU76" s="59">
        <f t="shared" si="98"/>
        <v>376.94419168335463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195.64429512599051</v>
      </c>
      <c r="EB76" s="21">
        <f>EXP(-LN(2)/25)*EB75+(1-EXP(-LN(2)/25))/(LN(2)/25)*Calculateur!DW76*Calculateur!DY76*VLOOKUP('Données projet'!$B$14,Paramètres!$A$1:$I$89,3,0)*0.475*44/12</f>
        <v>44.872503301822377</v>
      </c>
      <c r="EC76" s="21">
        <f>EXP(-LN(2)/2)*EC75+(1-EXP(-LN(2)/2))/(LN(2)/2)*DW76*DZ76*VLOOKUP('Données projet'!$B$14,Paramètres!$A$1:$I$89,3,0)*0.475*44/12</f>
        <v>12.957121780065631</v>
      </c>
      <c r="ED76" s="22">
        <f t="shared" si="72"/>
        <v>253.47392020787851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>
        <f>EJ76*VLOOKUP('Données projet'!$B$15,Paramètres!$A$1:$I$89,3,0)*VLOOKUP('Données projet'!$B$15,Paramètres!$A$1:$I$89,5,0)</f>
        <v>0</v>
      </c>
      <c r="EL76" s="13" t="e">
        <f t="shared" si="99"/>
        <v>#NUM!</v>
      </c>
      <c r="EM76" s="20" t="e">
        <f t="shared" si="73"/>
        <v>#NUM!</v>
      </c>
      <c r="EN76" s="59" t="e">
        <f t="shared" si="74"/>
        <v>#NUM!</v>
      </c>
      <c r="EO76" s="59">
        <f ca="1">AVERAGE(OFFSET($EN$3,0,0,'Données projet'!$E$15+1,1))-AVERAGE(OFFSET($H$3,0,0,'Données projet'!$E$15+1,1))</f>
        <v>273.3012268683454</v>
      </c>
      <c r="EP76" s="59">
        <f t="shared" si="100"/>
        <v>254.08208375594052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119.91253565044069</v>
      </c>
      <c r="EW76" s="21">
        <f>EXP(-LN(2)/25)*EW75+(1-EXP(-LN(2)/25))/(LN(2)/25)*Calculateur!ER76*Calculateur!ET76*VLOOKUP('Données projet'!$B$15,Paramètres!$A$1:$I$89,3,0)*0.475*44/12</f>
        <v>50.313377672688532</v>
      </c>
      <c r="EX76" s="21">
        <f>EXP(-LN(2)/2)*EX75+(1-EXP(-LN(2)/2))/(LN(2)/2)*ER76*EU76*VLOOKUP('Données projet'!$B$15,Paramètres!$A$1:$I$89,3,0)*0.475*44/12</f>
        <v>18.600900644088831</v>
      </c>
      <c r="EY76" s="22">
        <f t="shared" si="75"/>
        <v>188.82681396721804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7.6</v>
      </c>
      <c r="N77" s="13">
        <f>IF('Données projet'!$A$36&gt;35,N76+M77-V76,IF(A77&lt;'Données projet'!$A$36,$K$205^A77,IF(A77='Données projet'!$A$36,'Données projet'!$B$36,N76+M77-V76)))</f>
        <v>304.39999999999998</v>
      </c>
      <c r="O77" s="13">
        <f>N77*VLOOKUP('Données projet'!$B$9,Paramètres!$A$1:$I$89,3,0)*VLOOKUP('Données projet'!$B$9,Paramètres!$A$1:$I$89,5,0)</f>
        <v>275.42111999999997</v>
      </c>
      <c r="P77" s="13">
        <f t="shared" si="87"/>
        <v>65.998433293601067</v>
      </c>
      <c r="Q77" s="20">
        <f t="shared" si="54"/>
        <v>594.63905531968851</v>
      </c>
      <c r="R77" s="59">
        <f t="shared" si="55"/>
        <v>887.97238865302188</v>
      </c>
      <c r="S77" s="59">
        <f ca="1">AVERAGE(OFFSET($R$3,0,0,'Données projet'!$E$9+1,1))-AVERAGE(OFFSET($H$3,0,0,'Données projet'!$E$9+1,1))</f>
        <v>453.52760163325451</v>
      </c>
      <c r="T77" s="59">
        <f t="shared" si="88"/>
        <v>344.23959526427001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20.554715134791085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20.554715134791085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9.4</v>
      </c>
      <c r="AI77" s="13">
        <f>IF('Données projet'!$A$62&gt;35,AI76+AH77-AQ76,IF(A77&lt;'Données projet'!$A$62,$AF$205^A77,IF(A77='Données projet'!$A$62,'Données projet'!$B$62,AI76+AH77-AQ76)))</f>
        <v>325.59999999999985</v>
      </c>
      <c r="AJ77" s="13">
        <f>AI77*VLOOKUP('Données projet'!$B$10,Paramètres!$A$1:$I$89,3,0)*VLOOKUP('Données projet'!$B$10,Paramètres!$A$1:$I$89,5,0)</f>
        <v>279.36479999999989</v>
      </c>
      <c r="AK77" s="13">
        <f t="shared" si="89"/>
        <v>66.832755122992182</v>
      </c>
      <c r="AL77" s="20">
        <f t="shared" si="58"/>
        <v>602.96074183921121</v>
      </c>
      <c r="AM77" s="59">
        <f t="shared" si="59"/>
        <v>896.29407517254458</v>
      </c>
      <c r="AN77" s="59">
        <f ca="1">AVERAGE(OFFSET($AM$3,0,0,'Données projet'!$E$10+1,1))-AVERAGE(OFFSET($H$3,0,0,'Données projet'!$E$10+1,1))</f>
        <v>397.45670821030774</v>
      </c>
      <c r="AO77" s="59">
        <f t="shared" si="90"/>
        <v>256.77417912163997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24.024456542869295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24.024456542869295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>
        <f>BD77*VLOOKUP('Données projet'!$B$11,Paramètres!$A$1:$I$89,3,0)*VLOOKUP('Données projet'!$B$11,Paramètres!$A$1:$I$89,5,0)</f>
        <v>0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293.20194140252903</v>
      </c>
      <c r="BJ77" s="59">
        <f t="shared" si="92"/>
        <v>280.69048279989266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89.5639639183171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89.5639639183171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-1.1368683772161603E-13</v>
      </c>
      <c r="BZ77" s="13">
        <f>BY77*VLOOKUP('Données projet'!$B$12,Paramètres!$A$1:$I$89,3,0)*VLOOKUP('Données projet'!$B$12,Paramètres!$A$1:$I$89,5,0)</f>
        <v>-9.0449248091317723E-14</v>
      </c>
      <c r="CA77" s="13" t="e">
        <f t="shared" si="93"/>
        <v>#NUM!</v>
      </c>
      <c r="CB77" s="20" t="e">
        <f t="shared" si="64"/>
        <v>#NUM!</v>
      </c>
      <c r="CC77" s="59" t="e">
        <f t="shared" si="65"/>
        <v>#NUM!</v>
      </c>
      <c r="CD77" s="59">
        <f ca="1">AVERAGE(OFFSET($CC$3,0,0,'Données projet'!$E$12+1,1))-AVERAGE(OFFSET($H$3,0,0,'Données projet'!$E$12+1,1))</f>
        <v>271.25628946149067</v>
      </c>
      <c r="CE77" s="59">
        <f t="shared" si="94"/>
        <v>292.57799203101769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114.67399504225804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114.67399504225804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5.6843418860808015E-14</v>
      </c>
      <c r="CU77" s="17">
        <f>CT77*VLOOKUP('Données projet'!$B$13,Paramètres!$A$1:$I$89,3,0)*VLOOKUP('Données projet'!$B$13,Paramètres!$A$1:$I$89,5,0)</f>
        <v>3.1036506698001178E-14</v>
      </c>
      <c r="CV77" s="13">
        <f t="shared" si="95"/>
        <v>5.3428243983771088E-13</v>
      </c>
      <c r="CW77" s="20">
        <f t="shared" si="67"/>
        <v>9.8459716521636505E-13</v>
      </c>
      <c r="CX77" s="59">
        <f t="shared" si="68"/>
        <v>293.33333333333428</v>
      </c>
      <c r="CY77" s="59">
        <f ca="1">AVERAGE(OFFSET($CX$3,0,0,'Données projet'!$E$13+1,1))-AVERAGE(OFFSET($H$3,0,0,'Données projet'!$E$13+1,1))</f>
        <v>210.03861149060413</v>
      </c>
      <c r="CZ77" s="59">
        <f t="shared" si="96"/>
        <v>298.74602928001929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68.637607370484304</v>
      </c>
      <c r="DG77" s="21">
        <f>EXP(-LN(2)/25)*DG76+(1-EXP(-LN(2)/25))/(LN(2)/25)*Calculateur!DB77*Calculateur!DD77*VLOOKUP('Données projet'!$B$13,Paramètres!$A$1:$I$89,3,0)*0.475*44/12</f>
        <v>28.76638793120312</v>
      </c>
      <c r="DH77" s="21">
        <f>EXP(-LN(2)/2)*DH76+(1-EXP(-LN(2)/2))/(LN(2)/2)*DB77*DE77*VLOOKUP('Données projet'!$B$13,Paramètres!$A$1:$I$89,3,0)*0.475*44/12</f>
        <v>8.8151968479636134E-3</v>
      </c>
      <c r="DI77" s="22">
        <f t="shared" si="69"/>
        <v>97.412810498535379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-3.4106051316484809E-13</v>
      </c>
      <c r="DP77" s="17">
        <f>DO77*VLOOKUP('Données projet'!$B$14,Paramètres!$A$1:$I$89,3,0)*VLOOKUP('Données projet'!$B$14,Paramètres!$A$1:$I$89,5,0)</f>
        <v>-2.0395418687257919E-13</v>
      </c>
      <c r="DQ77" s="13" t="e">
        <f t="shared" si="97"/>
        <v>#NUM!</v>
      </c>
      <c r="DR77" s="20" t="e">
        <f t="shared" si="70"/>
        <v>#NUM!</v>
      </c>
      <c r="DS77" s="59" t="e">
        <f t="shared" si="71"/>
        <v>#NUM!</v>
      </c>
      <c r="DT77" s="59">
        <f ca="1">AVERAGE(OFFSET($DS$3,0,0,'Données projet'!$E$14+1,1))-AVERAGE(OFFSET($H$3,0,0,'Données projet'!$E$14+1,1))</f>
        <v>402.28353929315114</v>
      </c>
      <c r="DU77" s="59">
        <f t="shared" si="98"/>
        <v>376.94419168335463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191.80782982980688</v>
      </c>
      <c r="EB77" s="21">
        <f>EXP(-LN(2)/25)*EB76+(1-EXP(-LN(2)/25))/(LN(2)/25)*Calculateur!DW77*Calculateur!DY77*VLOOKUP('Données projet'!$B$14,Paramètres!$A$1:$I$89,3,0)*0.475*44/12</f>
        <v>43.645462339291655</v>
      </c>
      <c r="EC77" s="21">
        <f>EXP(-LN(2)/2)*EC76+(1-EXP(-LN(2)/2))/(LN(2)/2)*DW77*DZ77*VLOOKUP('Données projet'!$B$14,Paramètres!$A$1:$I$89,3,0)*0.475*44/12</f>
        <v>9.162068675344317</v>
      </c>
      <c r="ED77" s="22">
        <f t="shared" si="72"/>
        <v>244.61536084444285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>
        <f>EJ77*VLOOKUP('Données projet'!$B$15,Paramètres!$A$1:$I$89,3,0)*VLOOKUP('Données projet'!$B$15,Paramètres!$A$1:$I$89,5,0)</f>
        <v>0</v>
      </c>
      <c r="EL77" s="13" t="e">
        <f t="shared" si="99"/>
        <v>#NUM!</v>
      </c>
      <c r="EM77" s="20" t="e">
        <f t="shared" si="73"/>
        <v>#NUM!</v>
      </c>
      <c r="EN77" s="59" t="e">
        <f t="shared" si="74"/>
        <v>#NUM!</v>
      </c>
      <c r="EO77" s="59">
        <f ca="1">AVERAGE(OFFSET($EN$3,0,0,'Données projet'!$E$15+1,1))-AVERAGE(OFFSET($H$3,0,0,'Données projet'!$E$15+1,1))</f>
        <v>273.3012268683454</v>
      </c>
      <c r="EP77" s="59">
        <f t="shared" si="100"/>
        <v>254.08208375594052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117.56112396576037</v>
      </c>
      <c r="EW77" s="21">
        <f>EXP(-LN(2)/25)*EW76+(1-EXP(-LN(2)/25))/(LN(2)/25)*Calculateur!ER77*Calculateur!ET77*VLOOKUP('Données projet'!$B$15,Paramètres!$A$1:$I$89,3,0)*0.475*44/12</f>
        <v>48.937555714363327</v>
      </c>
      <c r="EX77" s="21">
        <f>EXP(-LN(2)/2)*EX76+(1-EXP(-LN(2)/2))/(LN(2)/2)*ER77*EU77*VLOOKUP('Données projet'!$B$15,Paramètres!$A$1:$I$89,3,0)*0.475*44/12</f>
        <v>13.152822981612433</v>
      </c>
      <c r="EY77" s="22">
        <f t="shared" si="75"/>
        <v>179.65150266173615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312</v>
      </c>
      <c r="L78" s="12">
        <f>VLOOKUP(A78,'Données projet'!$A$35:$I$55,9,0)</f>
        <v>7.6</v>
      </c>
      <c r="M78" s="12">
        <f t="array" ref="M78">INDEX(L:L,MIN(IF(ISNUMBER(L78:L274),ROW(L78:L274),"")))</f>
        <v>7.6</v>
      </c>
      <c r="N78" s="13">
        <f>IF('Données projet'!$A$36&gt;35,N77+M78-V77,IF(A78&lt;'Données projet'!$A$36,$K$205^A78,IF(A78='Données projet'!$A$36,'Données projet'!$B$36,N77+M78-V77)))</f>
        <v>312</v>
      </c>
      <c r="O78" s="13">
        <f>N78*VLOOKUP('Données projet'!$B$9,Paramètres!$A$1:$I$89,3,0)*VLOOKUP('Données projet'!$B$9,Paramètres!$A$1:$I$89,5,0)</f>
        <v>282.29759999999999</v>
      </c>
      <c r="P78" s="13">
        <f t="shared" si="87"/>
        <v>67.452326629470178</v>
      </c>
      <c r="Q78" s="20">
        <f t="shared" si="54"/>
        <v>609.14778887966042</v>
      </c>
      <c r="R78" s="59">
        <f t="shared" si="55"/>
        <v>902.4811222129938</v>
      </c>
      <c r="S78" s="59">
        <f ca="1">AVERAGE(OFFSET($R$3,0,0,'Données projet'!$E$9+1,1))-AVERAGE(OFFSET($H$3,0,0,'Données projet'!$E$9+1,1))</f>
        <v>453.52760163325451</v>
      </c>
      <c r="T78" s="59">
        <f t="shared" si="88"/>
        <v>344.23959526427001</v>
      </c>
      <c r="U78" s="15">
        <f>IF(ISNA(VLOOKUP(A78,'Données projet'!$A$35:$I$55,3,0)),0,VLOOKUP(A78,'Données projet'!$A$35:$I$55,3,0))</f>
        <v>12</v>
      </c>
      <c r="V78" s="15">
        <f>IF(ISNA(VLOOKUP(A78,'Données projet'!$A$35:$I$55,4,0)),0,VLOOKUP(A78,'Données projet'!$A$35:$I$55,4,0))</f>
        <v>28</v>
      </c>
      <c r="W78" s="16">
        <f>IF(ISNA(VLOOKUP(A78,'Données projet'!$A$35:$I$55,5,0)),0%,VLOOKUP(A78,'Données projet'!$A$35:$I$55,5,0)*VLOOKUP('Données projet'!$B$9,Paramètres!$A$1:$I$89,7,0))</f>
        <v>0.215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26.173031896532631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26.173031896532631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335</v>
      </c>
      <c r="AG78" s="12">
        <f>VLOOKUP(A78,'Données projet'!$A$61:$I$81,9,0)</f>
        <v>9.4</v>
      </c>
      <c r="AH78" s="12">
        <f t="array" ref="AH78">INDEX(AG:AG,MIN(IF(ISNUMBER(AG78:AG274),ROW(AG78:AG274),"")))</f>
        <v>9.4</v>
      </c>
      <c r="AI78" s="13">
        <f>IF('Données projet'!$A$62&gt;35,AI77+AH78-AQ77,IF(A78&lt;'Données projet'!$A$62,$AF$205^A78,IF(A78='Données projet'!$A$62,'Données projet'!$B$62,AI77+AH78-AQ77)))</f>
        <v>334.99999999999983</v>
      </c>
      <c r="AJ78" s="13">
        <f>AI78*VLOOKUP('Données projet'!$B$10,Paramètres!$A$1:$I$89,3,0)*VLOOKUP('Données projet'!$B$10,Paramètres!$A$1:$I$89,5,0)</f>
        <v>287.42999999999989</v>
      </c>
      <c r="AK78" s="13">
        <f t="shared" si="89"/>
        <v>68.534780142555746</v>
      </c>
      <c r="AL78" s="20">
        <f t="shared" si="58"/>
        <v>619.97199208161771</v>
      </c>
      <c r="AM78" s="59">
        <f t="shared" si="59"/>
        <v>913.30532541495108</v>
      </c>
      <c r="AN78" s="59">
        <f ca="1">AVERAGE(OFFSET($AM$3,0,0,'Données projet'!$E$10+1,1))-AVERAGE(OFFSET($H$3,0,0,'Données projet'!$E$10+1,1))</f>
        <v>397.45670821030774</v>
      </c>
      <c r="AO78" s="59">
        <f t="shared" si="90"/>
        <v>256.77417912163997</v>
      </c>
      <c r="AP78" s="15">
        <f>IF(ISNA(VLOOKUP(A78,'Données projet'!$A$61:$I$81,3,0)),0,VLOOKUP(A78,'Données projet'!$A$61:$I$81,3,0))</f>
        <v>12</v>
      </c>
      <c r="AQ78" s="15">
        <f>IF(ISNA(VLOOKUP(A78,'Données projet'!$A$61:$I$81,4,0)),0,VLOOKUP(A78,'Données projet'!$A$61:$I$81,4,0))</f>
        <v>28</v>
      </c>
      <c r="AR78" s="16">
        <f>IF(ISNA(VLOOKUP(A78,'Données projet'!$A$61:$I$81,5,0)),0%,VLOOKUP(A78,'Données projet'!$A$61:$I$81,5,0)*VLOOKUP('Données projet'!$B$10,Paramètres!$A$1:$I$89,7,0))</f>
        <v>0.26500000000000001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30.591174008978602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30.591174008978602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>
        <f>BD78*VLOOKUP('Données projet'!$B$11,Paramètres!$A$1:$I$89,3,0)*VLOOKUP('Données projet'!$B$11,Paramètres!$A$1:$I$89,5,0)</f>
        <v>0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293.20194140252903</v>
      </c>
      <c r="BJ78" s="59">
        <f t="shared" si="92"/>
        <v>280.69048279989266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87.807669214502766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87.807669214502766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-1.1368683772161603E-13</v>
      </c>
      <c r="BZ78" s="13">
        <f>BY78*VLOOKUP('Données projet'!$B$12,Paramètres!$A$1:$I$89,3,0)*VLOOKUP('Données projet'!$B$12,Paramètres!$A$1:$I$89,5,0)</f>
        <v>-9.0449248091317723E-14</v>
      </c>
      <c r="CA78" s="13" t="e">
        <f t="shared" si="93"/>
        <v>#NUM!</v>
      </c>
      <c r="CB78" s="20" t="e">
        <f t="shared" si="64"/>
        <v>#NUM!</v>
      </c>
      <c r="CC78" s="59" t="e">
        <f t="shared" si="65"/>
        <v>#NUM!</v>
      </c>
      <c r="CD78" s="59">
        <f ca="1">AVERAGE(OFFSET($CC$3,0,0,'Données projet'!$E$12+1,1))-AVERAGE(OFFSET($H$3,0,0,'Données projet'!$E$12+1,1))</f>
        <v>271.25628946149067</v>
      </c>
      <c r="CE78" s="59">
        <f t="shared" si="94"/>
        <v>292.57799203101769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112.42530794370992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112.42530794370992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5.6843418860808015E-14</v>
      </c>
      <c r="CU78" s="17">
        <f>CT78*VLOOKUP('Données projet'!$B$13,Paramètres!$A$1:$I$89,3,0)*VLOOKUP('Données projet'!$B$13,Paramètres!$A$1:$I$89,5,0)</f>
        <v>3.1036506698001178E-14</v>
      </c>
      <c r="CV78" s="13">
        <f t="shared" si="95"/>
        <v>5.3428243983771088E-13</v>
      </c>
      <c r="CW78" s="20">
        <f t="shared" si="67"/>
        <v>9.8459716521636505E-13</v>
      </c>
      <c r="CX78" s="59">
        <f t="shared" si="68"/>
        <v>293.33333333333428</v>
      </c>
      <c r="CY78" s="59">
        <f ca="1">AVERAGE(OFFSET($CX$3,0,0,'Données projet'!$E$13+1,1))-AVERAGE(OFFSET($H$3,0,0,'Données projet'!$E$13+1,1))</f>
        <v>210.03861149060413</v>
      </c>
      <c r="CZ78" s="59">
        <f t="shared" si="96"/>
        <v>298.74602928001929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67.291665754755797</v>
      </c>
      <c r="DG78" s="21">
        <f>EXP(-LN(2)/25)*DG77+(1-EXP(-LN(2)/25))/(LN(2)/25)*Calculateur!DB78*Calculateur!DD78*VLOOKUP('Données projet'!$B$13,Paramètres!$A$1:$I$89,3,0)*0.475*44/12</f>
        <v>27.979769540465774</v>
      </c>
      <c r="DH78" s="21">
        <f>EXP(-LN(2)/2)*DH77+(1-EXP(-LN(2)/2))/(LN(2)/2)*DB78*DE78*VLOOKUP('Données projet'!$B$13,Paramètres!$A$1:$I$89,3,0)*0.475*44/12</f>
        <v>6.2332854686893502E-3</v>
      </c>
      <c r="DI78" s="22">
        <f t="shared" si="69"/>
        <v>95.277668580690275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-3.4106051316484809E-13</v>
      </c>
      <c r="DP78" s="17">
        <f>DO78*VLOOKUP('Données projet'!$B$14,Paramètres!$A$1:$I$89,3,0)*VLOOKUP('Données projet'!$B$14,Paramètres!$A$1:$I$89,5,0)</f>
        <v>-2.0395418687257919E-13</v>
      </c>
      <c r="DQ78" s="13" t="e">
        <f t="shared" si="97"/>
        <v>#NUM!</v>
      </c>
      <c r="DR78" s="20" t="e">
        <f t="shared" si="70"/>
        <v>#NUM!</v>
      </c>
      <c r="DS78" s="59" t="e">
        <f t="shared" si="71"/>
        <v>#NUM!</v>
      </c>
      <c r="DT78" s="59">
        <f ca="1">AVERAGE(OFFSET($DS$3,0,0,'Données projet'!$E$14+1,1))-AVERAGE(OFFSET($H$3,0,0,'Données projet'!$E$14+1,1))</f>
        <v>402.28353929315114</v>
      </c>
      <c r="DU78" s="59">
        <f t="shared" si="98"/>
        <v>376.94419168335463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188.04659527806865</v>
      </c>
      <c r="EB78" s="21">
        <f>EXP(-LN(2)/25)*EB77+(1-EXP(-LN(2)/25))/(LN(2)/25)*Calculateur!DW78*Calculateur!DY78*VLOOKUP('Données projet'!$B$14,Paramètres!$A$1:$I$89,3,0)*0.475*44/12</f>
        <v>42.451974876408613</v>
      </c>
      <c r="EC78" s="21">
        <f>EXP(-LN(2)/2)*EC77+(1-EXP(-LN(2)/2))/(LN(2)/2)*DW78*DZ78*VLOOKUP('Données projet'!$B$14,Paramètres!$A$1:$I$89,3,0)*0.475*44/12</f>
        <v>6.4785608900328153</v>
      </c>
      <c r="ED78" s="22">
        <f t="shared" si="72"/>
        <v>236.97713104451006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>
        <f>EJ78*VLOOKUP('Données projet'!$B$15,Paramètres!$A$1:$I$89,3,0)*VLOOKUP('Données projet'!$B$15,Paramètres!$A$1:$I$89,5,0)</f>
        <v>0</v>
      </c>
      <c r="EL78" s="13" t="e">
        <f t="shared" si="99"/>
        <v>#NUM!</v>
      </c>
      <c r="EM78" s="20" t="e">
        <f t="shared" si="73"/>
        <v>#NUM!</v>
      </c>
      <c r="EN78" s="59" t="e">
        <f t="shared" si="74"/>
        <v>#NUM!</v>
      </c>
      <c r="EO78" s="59">
        <f ca="1">AVERAGE(OFFSET($EN$3,0,0,'Données projet'!$E$15+1,1))-AVERAGE(OFFSET($H$3,0,0,'Données projet'!$E$15+1,1))</f>
        <v>273.3012268683454</v>
      </c>
      <c r="EP78" s="59">
        <f t="shared" si="100"/>
        <v>254.08208375594052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115.25582202999713</v>
      </c>
      <c r="EW78" s="21">
        <f>EXP(-LN(2)/25)*EW77+(1-EXP(-LN(2)/25))/(LN(2)/25)*Calculateur!ER78*Calculateur!ET78*VLOOKUP('Données projet'!$B$15,Paramètres!$A$1:$I$89,3,0)*0.475*44/12</f>
        <v>47.599355679839853</v>
      </c>
      <c r="EX78" s="21">
        <f>EXP(-LN(2)/2)*EX77+(1-EXP(-LN(2)/2))/(LN(2)/2)*ER78*EU78*VLOOKUP('Données projet'!$B$15,Paramètres!$A$1:$I$89,3,0)*0.475*44/12</f>
        <v>9.3004503220444175</v>
      </c>
      <c r="EY78" s="22">
        <f t="shared" si="75"/>
        <v>172.15562803188141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7.2</v>
      </c>
      <c r="N79" s="13">
        <f>IF('Données projet'!$A$36&gt;35,N78+M79-V78,IF(A79&lt;'Données projet'!$A$36,$K$205^A79,IF(A79='Données projet'!$A$36,'Données projet'!$B$36,N78+M79-V78)))</f>
        <v>291.2</v>
      </c>
      <c r="O79" s="13">
        <f>N79*VLOOKUP('Données projet'!$B$9,Paramètres!$A$1:$I$89,3,0)*VLOOKUP('Données projet'!$B$9,Paramètres!$A$1:$I$89,5,0)</f>
        <v>263.47775999999999</v>
      </c>
      <c r="P79" s="13">
        <f t="shared" si="87"/>
        <v>63.46312159763346</v>
      </c>
      <c r="Q79" s="20">
        <f t="shared" si="54"/>
        <v>569.42203544921153</v>
      </c>
      <c r="R79" s="59">
        <f t="shared" si="55"/>
        <v>862.75536878254479</v>
      </c>
      <c r="S79" s="59">
        <f ca="1">AVERAGE(OFFSET($R$3,0,0,'Données projet'!$E$9+1,1))-AVERAGE(OFFSET($H$3,0,0,'Données projet'!$E$9+1,1))</f>
        <v>453.52760163325451</v>
      </c>
      <c r="T79" s="59">
        <f t="shared" si="88"/>
        <v>344.23959526427001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25.659794705014772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25.659794705014772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8.8000000000000007</v>
      </c>
      <c r="AI79" s="13">
        <f>IF('Données projet'!$A$62&gt;35,AI78+AH79-AQ78,IF(A79&lt;'Données projet'!$A$62,$AF$205^A79,IF(A79='Données projet'!$A$62,'Données projet'!$B$62,AI78+AH79-AQ78)))</f>
        <v>315.79999999999984</v>
      </c>
      <c r="AJ79" s="13">
        <f>AI79*VLOOKUP('Données projet'!$B$10,Paramètres!$A$1:$I$89,3,0)*VLOOKUP('Données projet'!$B$10,Paramètres!$A$1:$I$89,5,0)</f>
        <v>270.95639999999986</v>
      </c>
      <c r="AK79" s="13">
        <f t="shared" si="89"/>
        <v>65.052199716598722</v>
      </c>
      <c r="AL79" s="20">
        <f t="shared" si="58"/>
        <v>585.21497783974257</v>
      </c>
      <c r="AM79" s="59">
        <f t="shared" si="59"/>
        <v>878.54831117307594</v>
      </c>
      <c r="AN79" s="59">
        <f ca="1">AVERAGE(OFFSET($AM$3,0,0,'Données projet'!$E$10+1,1))-AVERAGE(OFFSET($H$3,0,0,'Données projet'!$E$10+1,1))</f>
        <v>397.45670821030774</v>
      </c>
      <c r="AO79" s="59">
        <f t="shared" si="90"/>
        <v>256.77417912163997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29.991299745436276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29.991299745436276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>
        <f>BD79*VLOOKUP('Données projet'!$B$11,Paramètres!$A$1:$I$89,3,0)*VLOOKUP('Données projet'!$B$11,Paramètres!$A$1:$I$89,5,0)</f>
        <v>0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293.20194140252903</v>
      </c>
      <c r="BJ79" s="59">
        <f t="shared" si="92"/>
        <v>280.69048279989266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86.08581437859624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86.08581437859624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-1.1368683772161603E-13</v>
      </c>
      <c r="BZ79" s="13">
        <f>BY79*VLOOKUP('Données projet'!$B$12,Paramètres!$A$1:$I$89,3,0)*VLOOKUP('Données projet'!$B$12,Paramètres!$A$1:$I$89,5,0)</f>
        <v>-9.0449248091317723E-14</v>
      </c>
      <c r="CA79" s="13" t="e">
        <f t="shared" si="93"/>
        <v>#NUM!</v>
      </c>
      <c r="CB79" s="20" t="e">
        <f t="shared" si="64"/>
        <v>#NUM!</v>
      </c>
      <c r="CC79" s="59" t="e">
        <f t="shared" si="65"/>
        <v>#NUM!</v>
      </c>
      <c r="CD79" s="59">
        <f ca="1">AVERAGE(OFFSET($CC$3,0,0,'Données projet'!$E$12+1,1))-AVERAGE(OFFSET($H$3,0,0,'Données projet'!$E$12+1,1))</f>
        <v>271.25628946149067</v>
      </c>
      <c r="CE79" s="59">
        <f t="shared" si="94"/>
        <v>292.57799203101769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110.22071622760063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110.22071622760063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5.6843418860808015E-14</v>
      </c>
      <c r="CU79" s="17">
        <f>CT79*VLOOKUP('Données projet'!$B$13,Paramètres!$A$1:$I$89,3,0)*VLOOKUP('Données projet'!$B$13,Paramètres!$A$1:$I$89,5,0)</f>
        <v>3.1036506698001178E-14</v>
      </c>
      <c r="CV79" s="13">
        <f t="shared" si="95"/>
        <v>5.3428243983771088E-13</v>
      </c>
      <c r="CW79" s="20">
        <f t="shared" si="67"/>
        <v>9.8459716521636505E-13</v>
      </c>
      <c r="CX79" s="59">
        <f t="shared" si="68"/>
        <v>293.33333333333428</v>
      </c>
      <c r="CY79" s="59">
        <f ca="1">AVERAGE(OFFSET($CX$3,0,0,'Données projet'!$E$13+1,1))-AVERAGE(OFFSET($H$3,0,0,'Données projet'!$E$13+1,1))</f>
        <v>210.03861149060413</v>
      </c>
      <c r="CZ79" s="59">
        <f t="shared" si="96"/>
        <v>298.74602928001929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65.972117233168404</v>
      </c>
      <c r="DG79" s="21">
        <f>EXP(-LN(2)/25)*DG78+(1-EXP(-LN(2)/25))/(LN(2)/25)*Calculateur!DB79*Calculateur!DD79*VLOOKUP('Données projet'!$B$13,Paramètres!$A$1:$I$89,3,0)*0.475*44/12</f>
        <v>27.214661270989605</v>
      </c>
      <c r="DH79" s="21">
        <f>EXP(-LN(2)/2)*DH78+(1-EXP(-LN(2)/2))/(LN(2)/2)*DB79*DE79*VLOOKUP('Données projet'!$B$13,Paramètres!$A$1:$I$89,3,0)*0.475*44/12</f>
        <v>4.4075984239818067E-3</v>
      </c>
      <c r="DI79" s="22">
        <f t="shared" si="69"/>
        <v>93.191186102581995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-3.4106051316484809E-13</v>
      </c>
      <c r="DP79" s="17">
        <f>DO79*VLOOKUP('Données projet'!$B$14,Paramètres!$A$1:$I$89,3,0)*VLOOKUP('Données projet'!$B$14,Paramètres!$A$1:$I$89,5,0)</f>
        <v>-2.0395418687257919E-13</v>
      </c>
      <c r="DQ79" s="13" t="e">
        <f t="shared" si="97"/>
        <v>#NUM!</v>
      </c>
      <c r="DR79" s="20" t="e">
        <f t="shared" si="70"/>
        <v>#NUM!</v>
      </c>
      <c r="DS79" s="59" t="e">
        <f t="shared" si="71"/>
        <v>#NUM!</v>
      </c>
      <c r="DT79" s="59">
        <f ca="1">AVERAGE(OFFSET($DS$3,0,0,'Données projet'!$E$14+1,1))-AVERAGE(OFFSET($H$3,0,0,'Données projet'!$E$14+1,1))</f>
        <v>402.28353929315114</v>
      </c>
      <c r="DU79" s="59">
        <f t="shared" si="98"/>
        <v>376.94419168335463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184.35911624176345</v>
      </c>
      <c r="EB79" s="21">
        <f>EXP(-LN(2)/25)*EB78+(1-EXP(-LN(2)/25))/(LN(2)/25)*Calculateur!DW79*Calculateur!DY79*VLOOKUP('Données projet'!$B$14,Paramètres!$A$1:$I$89,3,0)*0.475*44/12</f>
        <v>41.291123390960884</v>
      </c>
      <c r="EC79" s="21">
        <f>EXP(-LN(2)/2)*EC78+(1-EXP(-LN(2)/2))/(LN(2)/2)*DW79*DZ79*VLOOKUP('Données projet'!$B$14,Paramètres!$A$1:$I$89,3,0)*0.475*44/12</f>
        <v>4.5810343376721585</v>
      </c>
      <c r="ED79" s="22">
        <f t="shared" si="72"/>
        <v>230.23127397039647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>
        <f>EJ79*VLOOKUP('Données projet'!$B$15,Paramètres!$A$1:$I$89,3,0)*VLOOKUP('Données projet'!$B$15,Paramètres!$A$1:$I$89,5,0)</f>
        <v>0</v>
      </c>
      <c r="EL79" s="13" t="e">
        <f t="shared" si="99"/>
        <v>#NUM!</v>
      </c>
      <c r="EM79" s="20" t="e">
        <f t="shared" si="73"/>
        <v>#NUM!</v>
      </c>
      <c r="EN79" s="59" t="e">
        <f t="shared" si="74"/>
        <v>#NUM!</v>
      </c>
      <c r="EO79" s="59">
        <f ca="1">AVERAGE(OFFSET($EN$3,0,0,'Données projet'!$E$15+1,1))-AVERAGE(OFFSET($H$3,0,0,'Données projet'!$E$15+1,1))</f>
        <v>273.3012268683454</v>
      </c>
      <c r="EP79" s="59">
        <f t="shared" si="100"/>
        <v>254.08208375594052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112.99572565909887</v>
      </c>
      <c r="EW79" s="21">
        <f>EXP(-LN(2)/25)*EW78+(1-EXP(-LN(2)/25))/(LN(2)/25)*Calculateur!ER79*Calculateur!ET79*VLOOKUP('Données projet'!$B$15,Paramètres!$A$1:$I$89,3,0)*0.475*44/12</f>
        <v>46.297748795633304</v>
      </c>
      <c r="EX79" s="21">
        <f>EXP(-LN(2)/2)*EX78+(1-EXP(-LN(2)/2))/(LN(2)/2)*ER79*EU79*VLOOKUP('Données projet'!$B$15,Paramètres!$A$1:$I$89,3,0)*0.475*44/12</f>
        <v>6.5764114908062181</v>
      </c>
      <c r="EY79" s="22">
        <f t="shared" si="75"/>
        <v>165.86988594553839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7.2</v>
      </c>
      <c r="N80" s="13">
        <f>IF('Données projet'!$A$36&gt;35,N79+M80-V79,IF(A80&lt;'Données projet'!$A$36,$K$205^A80,IF(A80='Données projet'!$A$36,'Données projet'!$B$36,N79+M80-V79)))</f>
        <v>298.39999999999998</v>
      </c>
      <c r="O80" s="13">
        <f>N80*VLOOKUP('Données projet'!$B$9,Paramètres!$A$1:$I$89,3,0)*VLOOKUP('Données projet'!$B$9,Paramètres!$A$1:$I$89,5,0)</f>
        <v>269.99231999999995</v>
      </c>
      <c r="P80" s="13">
        <f t="shared" si="87"/>
        <v>64.847639395310239</v>
      </c>
      <c r="Q80" s="20">
        <f t="shared" si="54"/>
        <v>583.17959594683191</v>
      </c>
      <c r="R80" s="59">
        <f t="shared" si="55"/>
        <v>876.51292928016528</v>
      </c>
      <c r="S80" s="59">
        <f ca="1">AVERAGE(OFFSET($R$3,0,0,'Données projet'!$E$9+1,1))-AVERAGE(OFFSET($H$3,0,0,'Données projet'!$E$9+1,1))</f>
        <v>453.52760163325451</v>
      </c>
      <c r="T80" s="59">
        <f t="shared" si="88"/>
        <v>344.23959526427001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25.156621781778799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25.156621781778799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8.8000000000000007</v>
      </c>
      <c r="AI80" s="13">
        <f>IF('Données projet'!$A$62&gt;35,AI79+AH80-AQ79,IF(A80&lt;'Données projet'!$A$62,$AF$205^A80,IF(A80='Données projet'!$A$62,'Données projet'!$B$62,AI79+AH80-AQ79)))</f>
        <v>324.59999999999985</v>
      </c>
      <c r="AJ80" s="13">
        <f>AI80*VLOOKUP('Données projet'!$B$10,Paramètres!$A$1:$I$89,3,0)*VLOOKUP('Données projet'!$B$10,Paramètres!$A$1:$I$89,5,0)</f>
        <v>278.50679999999994</v>
      </c>
      <c r="AK80" s="13">
        <f t="shared" si="89"/>
        <v>66.651354661909949</v>
      </c>
      <c r="AL80" s="20">
        <f t="shared" si="58"/>
        <v>601.15045270282633</v>
      </c>
      <c r="AM80" s="59">
        <f t="shared" si="59"/>
        <v>894.4837860361597</v>
      </c>
      <c r="AN80" s="59">
        <f ca="1">AVERAGE(OFFSET($AM$3,0,0,'Données projet'!$E$10+1,1))-AVERAGE(OFFSET($H$3,0,0,'Données projet'!$E$10+1,1))</f>
        <v>397.45670821030774</v>
      </c>
      <c r="AO80" s="59">
        <f t="shared" si="90"/>
        <v>256.77417912163997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29.403188650314842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29.403188650314842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>
        <f>BD80*VLOOKUP('Données projet'!$B$11,Paramètres!$A$1:$I$89,3,0)*VLOOKUP('Données projet'!$B$11,Paramètres!$A$1:$I$89,5,0)</f>
        <v>0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293.20194140252903</v>
      </c>
      <c r="BJ80" s="59">
        <f t="shared" si="92"/>
        <v>280.69048279989266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84.39772406579408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84.39772406579408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-1.1368683772161603E-13</v>
      </c>
      <c r="BZ80" s="13">
        <f>BY80*VLOOKUP('Données projet'!$B$12,Paramètres!$A$1:$I$89,3,0)*VLOOKUP('Données projet'!$B$12,Paramètres!$A$1:$I$89,5,0)</f>
        <v>-9.0449248091317723E-14</v>
      </c>
      <c r="CA80" s="13" t="e">
        <f t="shared" si="93"/>
        <v>#NUM!</v>
      </c>
      <c r="CB80" s="20" t="e">
        <f t="shared" si="64"/>
        <v>#NUM!</v>
      </c>
      <c r="CC80" s="59" t="e">
        <f t="shared" si="65"/>
        <v>#NUM!</v>
      </c>
      <c r="CD80" s="59">
        <f ca="1">AVERAGE(OFFSET($CC$3,0,0,'Données projet'!$E$12+1,1))-AVERAGE(OFFSET($H$3,0,0,'Données projet'!$E$12+1,1))</f>
        <v>271.25628946149067</v>
      </c>
      <c r="CE80" s="59">
        <f t="shared" si="94"/>
        <v>292.57799203101769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108.05935521037607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108.05935521037607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5.6843418860808015E-14</v>
      </c>
      <c r="CU80" s="17">
        <f>CT80*VLOOKUP('Données projet'!$B$13,Paramètres!$A$1:$I$89,3,0)*VLOOKUP('Données projet'!$B$13,Paramètres!$A$1:$I$89,5,0)</f>
        <v>3.1036506698001178E-14</v>
      </c>
      <c r="CV80" s="13">
        <f t="shared" si="95"/>
        <v>5.3428243983771088E-13</v>
      </c>
      <c r="CW80" s="20">
        <f t="shared" si="67"/>
        <v>9.8459716521636505E-13</v>
      </c>
      <c r="CX80" s="59">
        <f t="shared" si="68"/>
        <v>293.33333333333428</v>
      </c>
      <c r="CY80" s="59">
        <f ca="1">AVERAGE(OFFSET($CX$3,0,0,'Données projet'!$E$13+1,1))-AVERAGE(OFFSET($H$3,0,0,'Données projet'!$E$13+1,1))</f>
        <v>210.03861149060413</v>
      </c>
      <c r="CZ80" s="59">
        <f t="shared" si="96"/>
        <v>298.74602928001929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64.678444253244209</v>
      </c>
      <c r="DG80" s="21">
        <f>EXP(-LN(2)/25)*DG79+(1-EXP(-LN(2)/25))/(LN(2)/25)*Calculateur!DB80*Calculateur!DD80*VLOOKUP('Données projet'!$B$13,Paramètres!$A$1:$I$89,3,0)*0.475*44/12</f>
        <v>26.470474927377559</v>
      </c>
      <c r="DH80" s="21">
        <f>EXP(-LN(2)/2)*DH79+(1-EXP(-LN(2)/2))/(LN(2)/2)*DB80*DE80*VLOOKUP('Données projet'!$B$13,Paramètres!$A$1:$I$89,3,0)*0.475*44/12</f>
        <v>3.1166427343446751E-3</v>
      </c>
      <c r="DI80" s="22">
        <f t="shared" si="69"/>
        <v>91.152035823356101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-3.4106051316484809E-13</v>
      </c>
      <c r="DP80" s="17">
        <f>DO80*VLOOKUP('Données projet'!$B$14,Paramètres!$A$1:$I$89,3,0)*VLOOKUP('Données projet'!$B$14,Paramètres!$A$1:$I$89,5,0)</f>
        <v>-2.0395418687257919E-13</v>
      </c>
      <c r="DQ80" s="13" t="e">
        <f t="shared" si="97"/>
        <v>#NUM!</v>
      </c>
      <c r="DR80" s="20" t="e">
        <f t="shared" si="70"/>
        <v>#NUM!</v>
      </c>
      <c r="DS80" s="59" t="e">
        <f t="shared" si="71"/>
        <v>#NUM!</v>
      </c>
      <c r="DT80" s="59">
        <f ca="1">AVERAGE(OFFSET($DS$3,0,0,'Données projet'!$E$14+1,1))-AVERAGE(OFFSET($H$3,0,0,'Données projet'!$E$14+1,1))</f>
        <v>402.28353929315114</v>
      </c>
      <c r="DU80" s="59">
        <f t="shared" si="98"/>
        <v>376.94419168335463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180.74394642022006</v>
      </c>
      <c r="EB80" s="21">
        <f>EXP(-LN(2)/25)*EB79+(1-EXP(-LN(2)/25))/(LN(2)/25)*Calculateur!DW80*Calculateur!DY80*VLOOKUP('Données projet'!$B$14,Paramètres!$A$1:$I$89,3,0)*0.475*44/12</f>
        <v>40.162015450429251</v>
      </c>
      <c r="EC80" s="21">
        <f>EXP(-LN(2)/2)*EC79+(1-EXP(-LN(2)/2))/(LN(2)/2)*DW80*DZ80*VLOOKUP('Données projet'!$B$14,Paramètres!$A$1:$I$89,3,0)*0.475*44/12</f>
        <v>3.2392804450164077</v>
      </c>
      <c r="ED80" s="22">
        <f t="shared" si="72"/>
        <v>224.14524231566574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>
        <f>EJ80*VLOOKUP('Données projet'!$B$15,Paramètres!$A$1:$I$89,3,0)*VLOOKUP('Données projet'!$B$15,Paramètres!$A$1:$I$89,5,0)</f>
        <v>0</v>
      </c>
      <c r="EL80" s="13" t="e">
        <f t="shared" si="99"/>
        <v>#NUM!</v>
      </c>
      <c r="EM80" s="20" t="e">
        <f t="shared" si="73"/>
        <v>#NUM!</v>
      </c>
      <c r="EN80" s="59" t="e">
        <f t="shared" si="74"/>
        <v>#NUM!</v>
      </c>
      <c r="EO80" s="59">
        <f ca="1">AVERAGE(OFFSET($EN$3,0,0,'Données projet'!$E$15+1,1))-AVERAGE(OFFSET($H$3,0,0,'Données projet'!$E$15+1,1))</f>
        <v>273.3012268683454</v>
      </c>
      <c r="EP80" s="59">
        <f t="shared" si="100"/>
        <v>254.08208375594052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110.77994839951124</v>
      </c>
      <c r="EW80" s="21">
        <f>EXP(-LN(2)/25)*EW79+(1-EXP(-LN(2)/25))/(LN(2)/25)*Calculateur!ER80*Calculateur!ET80*VLOOKUP('Données projet'!$B$15,Paramètres!$A$1:$I$89,3,0)*0.475*44/12</f>
        <v>45.031734420123918</v>
      </c>
      <c r="EX80" s="21">
        <f>EXP(-LN(2)/2)*EX79+(1-EXP(-LN(2)/2))/(LN(2)/2)*ER80*EU80*VLOOKUP('Données projet'!$B$15,Paramètres!$A$1:$I$89,3,0)*0.475*44/12</f>
        <v>4.6502251610222096</v>
      </c>
      <c r="EY80" s="22">
        <f t="shared" si="75"/>
        <v>160.46190798065737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7.2</v>
      </c>
      <c r="N81" s="13">
        <f>IF('Données projet'!$A$36&gt;35,N80+M81-V80,IF(A81&lt;'Données projet'!$A$36,$K$205^A81,IF(A81='Données projet'!$A$36,'Données projet'!$B$36,N80+M81-V80)))</f>
        <v>305.59999999999997</v>
      </c>
      <c r="O81" s="13">
        <f>N81*VLOOKUP('Données projet'!$B$9,Paramètres!$A$1:$I$89,3,0)*VLOOKUP('Données projet'!$B$9,Paramètres!$A$1:$I$89,5,0)</f>
        <v>276.50687999999997</v>
      </c>
      <c r="P81" s="13">
        <f t="shared" si="87"/>
        <v>66.228273722513677</v>
      </c>
      <c r="Q81" s="20">
        <f t="shared" si="54"/>
        <v>596.93039273337797</v>
      </c>
      <c r="R81" s="59">
        <f t="shared" si="55"/>
        <v>890.26372606671134</v>
      </c>
      <c r="S81" s="59">
        <f ca="1">AVERAGE(OFFSET($R$3,0,0,'Données projet'!$E$9+1,1))-AVERAGE(OFFSET($H$3,0,0,'Données projet'!$E$9+1,1))</f>
        <v>453.52760163325451</v>
      </c>
      <c r="T81" s="59">
        <f t="shared" si="88"/>
        <v>344.23959526427001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24.663315772662308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24.663315772662308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8.8000000000000007</v>
      </c>
      <c r="AI81" s="13">
        <f>IF('Données projet'!$A$62&gt;35,AI80+AH81-AQ80,IF(A81&lt;'Données projet'!$A$62,$AF$205^A81,IF(A81='Données projet'!$A$62,'Données projet'!$B$62,AI80+AH81-AQ80)))</f>
        <v>333.39999999999986</v>
      </c>
      <c r="AJ81" s="13">
        <f>AI81*VLOOKUP('Données projet'!$B$10,Paramètres!$A$1:$I$89,3,0)*VLOOKUP('Données projet'!$B$10,Paramètres!$A$1:$I$89,5,0)</f>
        <v>286.05719999999991</v>
      </c>
      <c r="AK81" s="13">
        <f t="shared" si="89"/>
        <v>68.24547055517067</v>
      </c>
      <c r="AL81" s="20">
        <f t="shared" si="58"/>
        <v>617.07715121692206</v>
      </c>
      <c r="AM81" s="59">
        <f t="shared" si="59"/>
        <v>910.41048455025543</v>
      </c>
      <c r="AN81" s="59">
        <f ca="1">AVERAGE(OFFSET($AM$3,0,0,'Données projet'!$E$10+1,1))-AVERAGE(OFFSET($H$3,0,0,'Données projet'!$E$10+1,1))</f>
        <v>397.45670821030774</v>
      </c>
      <c r="AO81" s="59">
        <f t="shared" si="90"/>
        <v>256.77417912163997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28.826610055056392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28.826610055056392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>
        <f>BD81*VLOOKUP('Données projet'!$B$11,Paramètres!$A$1:$I$89,3,0)*VLOOKUP('Données projet'!$B$11,Paramètres!$A$1:$I$89,5,0)</f>
        <v>0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293.20194140252903</v>
      </c>
      <c r="BJ81" s="59">
        <f t="shared" si="92"/>
        <v>280.69048279989266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82.742736174392547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82.742736174392547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-1.1368683772161603E-13</v>
      </c>
      <c r="BZ81" s="13">
        <f>BY81*VLOOKUP('Données projet'!$B$12,Paramètres!$A$1:$I$89,3,0)*VLOOKUP('Données projet'!$B$12,Paramètres!$A$1:$I$89,5,0)</f>
        <v>-9.0449248091317723E-14</v>
      </c>
      <c r="CA81" s="13" t="e">
        <f t="shared" si="93"/>
        <v>#NUM!</v>
      </c>
      <c r="CB81" s="20" t="e">
        <f t="shared" si="64"/>
        <v>#NUM!</v>
      </c>
      <c r="CC81" s="59" t="e">
        <f t="shared" si="65"/>
        <v>#NUM!</v>
      </c>
      <c r="CD81" s="59">
        <f ca="1">AVERAGE(OFFSET($CC$3,0,0,'Données projet'!$E$12+1,1))-AVERAGE(OFFSET($H$3,0,0,'Données projet'!$E$12+1,1))</f>
        <v>271.25628946149067</v>
      </c>
      <c r="CE81" s="59">
        <f t="shared" si="94"/>
        <v>292.57799203101769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105.94037716439924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105.94037716439924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5.6843418860808015E-14</v>
      </c>
      <c r="CU81" s="17">
        <f>CT81*VLOOKUP('Données projet'!$B$13,Paramètres!$A$1:$I$89,3,0)*VLOOKUP('Données projet'!$B$13,Paramètres!$A$1:$I$89,5,0)</f>
        <v>3.1036506698001178E-14</v>
      </c>
      <c r="CV81" s="13">
        <f t="shared" si="95"/>
        <v>5.3428243983771088E-13</v>
      </c>
      <c r="CW81" s="20">
        <f t="shared" si="67"/>
        <v>9.8459716521636505E-13</v>
      </c>
      <c r="CX81" s="59">
        <f t="shared" si="68"/>
        <v>293.33333333333428</v>
      </c>
      <c r="CY81" s="59">
        <f ca="1">AVERAGE(OFFSET($CX$3,0,0,'Données projet'!$E$13+1,1))-AVERAGE(OFFSET($H$3,0,0,'Données projet'!$E$13+1,1))</f>
        <v>210.03861149060413</v>
      </c>
      <c r="CZ81" s="59">
        <f t="shared" si="96"/>
        <v>298.74602928001929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63.410139411393722</v>
      </c>
      <c r="DG81" s="21">
        <f>EXP(-LN(2)/25)*DG80+(1-EXP(-LN(2)/25))/(LN(2)/25)*Calculateur!DB81*Calculateur!DD81*VLOOKUP('Données projet'!$B$13,Paramètres!$A$1:$I$89,3,0)*0.475*44/12</f>
        <v>25.746638398466644</v>
      </c>
      <c r="DH81" s="21">
        <f>EXP(-LN(2)/2)*DH80+(1-EXP(-LN(2)/2))/(LN(2)/2)*DB81*DE81*VLOOKUP('Données projet'!$B$13,Paramètres!$A$1:$I$89,3,0)*0.475*44/12</f>
        <v>2.2037992119909033E-3</v>
      </c>
      <c r="DI81" s="22">
        <f t="shared" si="69"/>
        <v>89.158981609072356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-3.4106051316484809E-13</v>
      </c>
      <c r="DP81" s="17">
        <f>DO81*VLOOKUP('Données projet'!$B$14,Paramètres!$A$1:$I$89,3,0)*VLOOKUP('Données projet'!$B$14,Paramètres!$A$1:$I$89,5,0)</f>
        <v>-2.0395418687257919E-13</v>
      </c>
      <c r="DQ81" s="13" t="e">
        <f t="shared" si="97"/>
        <v>#NUM!</v>
      </c>
      <c r="DR81" s="20" t="e">
        <f t="shared" si="70"/>
        <v>#NUM!</v>
      </c>
      <c r="DS81" s="59" t="e">
        <f t="shared" si="71"/>
        <v>#NUM!</v>
      </c>
      <c r="DT81" s="59">
        <f ca="1">AVERAGE(OFFSET($DS$3,0,0,'Données projet'!$E$14+1,1))-AVERAGE(OFFSET($H$3,0,0,'Données projet'!$E$14+1,1))</f>
        <v>402.28353929315114</v>
      </c>
      <c r="DU81" s="59">
        <f t="shared" si="98"/>
        <v>376.94419168335463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177.19966787384126</v>
      </c>
      <c r="EB81" s="21">
        <f>EXP(-LN(2)/25)*EB80+(1-EXP(-LN(2)/25))/(LN(2)/25)*Calculateur!DW81*Calculateur!DY81*VLOOKUP('Données projet'!$B$14,Paramètres!$A$1:$I$89,3,0)*0.475*44/12</f>
        <v>39.063783025908663</v>
      </c>
      <c r="EC81" s="21">
        <f>EXP(-LN(2)/2)*EC80+(1-EXP(-LN(2)/2))/(LN(2)/2)*DW81*DZ81*VLOOKUP('Données projet'!$B$14,Paramètres!$A$1:$I$89,3,0)*0.475*44/12</f>
        <v>2.2905171688360793</v>
      </c>
      <c r="ED81" s="22">
        <f t="shared" si="72"/>
        <v>218.55396806858602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>
        <f>EJ81*VLOOKUP('Données projet'!$B$15,Paramètres!$A$1:$I$89,3,0)*VLOOKUP('Données projet'!$B$15,Paramètres!$A$1:$I$89,5,0)</f>
        <v>0</v>
      </c>
      <c r="EL81" s="13" t="e">
        <f t="shared" si="99"/>
        <v>#NUM!</v>
      </c>
      <c r="EM81" s="20" t="e">
        <f t="shared" si="73"/>
        <v>#NUM!</v>
      </c>
      <c r="EN81" s="59" t="e">
        <f t="shared" si="74"/>
        <v>#NUM!</v>
      </c>
      <c r="EO81" s="59">
        <f ca="1">AVERAGE(OFFSET($EN$3,0,0,'Données projet'!$E$15+1,1))-AVERAGE(OFFSET($H$3,0,0,'Données projet'!$E$15+1,1))</f>
        <v>273.3012268683454</v>
      </c>
      <c r="EP81" s="59">
        <f t="shared" si="100"/>
        <v>254.08208375594052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108.60762118049345</v>
      </c>
      <c r="EW81" s="21">
        <f>EXP(-LN(2)/25)*EW80+(1-EXP(-LN(2)/25))/(LN(2)/25)*Calculateur!ER81*Calculateur!ET81*VLOOKUP('Données projet'!$B$15,Paramètres!$A$1:$I$89,3,0)*0.475*44/12</f>
        <v>43.800339274289641</v>
      </c>
      <c r="EX81" s="21">
        <f>EXP(-LN(2)/2)*EX80+(1-EXP(-LN(2)/2))/(LN(2)/2)*ER81*EU81*VLOOKUP('Données projet'!$B$15,Paramètres!$A$1:$I$89,3,0)*0.475*44/12</f>
        <v>3.2882057454031095</v>
      </c>
      <c r="EY81" s="22">
        <f t="shared" si="75"/>
        <v>155.69616620018621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7.2</v>
      </c>
      <c r="N82" s="13">
        <f>IF('Données projet'!$A$36&gt;35,N81+M82-V81,IF(A82&lt;'Données projet'!$A$36,$K$205^A82,IF(A82='Données projet'!$A$36,'Données projet'!$B$36,N81+M82-V81)))</f>
        <v>312.79999999999995</v>
      </c>
      <c r="O82" s="13">
        <f>N82*VLOOKUP('Données projet'!$B$9,Paramètres!$A$1:$I$89,3,0)*VLOOKUP('Données projet'!$B$9,Paramètres!$A$1:$I$89,5,0)</f>
        <v>283.02143999999993</v>
      </c>
      <c r="P82" s="13">
        <f t="shared" si="87"/>
        <v>67.605126603830598</v>
      </c>
      <c r="Q82" s="20">
        <f t="shared" si="54"/>
        <v>610.67460350167141</v>
      </c>
      <c r="R82" s="59">
        <f t="shared" si="55"/>
        <v>904.00793683500478</v>
      </c>
      <c r="S82" s="59">
        <f ca="1">AVERAGE(OFFSET($R$3,0,0,'Données projet'!$E$9+1,1))-AVERAGE(OFFSET($H$3,0,0,'Données projet'!$E$9+1,1))</f>
        <v>453.52760163325451</v>
      </c>
      <c r="T82" s="59">
        <f t="shared" si="88"/>
        <v>344.23959526427001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24.179683193497635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24.179683193497635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8.8000000000000007</v>
      </c>
      <c r="AI82" s="13">
        <f>IF('Données projet'!$A$62&gt;35,AI81+AH82-AQ81,IF(A82&lt;'Données projet'!$A$62,$AF$205^A82,IF(A82='Données projet'!$A$62,'Données projet'!$B$62,AI81+AH82-AQ81)))</f>
        <v>342.19999999999987</v>
      </c>
      <c r="AJ82" s="13">
        <f>AI82*VLOOKUP('Données projet'!$B$10,Paramètres!$A$1:$I$89,3,0)*VLOOKUP('Données projet'!$B$10,Paramètres!$A$1:$I$89,5,0)</f>
        <v>293.60759999999993</v>
      </c>
      <c r="AK82" s="13">
        <f t="shared" si="89"/>
        <v>69.834695689453682</v>
      </c>
      <c r="AL82" s="20">
        <f t="shared" si="58"/>
        <v>632.99533165913169</v>
      </c>
      <c r="AM82" s="59">
        <f t="shared" si="59"/>
        <v>926.32866499246506</v>
      </c>
      <c r="AN82" s="59">
        <f ca="1">AVERAGE(OFFSET($AM$3,0,0,'Données projet'!$E$10+1,1))-AVERAGE(OFFSET($H$3,0,0,'Données projet'!$E$10+1,1))</f>
        <v>397.45670821030774</v>
      </c>
      <c r="AO82" s="59">
        <f t="shared" si="90"/>
        <v>256.77417912163997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28.261337814372741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28.261337814372741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>
        <f>BD82*VLOOKUP('Données projet'!$B$11,Paramètres!$A$1:$I$89,3,0)*VLOOKUP('Données projet'!$B$11,Paramètres!$A$1:$I$89,5,0)</f>
        <v>0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293.20194140252903</v>
      </c>
      <c r="BJ82" s="59">
        <f t="shared" si="92"/>
        <v>280.69048279989266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81.12020158609846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81.12020158609846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-1.1368683772161603E-13</v>
      </c>
      <c r="BZ82" s="13">
        <f>BY82*VLOOKUP('Données projet'!$B$12,Paramètres!$A$1:$I$89,3,0)*VLOOKUP('Données projet'!$B$12,Paramètres!$A$1:$I$89,5,0)</f>
        <v>-9.0449248091317723E-14</v>
      </c>
      <c r="CA82" s="13" t="e">
        <f t="shared" si="93"/>
        <v>#NUM!</v>
      </c>
      <c r="CB82" s="20" t="e">
        <f t="shared" si="64"/>
        <v>#NUM!</v>
      </c>
      <c r="CC82" s="59" t="e">
        <f t="shared" si="65"/>
        <v>#NUM!</v>
      </c>
      <c r="CD82" s="59">
        <f ca="1">AVERAGE(OFFSET($CC$3,0,0,'Données projet'!$E$12+1,1))-AVERAGE(OFFSET($H$3,0,0,'Données projet'!$E$12+1,1))</f>
        <v>271.25628946149067</v>
      </c>
      <c r="CE82" s="59">
        <f t="shared" si="94"/>
        <v>292.57799203101769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103.86295098545502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103.86295098545502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5.6843418860808015E-14</v>
      </c>
      <c r="CU82" s="17">
        <f>CT82*VLOOKUP('Données projet'!$B$13,Paramètres!$A$1:$I$89,3,0)*VLOOKUP('Données projet'!$B$13,Paramètres!$A$1:$I$89,5,0)</f>
        <v>3.1036506698001178E-14</v>
      </c>
      <c r="CV82" s="13">
        <f t="shared" si="95"/>
        <v>5.3428243983771088E-13</v>
      </c>
      <c r="CW82" s="20">
        <f t="shared" si="67"/>
        <v>9.8459716521636505E-13</v>
      </c>
      <c r="CX82" s="59">
        <f t="shared" si="68"/>
        <v>293.33333333333428</v>
      </c>
      <c r="CY82" s="59">
        <f ca="1">AVERAGE(OFFSET($CX$3,0,0,'Données projet'!$E$13+1,1))-AVERAGE(OFFSET($H$3,0,0,'Données projet'!$E$13+1,1))</f>
        <v>210.03861149060413</v>
      </c>
      <c r="CZ82" s="59">
        <f t="shared" si="96"/>
        <v>298.74602928001929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62.166705253902357</v>
      </c>
      <c r="DG82" s="21">
        <f>EXP(-LN(2)/25)*DG81+(1-EXP(-LN(2)/25))/(LN(2)/25)*Calculateur!DB82*Calculateur!DD82*VLOOKUP('Données projet'!$B$13,Paramètres!$A$1:$I$89,3,0)*0.475*44/12</f>
        <v>25.042595217503706</v>
      </c>
      <c r="DH82" s="21">
        <f>EXP(-LN(2)/2)*DH81+(1-EXP(-LN(2)/2))/(LN(2)/2)*DB82*DE82*VLOOKUP('Données projet'!$B$13,Paramètres!$A$1:$I$89,3,0)*0.475*44/12</f>
        <v>1.5583213671723376E-3</v>
      </c>
      <c r="DI82" s="22">
        <f t="shared" si="69"/>
        <v>87.210858792773237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-3.4106051316484809E-13</v>
      </c>
      <c r="DP82" s="17">
        <f>DO82*VLOOKUP('Données projet'!$B$14,Paramètres!$A$1:$I$89,3,0)*VLOOKUP('Données projet'!$B$14,Paramètres!$A$1:$I$89,5,0)</f>
        <v>-2.0395418687257919E-13</v>
      </c>
      <c r="DQ82" s="13" t="e">
        <f t="shared" si="97"/>
        <v>#NUM!</v>
      </c>
      <c r="DR82" s="20" t="e">
        <f t="shared" si="70"/>
        <v>#NUM!</v>
      </c>
      <c r="DS82" s="59" t="e">
        <f t="shared" si="71"/>
        <v>#NUM!</v>
      </c>
      <c r="DT82" s="59">
        <f ca="1">AVERAGE(OFFSET($DS$3,0,0,'Données projet'!$E$14+1,1))-AVERAGE(OFFSET($H$3,0,0,'Données projet'!$E$14+1,1))</f>
        <v>402.28353929315114</v>
      </c>
      <c r="DU82" s="59">
        <f t="shared" si="98"/>
        <v>376.94419168335463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173.72489046796051</v>
      </c>
      <c r="EB82" s="21">
        <f>EXP(-LN(2)/25)*EB81+(1-EXP(-LN(2)/25))/(LN(2)/25)*Calculateur!DW82*Calculateur!DY82*VLOOKUP('Données projet'!$B$14,Paramètres!$A$1:$I$89,3,0)*0.475*44/12</f>
        <v>37.995581824790122</v>
      </c>
      <c r="EC82" s="21">
        <f>EXP(-LN(2)/2)*EC81+(1-EXP(-LN(2)/2))/(LN(2)/2)*DW82*DZ82*VLOOKUP('Données projet'!$B$14,Paramètres!$A$1:$I$89,3,0)*0.475*44/12</f>
        <v>1.6196402225082038</v>
      </c>
      <c r="ED82" s="22">
        <f t="shared" si="72"/>
        <v>213.34011251525882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>
        <f>EJ82*VLOOKUP('Données projet'!$B$15,Paramètres!$A$1:$I$89,3,0)*VLOOKUP('Données projet'!$B$15,Paramètres!$A$1:$I$89,5,0)</f>
        <v>0</v>
      </c>
      <c r="EL82" s="13" t="e">
        <f t="shared" si="99"/>
        <v>#NUM!</v>
      </c>
      <c r="EM82" s="20" t="e">
        <f t="shared" si="73"/>
        <v>#NUM!</v>
      </c>
      <c r="EN82" s="59" t="e">
        <f t="shared" si="74"/>
        <v>#NUM!</v>
      </c>
      <c r="EO82" s="59">
        <f ca="1">AVERAGE(OFFSET($EN$3,0,0,'Données projet'!$E$15+1,1))-AVERAGE(OFFSET($H$3,0,0,'Données projet'!$E$15+1,1))</f>
        <v>273.3012268683454</v>
      </c>
      <c r="EP82" s="59">
        <f t="shared" si="100"/>
        <v>254.08208375594052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106.47789197325183</v>
      </c>
      <c r="EW82" s="21">
        <f>EXP(-LN(2)/25)*EW81+(1-EXP(-LN(2)/25))/(LN(2)/25)*Calculateur!ER82*Calculateur!ET82*VLOOKUP('Données projet'!$B$15,Paramètres!$A$1:$I$89,3,0)*0.475*44/12</f>
        <v>42.602616693474452</v>
      </c>
      <c r="EX82" s="21">
        <f>EXP(-LN(2)/2)*EX81+(1-EXP(-LN(2)/2))/(LN(2)/2)*ER82*EU82*VLOOKUP('Données projet'!$B$15,Paramètres!$A$1:$I$89,3,0)*0.475*44/12</f>
        <v>2.3251125805111053</v>
      </c>
      <c r="EY82" s="22">
        <f t="shared" si="75"/>
        <v>151.40562124723738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320</v>
      </c>
      <c r="L83" s="12">
        <f>VLOOKUP(A83,'Données projet'!$A$35:$I$55,9,0)</f>
        <v>7.2</v>
      </c>
      <c r="M83" s="12">
        <f t="array" ref="M83">INDEX(L:L,MIN(IF(ISNUMBER(L83:L279),ROW(L83:L279),"")))</f>
        <v>7.2</v>
      </c>
      <c r="N83" s="13">
        <f>IF('Données projet'!$A$36&gt;35,N82+M83-V82,IF(A83&lt;'Données projet'!$A$36,$K$205^A83,IF(A83='Données projet'!$A$36,'Données projet'!$B$36,N82+M83-V82)))</f>
        <v>319.99999999999994</v>
      </c>
      <c r="O83" s="13">
        <f>N83*VLOOKUP('Données projet'!$B$9,Paramètres!$A$1:$I$89,3,0)*VLOOKUP('Données projet'!$B$9,Paramètres!$A$1:$I$89,5,0)</f>
        <v>289.53599999999994</v>
      </c>
      <c r="P83" s="13">
        <f t="shared" si="87"/>
        <v>68.97829509904436</v>
      </c>
      <c r="Q83" s="20">
        <f t="shared" si="54"/>
        <v>624.41239729750214</v>
      </c>
      <c r="R83" s="59">
        <f t="shared" si="55"/>
        <v>917.7457306308354</v>
      </c>
      <c r="S83" s="59">
        <f ca="1">AVERAGE(OFFSET($R$3,0,0,'Données projet'!$E$9+1,1))-AVERAGE(OFFSET($H$3,0,0,'Données projet'!$E$9+1,1))</f>
        <v>453.52760163325451</v>
      </c>
      <c r="T83" s="59">
        <f t="shared" si="88"/>
        <v>344.23959526427001</v>
      </c>
      <c r="U83" s="15">
        <f>IF(ISNA(VLOOKUP(A83,'Données projet'!$A$35:$I$55,3,0)),0,VLOOKUP(A83,'Données projet'!$A$35:$I$55,3,0))</f>
        <v>13</v>
      </c>
      <c r="V83" s="15">
        <f>IF(ISNA(VLOOKUP(A83,'Données projet'!$A$35:$I$55,4,0)),0,VLOOKUP(A83,'Données projet'!$A$35:$I$55,4,0))</f>
        <v>28</v>
      </c>
      <c r="W83" s="16">
        <f>IF(ISNA(VLOOKUP(A83,'Données projet'!$A$35:$I$55,5,0)),0%,VLOOKUP(A83,'Données projet'!$A$35:$I$55,5,0)*VLOOKUP('Données projet'!$B$9,Paramètres!$A$1:$I$89,7,0))</f>
        <v>0.25800000000000001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30.931192980299443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30.931192980299443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351</v>
      </c>
      <c r="AG83" s="12">
        <f>VLOOKUP(A83,'Données projet'!$A$61:$I$81,9,0)</f>
        <v>8.8000000000000007</v>
      </c>
      <c r="AH83" s="12">
        <f t="array" ref="AH83">INDEX(AG:AG,MIN(IF(ISNUMBER(AG83:AG279),ROW(AG83:AG279),"")))</f>
        <v>8.8000000000000007</v>
      </c>
      <c r="AI83" s="13">
        <f>IF('Données projet'!$A$62&gt;35,AI82+AH83-AQ82,IF(A83&lt;'Données projet'!$A$62,$AF$205^A83,IF(A83='Données projet'!$A$62,'Données projet'!$B$62,AI82+AH83-AQ82)))</f>
        <v>350.99999999999989</v>
      </c>
      <c r="AJ83" s="13">
        <f>AI83*VLOOKUP('Données projet'!$B$10,Paramètres!$A$1:$I$89,3,0)*VLOOKUP('Données projet'!$B$10,Paramètres!$A$1:$I$89,5,0)</f>
        <v>301.15799999999996</v>
      </c>
      <c r="AK83" s="13">
        <f t="shared" si="89"/>
        <v>71.419170296330975</v>
      </c>
      <c r="AL83" s="20">
        <f t="shared" si="58"/>
        <v>648.90523826610968</v>
      </c>
      <c r="AM83" s="59">
        <f t="shared" si="59"/>
        <v>942.23857159944305</v>
      </c>
      <c r="AN83" s="59">
        <f ca="1">AVERAGE(OFFSET($AM$3,0,0,'Données projet'!$E$10+1,1))-AVERAGE(OFFSET($H$3,0,0,'Données projet'!$E$10+1,1))</f>
        <v>397.45670821030774</v>
      </c>
      <c r="AO83" s="59">
        <f t="shared" si="90"/>
        <v>256.77417912163997</v>
      </c>
      <c r="AP83" s="15">
        <f>IF(ISNA(VLOOKUP(A83,'Données projet'!$A$61:$I$81,3,0)),0,VLOOKUP(A83,'Données projet'!$A$61:$I$81,3,0))</f>
        <v>13</v>
      </c>
      <c r="AQ83" s="15">
        <f>IF(ISNA(VLOOKUP(A83,'Données projet'!$A$61:$I$81,4,0)),0,VLOOKUP(A83,'Données projet'!$A$61:$I$81,4,0))</f>
        <v>28</v>
      </c>
      <c r="AR83" s="16">
        <f>IF(ISNA(VLOOKUP(A83,'Données projet'!$A$61:$I$81,5,0)),0%,VLOOKUP(A83,'Données projet'!$A$61:$I$81,5,0)*VLOOKUP('Données projet'!$B$10,Paramètres!$A$1:$I$89,7,0))</f>
        <v>0.318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36.152537104078945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36.152537104078945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>
        <f>BD83*VLOOKUP('Données projet'!$B$11,Paramètres!$A$1:$I$89,3,0)*VLOOKUP('Données projet'!$B$11,Paramètres!$A$1:$I$89,5,0)</f>
        <v>0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293.20194140252903</v>
      </c>
      <c r="BJ83" s="59">
        <f t="shared" si="92"/>
        <v>280.69048279989266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79.52948391143245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79.52948391143245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-1.1368683772161603E-13</v>
      </c>
      <c r="BZ83" s="13">
        <f>BY83*VLOOKUP('Données projet'!$B$12,Paramètres!$A$1:$I$89,3,0)*VLOOKUP('Données projet'!$B$12,Paramètres!$A$1:$I$89,5,0)</f>
        <v>-9.0449248091317723E-14</v>
      </c>
      <c r="CA83" s="13" t="e">
        <f t="shared" si="93"/>
        <v>#NUM!</v>
      </c>
      <c r="CB83" s="20" t="e">
        <f t="shared" si="64"/>
        <v>#NUM!</v>
      </c>
      <c r="CC83" s="59" t="e">
        <f t="shared" si="65"/>
        <v>#NUM!</v>
      </c>
      <c r="CD83" s="59">
        <f ca="1">AVERAGE(OFFSET($CC$3,0,0,'Données projet'!$E$12+1,1))-AVERAGE(OFFSET($H$3,0,0,'Données projet'!$E$12+1,1))</f>
        <v>271.25628946149067</v>
      </c>
      <c r="CE83" s="59">
        <f t="shared" si="94"/>
        <v>292.57799203101769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101.82626186677504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101.82626186677504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5.6843418860808015E-14</v>
      </c>
      <c r="CU83" s="17">
        <f>CT83*VLOOKUP('Données projet'!$B$13,Paramètres!$A$1:$I$89,3,0)*VLOOKUP('Données projet'!$B$13,Paramètres!$A$1:$I$89,5,0)</f>
        <v>3.1036506698001178E-14</v>
      </c>
      <c r="CV83" s="13">
        <f t="shared" si="95"/>
        <v>5.3428243983771088E-13</v>
      </c>
      <c r="CW83" s="20">
        <f t="shared" si="67"/>
        <v>9.8459716521636505E-13</v>
      </c>
      <c r="CX83" s="59">
        <f t="shared" si="68"/>
        <v>293.33333333333428</v>
      </c>
      <c r="CY83" s="59">
        <f ca="1">AVERAGE(OFFSET($CX$3,0,0,'Données projet'!$E$13+1,1))-AVERAGE(OFFSET($H$3,0,0,'Données projet'!$E$13+1,1))</f>
        <v>210.03861149060413</v>
      </c>
      <c r="CZ83" s="59">
        <f t="shared" si="96"/>
        <v>298.74602928001929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60.947654081819451</v>
      </c>
      <c r="DG83" s="21">
        <f>EXP(-LN(2)/25)*DG82+(1-EXP(-LN(2)/25))/(LN(2)/25)*Calculateur!DB83*Calculateur!DD83*VLOOKUP('Données projet'!$B$13,Paramètres!$A$1:$I$89,3,0)*0.475*44/12</f>
        <v>24.357804134348221</v>
      </c>
      <c r="DH83" s="21">
        <f>EXP(-LN(2)/2)*DH82+(1-EXP(-LN(2)/2))/(LN(2)/2)*DB83*DE83*VLOOKUP('Données projet'!$B$13,Paramètres!$A$1:$I$89,3,0)*0.475*44/12</f>
        <v>1.1018996059954517E-3</v>
      </c>
      <c r="DI83" s="22">
        <f t="shared" si="69"/>
        <v>85.306560115773664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-3.4106051316484809E-13</v>
      </c>
      <c r="DP83" s="17">
        <f>DO83*VLOOKUP('Données projet'!$B$14,Paramètres!$A$1:$I$89,3,0)*VLOOKUP('Données projet'!$B$14,Paramètres!$A$1:$I$89,5,0)</f>
        <v>-2.0395418687257919E-13</v>
      </c>
      <c r="DQ83" s="13" t="e">
        <f t="shared" si="97"/>
        <v>#NUM!</v>
      </c>
      <c r="DR83" s="20" t="e">
        <f t="shared" si="70"/>
        <v>#NUM!</v>
      </c>
      <c r="DS83" s="59" t="e">
        <f t="shared" si="71"/>
        <v>#NUM!</v>
      </c>
      <c r="DT83" s="59">
        <f ca="1">AVERAGE(OFFSET($DS$3,0,0,'Données projet'!$E$14+1,1))-AVERAGE(OFFSET($H$3,0,0,'Données projet'!$E$14+1,1))</f>
        <v>402.28353929315114</v>
      </c>
      <c r="DU83" s="59">
        <f t="shared" si="98"/>
        <v>376.94419168335463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170.31825132760414</v>
      </c>
      <c r="EB83" s="21">
        <f>EXP(-LN(2)/25)*EB82+(1-EXP(-LN(2)/25))/(LN(2)/25)*Calculateur!DW83*Calculateur!DY83*VLOOKUP('Données projet'!$B$14,Paramètres!$A$1:$I$89,3,0)*0.475*44/12</f>
        <v>36.956590641690426</v>
      </c>
      <c r="EC83" s="21">
        <f>EXP(-LN(2)/2)*EC82+(1-EXP(-LN(2)/2))/(LN(2)/2)*DW83*DZ83*VLOOKUP('Données projet'!$B$14,Paramètres!$A$1:$I$89,3,0)*0.475*44/12</f>
        <v>1.1452585844180396</v>
      </c>
      <c r="ED83" s="22">
        <f t="shared" si="72"/>
        <v>208.42010055371262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>
        <f>EJ83*VLOOKUP('Données projet'!$B$15,Paramètres!$A$1:$I$89,3,0)*VLOOKUP('Données projet'!$B$15,Paramètres!$A$1:$I$89,5,0)</f>
        <v>0</v>
      </c>
      <c r="EL83" s="13" t="e">
        <f t="shared" si="99"/>
        <v>#NUM!</v>
      </c>
      <c r="EM83" s="20" t="e">
        <f t="shared" si="73"/>
        <v>#NUM!</v>
      </c>
      <c r="EN83" s="59" t="e">
        <f t="shared" si="74"/>
        <v>#NUM!</v>
      </c>
      <c r="EO83" s="59">
        <f ca="1">AVERAGE(OFFSET($EN$3,0,0,'Données projet'!$E$15+1,1))-AVERAGE(OFFSET($H$3,0,0,'Données projet'!$E$15+1,1))</f>
        <v>273.3012268683454</v>
      </c>
      <c r="EP83" s="59">
        <f t="shared" si="100"/>
        <v>254.08208375594052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104.38992545675767</v>
      </c>
      <c r="EW83" s="21">
        <f>EXP(-LN(2)/25)*EW82+(1-EXP(-LN(2)/25))/(LN(2)/25)*Calculateur!ER83*Calculateur!ET83*VLOOKUP('Données projet'!$B$15,Paramètres!$A$1:$I$89,3,0)*0.475*44/12</f>
        <v>41.437645899617152</v>
      </c>
      <c r="EX83" s="21">
        <f>EXP(-LN(2)/2)*EX82+(1-EXP(-LN(2)/2))/(LN(2)/2)*ER83*EU83*VLOOKUP('Données projet'!$B$15,Paramètres!$A$1:$I$89,3,0)*0.475*44/12</f>
        <v>1.644102872701555</v>
      </c>
      <c r="EY83" s="22">
        <f t="shared" si="75"/>
        <v>147.47167422907637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6.8</v>
      </c>
      <c r="N84" s="13">
        <f>IF('Données projet'!$A$36&gt;35,N83+M84-V83,IF(A84&lt;'Données projet'!$A$36,$K$205^A84,IF(A84='Données projet'!$A$36,'Données projet'!$B$36,N83+M84-V83)))</f>
        <v>298.79999999999995</v>
      </c>
      <c r="O84" s="13">
        <f>N84*VLOOKUP('Données projet'!$B$9,Paramètres!$A$1:$I$89,3,0)*VLOOKUP('Données projet'!$B$9,Paramètres!$A$1:$I$89,5,0)</f>
        <v>270.35423999999995</v>
      </c>
      <c r="P84" s="13">
        <f t="shared" si="87"/>
        <v>64.924442218534367</v>
      </c>
      <c r="Q84" s="20">
        <f t="shared" si="54"/>
        <v>583.94370486394712</v>
      </c>
      <c r="R84" s="59">
        <f t="shared" si="55"/>
        <v>877.27703819728049</v>
      </c>
      <c r="S84" s="59">
        <f ca="1">AVERAGE(OFFSET($R$3,0,0,'Données projet'!$E$9+1,1))-AVERAGE(OFFSET($H$3,0,0,'Données projet'!$E$9+1,1))</f>
        <v>453.52760163325451</v>
      </c>
      <c r="T84" s="59">
        <f t="shared" si="88"/>
        <v>344.23959526427001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30.324651152120609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30.324651152120609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8.4</v>
      </c>
      <c r="AI84" s="13">
        <f>IF('Données projet'!$A$62&gt;35,AI83+AH84-AQ83,IF(A84&lt;'Données projet'!$A$62,$AF$205^A84,IF(A84='Données projet'!$A$62,'Données projet'!$B$62,AI83+AH84-AQ83)))</f>
        <v>331.39999999999986</v>
      </c>
      <c r="AJ84" s="13">
        <f>AI84*VLOOKUP('Données projet'!$B$10,Paramètres!$A$1:$I$89,3,0)*VLOOKUP('Données projet'!$B$10,Paramètres!$A$1:$I$89,5,0)</f>
        <v>284.34119999999996</v>
      </c>
      <c r="AK84" s="13">
        <f t="shared" si="89"/>
        <v>67.883606139618351</v>
      </c>
      <c r="AL84" s="20">
        <f t="shared" si="58"/>
        <v>613.4582040265019</v>
      </c>
      <c r="AM84" s="59">
        <f t="shared" si="59"/>
        <v>906.79153735983527</v>
      </c>
      <c r="AN84" s="59">
        <f ca="1">AVERAGE(OFFSET($AM$3,0,0,'Données projet'!$E$10+1,1))-AVERAGE(OFFSET($H$3,0,0,'Données projet'!$E$10+1,1))</f>
        <v>397.45670821030774</v>
      </c>
      <c r="AO84" s="59">
        <f t="shared" si="90"/>
        <v>256.77417912163997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35.44360790233825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35.44360790233825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>
        <f>BD84*VLOOKUP('Données projet'!$B$11,Paramètres!$A$1:$I$89,3,0)*VLOOKUP('Données projet'!$B$11,Paramètres!$A$1:$I$89,5,0)</f>
        <v>0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293.20194140252903</v>
      </c>
      <c r="BJ84" s="59">
        <f t="shared" si="92"/>
        <v>280.69048279989266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77.969959240124666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77.969959240124666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-1.1368683772161603E-13</v>
      </c>
      <c r="BZ84" s="13">
        <f>BY84*VLOOKUP('Données projet'!$B$12,Paramètres!$A$1:$I$89,3,0)*VLOOKUP('Données projet'!$B$12,Paramètres!$A$1:$I$89,5,0)</f>
        <v>-9.0449248091317723E-14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271.25628946149067</v>
      </c>
      <c r="CE84" s="59">
        <f t="shared" si="94"/>
        <v>292.57799203101769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99.829510979454682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99.829510979454682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5.6843418860808015E-14</v>
      </c>
      <c r="CU84" s="17">
        <f>CT84*VLOOKUP('Données projet'!$B$13,Paramètres!$A$1:$I$89,3,0)*VLOOKUP('Données projet'!$B$13,Paramètres!$A$1:$I$89,5,0)</f>
        <v>3.1036506698001178E-14</v>
      </c>
      <c r="CV84" s="13">
        <f t="shared" si="95"/>
        <v>5.3428243983771088E-13</v>
      </c>
      <c r="CW84" s="20">
        <f t="shared" si="67"/>
        <v>9.8459716521636505E-13</v>
      </c>
      <c r="CX84" s="59">
        <f t="shared" si="68"/>
        <v>293.33333333333428</v>
      </c>
      <c r="CY84" s="59">
        <f ca="1">AVERAGE(OFFSET($CX$3,0,0,'Données projet'!$E$13+1,1))-AVERAGE(OFFSET($H$3,0,0,'Données projet'!$E$13+1,1))</f>
        <v>210.03861149060413</v>
      </c>
      <c r="CZ84" s="59">
        <f t="shared" si="96"/>
        <v>298.74602928001929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59.752507759673293</v>
      </c>
      <c r="DG84" s="21">
        <f>EXP(-LN(2)/25)*DG83+(1-EXP(-LN(2)/25))/(LN(2)/25)*Calculateur!DB84*Calculateur!DD84*VLOOKUP('Données projet'!$B$13,Paramètres!$A$1:$I$89,3,0)*0.475*44/12</f>
        <v>23.691738699373222</v>
      </c>
      <c r="DH84" s="21">
        <f>EXP(-LN(2)/2)*DH83+(1-EXP(-LN(2)/2))/(LN(2)/2)*DB84*DE84*VLOOKUP('Données projet'!$B$13,Paramètres!$A$1:$I$89,3,0)*0.475*44/12</f>
        <v>7.7916068358616878E-4</v>
      </c>
      <c r="DI84" s="22">
        <f t="shared" si="69"/>
        <v>83.445025619730103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-3.4106051316484809E-13</v>
      </c>
      <c r="DP84" s="17">
        <f>DO84*VLOOKUP('Données projet'!$B$14,Paramètres!$A$1:$I$89,3,0)*VLOOKUP('Données projet'!$B$14,Paramètres!$A$1:$I$89,5,0)</f>
        <v>-2.0395418687257919E-13</v>
      </c>
      <c r="DQ84" s="13" t="e">
        <f t="shared" si="97"/>
        <v>#NUM!</v>
      </c>
      <c r="DR84" s="20" t="e">
        <f t="shared" si="70"/>
        <v>#NUM!</v>
      </c>
      <c r="DS84" s="59" t="e">
        <f t="shared" si="71"/>
        <v>#NUM!</v>
      </c>
      <c r="DT84" s="59">
        <f ca="1">AVERAGE(OFFSET($DS$3,0,0,'Données projet'!$E$14+1,1))-AVERAGE(OFFSET($H$3,0,0,'Données projet'!$E$14+1,1))</f>
        <v>402.28353929315114</v>
      </c>
      <c r="DU84" s="59">
        <f t="shared" si="98"/>
        <v>376.94419168335463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166.97841430294545</v>
      </c>
      <c r="EB84" s="21">
        <f>EXP(-LN(2)/25)*EB83+(1-EXP(-LN(2)/25))/(LN(2)/25)*Calculateur!DW84*Calculateur!DY84*VLOOKUP('Données projet'!$B$14,Paramètres!$A$1:$I$89,3,0)*0.475*44/12</f>
        <v>35.946010727130762</v>
      </c>
      <c r="EC84" s="21">
        <f>EXP(-LN(2)/2)*EC83+(1-EXP(-LN(2)/2))/(LN(2)/2)*DW84*DZ84*VLOOKUP('Données projet'!$B$14,Paramètres!$A$1:$I$89,3,0)*0.475*44/12</f>
        <v>0.80982011125410192</v>
      </c>
      <c r="ED84" s="22">
        <f t="shared" si="72"/>
        <v>203.73424514133032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>
        <f>EJ84*VLOOKUP('Données projet'!$B$15,Paramètres!$A$1:$I$89,3,0)*VLOOKUP('Données projet'!$B$15,Paramètres!$A$1:$I$89,5,0)</f>
        <v>0</v>
      </c>
      <c r="EL84" s="13" t="e">
        <f t="shared" si="99"/>
        <v>#NUM!</v>
      </c>
      <c r="EM84" s="20" t="e">
        <f t="shared" si="73"/>
        <v>#NUM!</v>
      </c>
      <c r="EN84" s="59" t="e">
        <f t="shared" si="74"/>
        <v>#NUM!</v>
      </c>
      <c r="EO84" s="59">
        <f ca="1">AVERAGE(OFFSET($EN$3,0,0,'Données projet'!$E$15+1,1))-AVERAGE(OFFSET($H$3,0,0,'Données projet'!$E$15+1,1))</f>
        <v>273.3012268683454</v>
      </c>
      <c r="EP84" s="59">
        <f t="shared" si="100"/>
        <v>254.08208375594052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102.34290269011814</v>
      </c>
      <c r="EW84" s="21">
        <f>EXP(-LN(2)/25)*EW83+(1-EXP(-LN(2)/25))/(LN(2)/25)*Calculateur!ER84*Calculateur!ET84*VLOOKUP('Données projet'!$B$15,Paramètres!$A$1:$I$89,3,0)*0.475*44/12</f>
        <v>40.304531293381032</v>
      </c>
      <c r="EX84" s="21">
        <f>EXP(-LN(2)/2)*EX83+(1-EXP(-LN(2)/2))/(LN(2)/2)*ER84*EU84*VLOOKUP('Données projet'!$B$15,Paramètres!$A$1:$I$89,3,0)*0.475*44/12</f>
        <v>1.1625562902555526</v>
      </c>
      <c r="EY84" s="22">
        <f t="shared" si="75"/>
        <v>143.80999027375475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6.8</v>
      </c>
      <c r="N85" s="13">
        <f>IF('Données projet'!$A$36&gt;35,N84+M85-V84,IF(A85&lt;'Données projet'!$A$36,$K$205^A85,IF(A85='Données projet'!$A$36,'Données projet'!$B$36,N84+M85-V84)))</f>
        <v>305.59999999999997</v>
      </c>
      <c r="O85" s="13">
        <f>N85*VLOOKUP('Données projet'!$B$9,Paramètres!$A$1:$I$89,3,0)*VLOOKUP('Données projet'!$B$9,Paramètres!$A$1:$I$89,5,0)</f>
        <v>276.50687999999997</v>
      </c>
      <c r="P85" s="13">
        <f t="shared" si="87"/>
        <v>66.228273722513677</v>
      </c>
      <c r="Q85" s="20">
        <f t="shared" si="54"/>
        <v>596.93039273337797</v>
      </c>
      <c r="R85" s="59">
        <f t="shared" si="55"/>
        <v>890.26372606671134</v>
      </c>
      <c r="S85" s="59">
        <f ca="1">AVERAGE(OFFSET($R$3,0,0,'Données projet'!$E$9+1,1))-AVERAGE(OFFSET($H$3,0,0,'Données projet'!$E$9+1,1))</f>
        <v>453.52760163325451</v>
      </c>
      <c r="T85" s="59">
        <f t="shared" si="88"/>
        <v>344.23959526427001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29.730003239238378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29.730003239238378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8.4</v>
      </c>
      <c r="AI85" s="13">
        <f>IF('Données projet'!$A$62&gt;35,AI84+AH85-AQ84,IF(A85&lt;'Données projet'!$A$62,$AF$205^A85,IF(A85='Données projet'!$A$62,'Données projet'!$B$62,AI84+AH85-AQ84)))</f>
        <v>339.79999999999984</v>
      </c>
      <c r="AJ85" s="13">
        <f>AI85*VLOOKUP('Données projet'!$B$10,Paramètres!$A$1:$I$89,3,0)*VLOOKUP('Données projet'!$B$10,Paramètres!$A$1:$I$89,5,0)</f>
        <v>291.5483999999999</v>
      </c>
      <c r="AK85" s="13">
        <f t="shared" si="89"/>
        <v>69.40174753959208</v>
      </c>
      <c r="AL85" s="20">
        <f t="shared" si="58"/>
        <v>628.65484029812262</v>
      </c>
      <c r="AM85" s="59">
        <f t="shared" si="59"/>
        <v>921.98817363145599</v>
      </c>
      <c r="AN85" s="59">
        <f ca="1">AVERAGE(OFFSET($AM$3,0,0,'Données projet'!$E$10+1,1))-AVERAGE(OFFSET($H$3,0,0,'Données projet'!$E$10+1,1))</f>
        <v>397.45670821030774</v>
      </c>
      <c r="AO85" s="59">
        <f t="shared" si="90"/>
        <v>256.77417912163997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34.748580369839573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34.748580369839573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>
        <f>BD85*VLOOKUP('Données projet'!$B$11,Paramètres!$A$1:$I$89,3,0)*VLOOKUP('Données projet'!$B$11,Paramètres!$A$1:$I$89,5,0)</f>
        <v>0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293.20194140252903</v>
      </c>
      <c r="BJ85" s="59">
        <f t="shared" si="92"/>
        <v>280.69048279989266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76.441015896405091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76.441015896405091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-1.1368683772161603E-13</v>
      </c>
      <c r="BZ85" s="13">
        <f>BY85*VLOOKUP('Données projet'!$B$12,Paramètres!$A$1:$I$89,3,0)*VLOOKUP('Données projet'!$B$12,Paramètres!$A$1:$I$89,5,0)</f>
        <v>-9.0449248091317723E-14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271.25628946149067</v>
      </c>
      <c r="CE85" s="59">
        <f t="shared" si="94"/>
        <v>292.57799203101769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97.87191515913689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97.87191515913689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5.6843418860808015E-14</v>
      </c>
      <c r="CU85" s="17">
        <f>CT85*VLOOKUP('Données projet'!$B$13,Paramètres!$A$1:$I$89,3,0)*VLOOKUP('Données projet'!$B$13,Paramètres!$A$1:$I$89,5,0)</f>
        <v>3.1036506698001178E-14</v>
      </c>
      <c r="CV85" s="13">
        <f t="shared" si="95"/>
        <v>5.3428243983771088E-13</v>
      </c>
      <c r="CW85" s="20">
        <f t="shared" si="67"/>
        <v>9.8459716521636505E-13</v>
      </c>
      <c r="CX85" s="59">
        <f t="shared" si="68"/>
        <v>293.33333333333428</v>
      </c>
      <c r="CY85" s="59">
        <f ca="1">AVERAGE(OFFSET($CX$3,0,0,'Données projet'!$E$13+1,1))-AVERAGE(OFFSET($H$3,0,0,'Données projet'!$E$13+1,1))</f>
        <v>210.03861149060413</v>
      </c>
      <c r="CZ85" s="59">
        <f t="shared" si="96"/>
        <v>298.74602928001929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58.580797527937143</v>
      </c>
      <c r="DG85" s="21">
        <f>EXP(-LN(2)/25)*DG84+(1-EXP(-LN(2)/25))/(LN(2)/25)*Calculateur!DB85*Calculateur!DD85*VLOOKUP('Données projet'!$B$13,Paramètres!$A$1:$I$89,3,0)*0.475*44/12</f>
        <v>23.043886858744472</v>
      </c>
      <c r="DH85" s="21">
        <f>EXP(-LN(2)/2)*DH84+(1-EXP(-LN(2)/2))/(LN(2)/2)*DB85*DE85*VLOOKUP('Données projet'!$B$13,Paramètres!$A$1:$I$89,3,0)*0.475*44/12</f>
        <v>5.5094980299772583E-4</v>
      </c>
      <c r="DI85" s="22">
        <f t="shared" si="69"/>
        <v>81.625235336484621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-3.4106051316484809E-13</v>
      </c>
      <c r="DP85" s="17">
        <f>DO85*VLOOKUP('Données projet'!$B$14,Paramètres!$A$1:$I$89,3,0)*VLOOKUP('Données projet'!$B$14,Paramètres!$A$1:$I$89,5,0)</f>
        <v>-2.0395418687257919E-13</v>
      </c>
      <c r="DQ85" s="13" t="e">
        <f t="shared" si="97"/>
        <v>#NUM!</v>
      </c>
      <c r="DR85" s="20" t="e">
        <f t="shared" si="70"/>
        <v>#NUM!</v>
      </c>
      <c r="DS85" s="59" t="e">
        <f t="shared" si="71"/>
        <v>#NUM!</v>
      </c>
      <c r="DT85" s="59">
        <f ca="1">AVERAGE(OFFSET($DS$3,0,0,'Données projet'!$E$14+1,1))-AVERAGE(OFFSET($H$3,0,0,'Données projet'!$E$14+1,1))</f>
        <v>402.28353929315114</v>
      </c>
      <c r="DU85" s="59">
        <f t="shared" si="98"/>
        <v>376.94419168335463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163.70406944524089</v>
      </c>
      <c r="EB85" s="21">
        <f>EXP(-LN(2)/25)*EB84+(1-EXP(-LN(2)/25))/(LN(2)/25)*Calculateur!DW85*Calculateur!DY85*VLOOKUP('Données projet'!$B$14,Paramètres!$A$1:$I$89,3,0)*0.475*44/12</f>
        <v>34.963065173478824</v>
      </c>
      <c r="EC85" s="21">
        <f>EXP(-LN(2)/2)*EC84+(1-EXP(-LN(2)/2))/(LN(2)/2)*DW85*DZ85*VLOOKUP('Données projet'!$B$14,Paramètres!$A$1:$I$89,3,0)*0.475*44/12</f>
        <v>0.57262929220901981</v>
      </c>
      <c r="ED85" s="22">
        <f t="shared" si="72"/>
        <v>199.23976391092876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>
        <f>EJ85*VLOOKUP('Données projet'!$B$15,Paramètres!$A$1:$I$89,3,0)*VLOOKUP('Données projet'!$B$15,Paramètres!$A$1:$I$89,5,0)</f>
        <v>0</v>
      </c>
      <c r="EL85" s="13" t="e">
        <f t="shared" si="99"/>
        <v>#NUM!</v>
      </c>
      <c r="EM85" s="20" t="e">
        <f t="shared" si="73"/>
        <v>#NUM!</v>
      </c>
      <c r="EN85" s="59" t="e">
        <f t="shared" si="74"/>
        <v>#NUM!</v>
      </c>
      <c r="EO85" s="59">
        <f ca="1">AVERAGE(OFFSET($EN$3,0,0,'Données projet'!$E$15+1,1))-AVERAGE(OFFSET($H$3,0,0,'Données projet'!$E$15+1,1))</f>
        <v>273.3012268683454</v>
      </c>
      <c r="EP85" s="59">
        <f t="shared" si="100"/>
        <v>254.08208375594052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100.33602079137181</v>
      </c>
      <c r="EW85" s="21">
        <f>EXP(-LN(2)/25)*EW84+(1-EXP(-LN(2)/25))/(LN(2)/25)*Calculateur!ER85*Calculateur!ET85*VLOOKUP('Données projet'!$B$15,Paramètres!$A$1:$I$89,3,0)*0.475*44/12</f>
        <v>39.202401765640346</v>
      </c>
      <c r="EX85" s="21">
        <f>EXP(-LN(2)/2)*EX84+(1-EXP(-LN(2)/2))/(LN(2)/2)*ER85*EU85*VLOOKUP('Données projet'!$B$15,Paramètres!$A$1:$I$89,3,0)*0.475*44/12</f>
        <v>0.82205143635077749</v>
      </c>
      <c r="EY85" s="22">
        <f t="shared" si="75"/>
        <v>140.36047399336294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6.8</v>
      </c>
      <c r="N86" s="13">
        <f>IF('Données projet'!$A$36&gt;35,N85+M86-V85,IF(A86&lt;'Données projet'!$A$36,$K$205^A86,IF(A86='Données projet'!$A$36,'Données projet'!$B$36,N85+M86-V85)))</f>
        <v>312.39999999999998</v>
      </c>
      <c r="O86" s="13">
        <f>N86*VLOOKUP('Données projet'!$B$9,Paramètres!$A$1:$I$89,3,0)*VLOOKUP('Données projet'!$B$9,Paramètres!$A$1:$I$89,5,0)</f>
        <v>282.65951999999999</v>
      </c>
      <c r="P86" s="13">
        <f t="shared" si="87"/>
        <v>67.528732309967324</v>
      </c>
      <c r="Q86" s="20">
        <f t="shared" si="54"/>
        <v>609.91120610652638</v>
      </c>
      <c r="R86" s="59">
        <f t="shared" si="55"/>
        <v>903.24453943985964</v>
      </c>
      <c r="S86" s="59">
        <f ca="1">AVERAGE(OFFSET($R$3,0,0,'Données projet'!$E$9+1,1))-AVERAGE(OFFSET($H$3,0,0,'Données projet'!$E$9+1,1))</f>
        <v>453.52760163325451</v>
      </c>
      <c r="T86" s="59">
        <f t="shared" si="88"/>
        <v>344.23959526427001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29.147016009228356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29.147016009228356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8.4</v>
      </c>
      <c r="AI86" s="13">
        <f>IF('Données projet'!$A$62&gt;35,AI85+AH86-AQ85,IF(A86&lt;'Données projet'!$A$62,$AF$205^A86,IF(A86='Données projet'!$A$62,'Données projet'!$B$62,AI85+AH86-AQ85)))</f>
        <v>348.19999999999982</v>
      </c>
      <c r="AJ86" s="13">
        <f>AI86*VLOOKUP('Données projet'!$B$10,Paramètres!$A$1:$I$89,3,0)*VLOOKUP('Données projet'!$B$10,Paramètres!$A$1:$I$89,5,0)</f>
        <v>298.75559999999984</v>
      </c>
      <c r="AK86" s="13">
        <f t="shared" si="89"/>
        <v>70.915526361788181</v>
      </c>
      <c r="AL86" s="20">
        <f t="shared" si="58"/>
        <v>643.84387841344744</v>
      </c>
      <c r="AM86" s="59">
        <f t="shared" si="59"/>
        <v>937.17721174678081</v>
      </c>
      <c r="AN86" s="59">
        <f ca="1">AVERAGE(OFFSET($AM$3,0,0,'Données projet'!$E$10+1,1))-AVERAGE(OFFSET($H$3,0,0,'Données projet'!$E$10+1,1))</f>
        <v>397.45670821030774</v>
      </c>
      <c r="AO86" s="59">
        <f t="shared" si="90"/>
        <v>256.77417912163997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34.067181903328255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34.067181903328255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>
        <f>BD86*VLOOKUP('Données projet'!$B$11,Paramètres!$A$1:$I$89,3,0)*VLOOKUP('Données projet'!$B$11,Paramètres!$A$1:$I$89,5,0)</f>
        <v>0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293.20194140252903</v>
      </c>
      <c r="BJ86" s="59">
        <f t="shared" si="92"/>
        <v>280.69048279989266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74.94205419909251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74.94205419909251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-1.1368683772161603E-13</v>
      </c>
      <c r="BZ86" s="13">
        <f>BY86*VLOOKUP('Données projet'!$B$12,Paramètres!$A$1:$I$89,3,0)*VLOOKUP('Données projet'!$B$12,Paramètres!$A$1:$I$89,5,0)</f>
        <v>-9.0449248091317723E-14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271.25628946149067</v>
      </c>
      <c r="CE86" s="59">
        <f t="shared" si="94"/>
        <v>292.57799203101769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95.952706598839981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95.952706598839981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5.6843418860808015E-14</v>
      </c>
      <c r="CU86" s="17">
        <f>CT86*VLOOKUP('Données projet'!$B$13,Paramètres!$A$1:$I$89,3,0)*VLOOKUP('Données projet'!$B$13,Paramètres!$A$1:$I$89,5,0)</f>
        <v>3.1036506698001178E-14</v>
      </c>
      <c r="CV86" s="13">
        <f t="shared" si="95"/>
        <v>5.3428243983771088E-13</v>
      </c>
      <c r="CW86" s="20">
        <f t="shared" si="67"/>
        <v>9.8459716521636505E-13</v>
      </c>
      <c r="CX86" s="59">
        <f t="shared" si="68"/>
        <v>293.33333333333428</v>
      </c>
      <c r="CY86" s="59">
        <f ca="1">AVERAGE(OFFSET($CX$3,0,0,'Données projet'!$E$13+1,1))-AVERAGE(OFFSET($H$3,0,0,'Données projet'!$E$13+1,1))</f>
        <v>210.03861149060413</v>
      </c>
      <c r="CZ86" s="59">
        <f t="shared" si="96"/>
        <v>298.74602928001929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57.432063819172669</v>
      </c>
      <c r="DG86" s="21">
        <f>EXP(-LN(2)/25)*DG85+(1-EXP(-LN(2)/25))/(LN(2)/25)*Calculateur!DB86*Calculateur!DD86*VLOOKUP('Données projet'!$B$13,Paramètres!$A$1:$I$89,3,0)*0.475*44/12</f>
        <v>22.413750560766761</v>
      </c>
      <c r="DH86" s="21">
        <f>EXP(-LN(2)/2)*DH85+(1-EXP(-LN(2)/2))/(LN(2)/2)*DB86*DE86*VLOOKUP('Données projet'!$B$13,Paramètres!$A$1:$I$89,3,0)*0.475*44/12</f>
        <v>3.8958034179308439E-4</v>
      </c>
      <c r="DI86" s="22">
        <f t="shared" si="69"/>
        <v>79.846203960281215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-3.4106051316484809E-13</v>
      </c>
      <c r="DP86" s="17">
        <f>DO86*VLOOKUP('Données projet'!$B$14,Paramètres!$A$1:$I$89,3,0)*VLOOKUP('Données projet'!$B$14,Paramètres!$A$1:$I$89,5,0)</f>
        <v>-2.0395418687257919E-13</v>
      </c>
      <c r="DQ86" s="13" t="e">
        <f t="shared" si="97"/>
        <v>#NUM!</v>
      </c>
      <c r="DR86" s="20" t="e">
        <f t="shared" si="70"/>
        <v>#NUM!</v>
      </c>
      <c r="DS86" s="59" t="e">
        <f t="shared" si="71"/>
        <v>#NUM!</v>
      </c>
      <c r="DT86" s="59">
        <f ca="1">AVERAGE(OFFSET($DS$3,0,0,'Données projet'!$E$14+1,1))-AVERAGE(OFFSET($H$3,0,0,'Données projet'!$E$14+1,1))</f>
        <v>402.28353929315114</v>
      </c>
      <c r="DU86" s="59">
        <f t="shared" si="98"/>
        <v>376.94419168335463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160.49393249304273</v>
      </c>
      <c r="EB86" s="21">
        <f>EXP(-LN(2)/25)*EB85+(1-EXP(-LN(2)/25))/(LN(2)/25)*Calculateur!DW86*Calculateur!DY86*VLOOKUP('Données projet'!$B$14,Paramètres!$A$1:$I$89,3,0)*0.475*44/12</f>
        <v>34.00699831768236</v>
      </c>
      <c r="EC86" s="21">
        <f>EXP(-LN(2)/2)*EC85+(1-EXP(-LN(2)/2))/(LN(2)/2)*DW86*DZ86*VLOOKUP('Données projet'!$B$14,Paramètres!$A$1:$I$89,3,0)*0.475*44/12</f>
        <v>0.40491005562705096</v>
      </c>
      <c r="ED86" s="22">
        <f t="shared" si="72"/>
        <v>194.90584086635215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>
        <f>EJ86*VLOOKUP('Données projet'!$B$15,Paramètres!$A$1:$I$89,3,0)*VLOOKUP('Données projet'!$B$15,Paramètres!$A$1:$I$89,5,0)</f>
        <v>0</v>
      </c>
      <c r="EL86" s="13" t="e">
        <f t="shared" si="99"/>
        <v>#NUM!</v>
      </c>
      <c r="EM86" s="20" t="e">
        <f t="shared" si="73"/>
        <v>#NUM!</v>
      </c>
      <c r="EN86" s="59" t="e">
        <f t="shared" si="74"/>
        <v>#NUM!</v>
      </c>
      <c r="EO86" s="59">
        <f ca="1">AVERAGE(OFFSET($EN$3,0,0,'Données projet'!$E$15+1,1))-AVERAGE(OFFSET($H$3,0,0,'Données projet'!$E$15+1,1))</f>
        <v>273.3012268683454</v>
      </c>
      <c r="EP86" s="59">
        <f t="shared" si="100"/>
        <v>254.08208375594052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98.368492622582792</v>
      </c>
      <c r="EW86" s="21">
        <f>EXP(-LN(2)/25)*EW85+(1-EXP(-LN(2)/25))/(LN(2)/25)*Calculateur!ER86*Calculateur!ET86*VLOOKUP('Données projet'!$B$15,Paramètres!$A$1:$I$89,3,0)*0.475*44/12</f>
        <v>38.130410027794198</v>
      </c>
      <c r="EX86" s="21">
        <f>EXP(-LN(2)/2)*EX85+(1-EXP(-LN(2)/2))/(LN(2)/2)*ER86*EU86*VLOOKUP('Données projet'!$B$15,Paramètres!$A$1:$I$89,3,0)*0.475*44/12</f>
        <v>0.58127814512777631</v>
      </c>
      <c r="EY86" s="22">
        <f t="shared" si="75"/>
        <v>137.08018079550476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6.8</v>
      </c>
      <c r="N87" s="13">
        <f>IF('Données projet'!$A$36&gt;35,N86+M87-V86,IF(A87&lt;'Données projet'!$A$36,$K$205^A87,IF(A87='Données projet'!$A$36,'Données projet'!$B$36,N86+M87-V86)))</f>
        <v>319.2</v>
      </c>
      <c r="O87" s="13">
        <f>N87*VLOOKUP('Données projet'!$B$9,Paramètres!$A$1:$I$89,3,0)*VLOOKUP('Données projet'!$B$9,Paramètres!$A$1:$I$89,5,0)</f>
        <v>288.81215999999995</v>
      </c>
      <c r="P87" s="13">
        <f t="shared" si="87"/>
        <v>68.825899854238159</v>
      </c>
      <c r="Q87" s="20">
        <f t="shared" si="54"/>
        <v>622.88628757946469</v>
      </c>
      <c r="R87" s="59">
        <f t="shared" si="55"/>
        <v>916.21962091279806</v>
      </c>
      <c r="S87" s="59">
        <f ca="1">AVERAGE(OFFSET($R$3,0,0,'Données projet'!$E$9+1,1))-AVERAGE(OFFSET($H$3,0,0,'Données projet'!$E$9+1,1))</f>
        <v>453.52760163325451</v>
      </c>
      <c r="T87" s="59">
        <f t="shared" si="88"/>
        <v>344.23959526427001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28.57546080321173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28.57546080321173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8.4</v>
      </c>
      <c r="AI87" s="13">
        <f>IF('Données projet'!$A$62&gt;35,AI86+AH87-AQ86,IF(A87&lt;'Données projet'!$A$62,$AF$205^A87,IF(A87='Données projet'!$A$62,'Données projet'!$B$62,AI86+AH87-AQ86)))</f>
        <v>356.5999999999998</v>
      </c>
      <c r="AJ87" s="13">
        <f>AI87*VLOOKUP('Données projet'!$B$10,Paramètres!$A$1:$I$89,3,0)*VLOOKUP('Données projet'!$B$10,Paramètres!$A$1:$I$89,5,0)</f>
        <v>305.96279999999985</v>
      </c>
      <c r="AK87" s="13">
        <f t="shared" si="89"/>
        <v>72.425059957831166</v>
      </c>
      <c r="AL87" s="20">
        <f t="shared" si="58"/>
        <v>659.02552275988899</v>
      </c>
      <c r="AM87" s="59">
        <f t="shared" si="59"/>
        <v>952.35885609322236</v>
      </c>
      <c r="AN87" s="59">
        <f ca="1">AVERAGE(OFFSET($AM$3,0,0,'Données projet'!$E$10+1,1))-AVERAGE(OFFSET($H$3,0,0,'Données projet'!$E$10+1,1))</f>
        <v>397.45670821030774</v>
      </c>
      <c r="AO87" s="59">
        <f t="shared" si="90"/>
        <v>256.77417912163997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33.399145245133198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33.399145245133198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>
        <f>BD87*VLOOKUP('Données projet'!$B$11,Paramètres!$A$1:$I$89,3,0)*VLOOKUP('Données projet'!$B$11,Paramètres!$A$1:$I$89,5,0)</f>
        <v>0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293.20194140252903</v>
      </c>
      <c r="BJ87" s="59">
        <f t="shared" si="92"/>
        <v>280.69048279989266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73.472486226387872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73.472486226387872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-1.1368683772161603E-13</v>
      </c>
      <c r="BZ87" s="13">
        <f>BY87*VLOOKUP('Données projet'!$B$12,Paramètres!$A$1:$I$89,3,0)*VLOOKUP('Données projet'!$B$12,Paramètres!$A$1:$I$89,5,0)</f>
        <v>-9.0449248091317723E-14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271.25628946149067</v>
      </c>
      <c r="CE87" s="59">
        <f t="shared" si="94"/>
        <v>292.57799203101769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94.071132547808858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94.071132547808858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5.6843418860808015E-14</v>
      </c>
      <c r="CU87" s="17">
        <f>CT87*VLOOKUP('Données projet'!$B$13,Paramètres!$A$1:$I$89,3,0)*VLOOKUP('Données projet'!$B$13,Paramètres!$A$1:$I$89,5,0)</f>
        <v>3.1036506698001178E-14</v>
      </c>
      <c r="CV87" s="13">
        <f t="shared" si="95"/>
        <v>5.3428243983771088E-13</v>
      </c>
      <c r="CW87" s="20">
        <f t="shared" si="67"/>
        <v>9.8459716521636505E-13</v>
      </c>
      <c r="CX87" s="59">
        <f t="shared" si="68"/>
        <v>293.33333333333428</v>
      </c>
      <c r="CY87" s="59">
        <f ca="1">AVERAGE(OFFSET($CX$3,0,0,'Données projet'!$E$13+1,1))-AVERAGE(OFFSET($H$3,0,0,'Données projet'!$E$13+1,1))</f>
        <v>210.03861149060413</v>
      </c>
      <c r="CZ87" s="59">
        <f t="shared" si="96"/>
        <v>298.74602928001929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56.305856077778685</v>
      </c>
      <c r="DG87" s="21">
        <f>EXP(-LN(2)/25)*DG86+(1-EXP(-LN(2)/25))/(LN(2)/25)*Calculateur!DB87*Calculateur!DD87*VLOOKUP('Données projet'!$B$13,Paramètres!$A$1:$I$89,3,0)*0.475*44/12</f>
        <v>21.800845372994679</v>
      </c>
      <c r="DH87" s="21">
        <f>EXP(-LN(2)/2)*DH86+(1-EXP(-LN(2)/2))/(LN(2)/2)*DB87*DE87*VLOOKUP('Données projet'!$B$13,Paramètres!$A$1:$I$89,3,0)*0.475*44/12</f>
        <v>2.7547490149886292E-4</v>
      </c>
      <c r="DI87" s="22">
        <f t="shared" si="69"/>
        <v>78.106976925674857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-3.4106051316484809E-13</v>
      </c>
      <c r="DP87" s="17">
        <f>DO87*VLOOKUP('Données projet'!$B$14,Paramètres!$A$1:$I$89,3,0)*VLOOKUP('Données projet'!$B$14,Paramètres!$A$1:$I$89,5,0)</f>
        <v>-2.0395418687257919E-13</v>
      </c>
      <c r="DQ87" s="13" t="e">
        <f t="shared" si="97"/>
        <v>#NUM!</v>
      </c>
      <c r="DR87" s="20" t="e">
        <f t="shared" si="70"/>
        <v>#NUM!</v>
      </c>
      <c r="DS87" s="59" t="e">
        <f t="shared" si="71"/>
        <v>#NUM!</v>
      </c>
      <c r="DT87" s="59">
        <f ca="1">AVERAGE(OFFSET($DS$3,0,0,'Données projet'!$E$14+1,1))-AVERAGE(OFFSET($H$3,0,0,'Données projet'!$E$14+1,1))</f>
        <v>402.28353929315114</v>
      </c>
      <c r="DU87" s="59">
        <f t="shared" si="98"/>
        <v>376.94419168335463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157.34674436848698</v>
      </c>
      <c r="EB87" s="21">
        <f>EXP(-LN(2)/25)*EB86+(1-EXP(-LN(2)/25))/(LN(2)/25)*Calculateur!DW87*Calculateur!DY87*VLOOKUP('Données projet'!$B$14,Paramètres!$A$1:$I$89,3,0)*0.475*44/12</f>
        <v>33.077075160335021</v>
      </c>
      <c r="EC87" s="21">
        <f>EXP(-LN(2)/2)*EC86+(1-EXP(-LN(2)/2))/(LN(2)/2)*DW87*DZ87*VLOOKUP('Données projet'!$B$14,Paramètres!$A$1:$I$89,3,0)*0.475*44/12</f>
        <v>0.28631464610450991</v>
      </c>
      <c r="ED87" s="22">
        <f t="shared" si="72"/>
        <v>190.71013417492651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>
        <f>EJ87*VLOOKUP('Données projet'!$B$15,Paramètres!$A$1:$I$89,3,0)*VLOOKUP('Données projet'!$B$15,Paramètres!$A$1:$I$89,5,0)</f>
        <v>0</v>
      </c>
      <c r="EL87" s="13" t="e">
        <f t="shared" si="99"/>
        <v>#NUM!</v>
      </c>
      <c r="EM87" s="20" t="e">
        <f t="shared" si="73"/>
        <v>#NUM!</v>
      </c>
      <c r="EN87" s="59" t="e">
        <f t="shared" si="74"/>
        <v>#NUM!</v>
      </c>
      <c r="EO87" s="59">
        <f ca="1">AVERAGE(OFFSET($EN$3,0,0,'Données projet'!$E$15+1,1))-AVERAGE(OFFSET($H$3,0,0,'Données projet'!$E$15+1,1))</f>
        <v>273.3012268683454</v>
      </c>
      <c r="EP87" s="59">
        <f t="shared" si="100"/>
        <v>254.08208375594052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96.439546481110042</v>
      </c>
      <c r="EW87" s="21">
        <f>EXP(-LN(2)/25)*EW86+(1-EXP(-LN(2)/25))/(LN(2)/25)*Calculateur!ER87*Calculateur!ET87*VLOOKUP('Données projet'!$B$15,Paramètres!$A$1:$I$89,3,0)*0.475*44/12</f>
        <v>37.08773196039305</v>
      </c>
      <c r="EX87" s="21">
        <f>EXP(-LN(2)/2)*EX86+(1-EXP(-LN(2)/2))/(LN(2)/2)*ER87*EU87*VLOOKUP('Données projet'!$B$15,Paramètres!$A$1:$I$89,3,0)*0.475*44/12</f>
        <v>0.41102571817538874</v>
      </c>
      <c r="EY87" s="22">
        <f t="shared" si="75"/>
        <v>133.93830415967847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326</v>
      </c>
      <c r="L88" s="12">
        <f>VLOOKUP(A88,'Données projet'!$A$35:$I$55,9,0)</f>
        <v>6.8</v>
      </c>
      <c r="M88" s="12">
        <f t="array" ref="M88">INDEX(L:L,MIN(IF(ISNUMBER(L88:L284),ROW(L88:L284),"")))</f>
        <v>6.8</v>
      </c>
      <c r="N88" s="13">
        <f>IF('Données projet'!$A$36&gt;35,N87+M88-V87,IF(A88&lt;'Données projet'!$A$36,$K$205^A88,IF(A88='Données projet'!$A$36,'Données projet'!$B$36,N87+M88-V87)))</f>
        <v>326</v>
      </c>
      <c r="O88" s="13">
        <f>N88*VLOOKUP('Données projet'!$B$9,Paramètres!$A$1:$I$89,3,0)*VLOOKUP('Données projet'!$B$9,Paramètres!$A$1:$I$89,5,0)</f>
        <v>294.96479999999997</v>
      </c>
      <c r="P88" s="13">
        <f t="shared" si="87"/>
        <v>70.119854541045001</v>
      </c>
      <c r="Q88" s="20">
        <f t="shared" si="54"/>
        <v>635.85577332565333</v>
      </c>
      <c r="R88" s="59">
        <f t="shared" si="55"/>
        <v>929.1891066589867</v>
      </c>
      <c r="S88" s="59">
        <f ca="1">AVERAGE(OFFSET($R$3,0,0,'Données projet'!$E$9+1,1))-AVERAGE(OFFSET($H$3,0,0,'Données projet'!$E$9+1,1))</f>
        <v>453.52760163325451</v>
      </c>
      <c r="T88" s="59">
        <f t="shared" si="88"/>
        <v>344.23959526427001</v>
      </c>
      <c r="U88" s="15">
        <f>IF(ISNA(VLOOKUP(A88,'Données projet'!$A$35:$I$55,3,0)),0,VLOOKUP(A88,'Données projet'!$A$35:$I$55,3,0))</f>
        <v>14</v>
      </c>
      <c r="V88" s="15">
        <f>IF(ISNA(VLOOKUP(A88,'Données projet'!$A$35:$I$55,4,0)),0,VLOOKUP(A88,'Données projet'!$A$35:$I$55,4,0))</f>
        <v>28</v>
      </c>
      <c r="W88" s="16">
        <f>IF(ISNA(VLOOKUP(A88,'Données projet'!$A$35:$I$55,5,0)),0%,VLOOKUP(A88,'Données projet'!$A$35:$I$55,5,0)*VLOOKUP('Données projet'!$B$9,Paramètres!$A$1:$I$89,7,0))</f>
        <v>0.25800000000000001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35.240772072246642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35.240772072246642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365</v>
      </c>
      <c r="AG88" s="12">
        <f>VLOOKUP(A88,'Données projet'!$A$61:$I$81,9,0)</f>
        <v>8.4</v>
      </c>
      <c r="AH88" s="12">
        <f t="array" ref="AH88">INDEX(AG:AG,MIN(IF(ISNUMBER(AG88:AG284),ROW(AG88:AG284),"")))</f>
        <v>8.4</v>
      </c>
      <c r="AI88" s="13">
        <f>IF('Données projet'!$A$62&gt;35,AI87+AH88-AQ87,IF(A88&lt;'Données projet'!$A$62,$AF$205^A88,IF(A88='Données projet'!$A$62,'Données projet'!$B$62,AI87+AH88-AQ87)))</f>
        <v>364.99999999999977</v>
      </c>
      <c r="AJ88" s="13">
        <f>AI88*VLOOKUP('Données projet'!$B$10,Paramètres!$A$1:$I$89,3,0)*VLOOKUP('Données projet'!$B$10,Paramètres!$A$1:$I$89,5,0)</f>
        <v>313.16999999999985</v>
      </c>
      <c r="AK88" s="13">
        <f t="shared" si="89"/>
        <v>73.930459835341836</v>
      </c>
      <c r="AL88" s="20">
        <f t="shared" si="58"/>
        <v>674.19996754655335</v>
      </c>
      <c r="AM88" s="59">
        <f t="shared" si="59"/>
        <v>967.53330087988661</v>
      </c>
      <c r="AN88" s="59">
        <f ca="1">AVERAGE(OFFSET($AM$3,0,0,'Données projet'!$E$10+1,1))-AVERAGE(OFFSET($H$3,0,0,'Données projet'!$E$10+1,1))</f>
        <v>397.45670821030774</v>
      </c>
      <c r="AO88" s="59">
        <f t="shared" si="90"/>
        <v>256.77417912163997</v>
      </c>
      <c r="AP88" s="15">
        <f>IF(ISNA(VLOOKUP(A88,'Données projet'!$A$61:$I$81,3,0)),0,VLOOKUP(A88,'Données projet'!$A$61:$I$81,3,0))</f>
        <v>14</v>
      </c>
      <c r="AQ88" s="15">
        <f>IF(ISNA(VLOOKUP(A88,'Données projet'!$A$61:$I$81,4,0)),0,VLOOKUP(A88,'Données projet'!$A$61:$I$81,4,0))</f>
        <v>27</v>
      </c>
      <c r="AR88" s="16">
        <f>IF(ISNA(VLOOKUP(A88,'Données projet'!$A$61:$I$81,5,0)),0%,VLOOKUP(A88,'Données projet'!$A$61:$I$81,5,0)*VLOOKUP('Données projet'!$B$10,Paramètres!$A$1:$I$89,7,0))</f>
        <v>0.318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40.887974304642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40.887974304642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>
        <f>BD88*VLOOKUP('Données projet'!$B$11,Paramètres!$A$1:$I$89,3,0)*VLOOKUP('Données projet'!$B$11,Paramètres!$A$1:$I$89,5,0)</f>
        <v>0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293.20194140252903</v>
      </c>
      <c r="BJ88" s="59">
        <f t="shared" si="92"/>
        <v>280.69048279989266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72.031735585280003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72.031735585280003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-1.1368683772161603E-13</v>
      </c>
      <c r="BZ88" s="13">
        <f>BY88*VLOOKUP('Données projet'!$B$12,Paramètres!$A$1:$I$89,3,0)*VLOOKUP('Données projet'!$B$12,Paramètres!$A$1:$I$89,5,0)</f>
        <v>-9.0449248091317723E-14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271.25628946149067</v>
      </c>
      <c r="CE88" s="59">
        <f t="shared" si="94"/>
        <v>292.57799203101769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92.226455016271601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92.226455016271601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5.6843418860808015E-14</v>
      </c>
      <c r="CU88" s="17">
        <f>CT88*VLOOKUP('Données projet'!$B$13,Paramètres!$A$1:$I$89,3,0)*VLOOKUP('Données projet'!$B$13,Paramètres!$A$1:$I$89,5,0)</f>
        <v>3.1036506698001178E-14</v>
      </c>
      <c r="CV88" s="13">
        <f t="shared" si="95"/>
        <v>5.3428243983771088E-13</v>
      </c>
      <c r="CW88" s="20">
        <f t="shared" si="67"/>
        <v>9.8459716521636505E-13</v>
      </c>
      <c r="CX88" s="59">
        <f t="shared" si="68"/>
        <v>293.33333333333428</v>
      </c>
      <c r="CY88" s="59">
        <f ca="1">AVERAGE(OFFSET($CX$3,0,0,'Données projet'!$E$13+1,1))-AVERAGE(OFFSET($H$3,0,0,'Données projet'!$E$13+1,1))</f>
        <v>210.03861149060413</v>
      </c>
      <c r="CZ88" s="59">
        <f t="shared" si="96"/>
        <v>298.74602928001929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55.201732583274548</v>
      </c>
      <c r="DG88" s="21">
        <f>EXP(-LN(2)/25)*DG87+(1-EXP(-LN(2)/25))/(LN(2)/25)*Calculateur!DB88*Calculateur!DD88*VLOOKUP('Données projet'!$B$13,Paramètres!$A$1:$I$89,3,0)*0.475*44/12</f>
        <v>21.204700109813508</v>
      </c>
      <c r="DH88" s="21">
        <f>EXP(-LN(2)/2)*DH87+(1-EXP(-LN(2)/2))/(LN(2)/2)*DB88*DE88*VLOOKUP('Données projet'!$B$13,Paramètres!$A$1:$I$89,3,0)*0.475*44/12</f>
        <v>1.9479017089654219E-4</v>
      </c>
      <c r="DI88" s="22">
        <f t="shared" si="69"/>
        <v>76.406627483258944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-3.4106051316484809E-13</v>
      </c>
      <c r="DP88" s="17">
        <f>DO88*VLOOKUP('Données projet'!$B$14,Paramètres!$A$1:$I$89,3,0)*VLOOKUP('Données projet'!$B$14,Paramètres!$A$1:$I$89,5,0)</f>
        <v>-2.0395418687257919E-13</v>
      </c>
      <c r="DQ88" s="13" t="e">
        <f t="shared" si="97"/>
        <v>#NUM!</v>
      </c>
      <c r="DR88" s="20" t="e">
        <f t="shared" si="70"/>
        <v>#NUM!</v>
      </c>
      <c r="DS88" s="59" t="e">
        <f t="shared" si="71"/>
        <v>#NUM!</v>
      </c>
      <c r="DT88" s="59">
        <f ca="1">AVERAGE(OFFSET($DS$3,0,0,'Données projet'!$E$14+1,1))-AVERAGE(OFFSET($H$3,0,0,'Données projet'!$E$14+1,1))</f>
        <v>402.28353929315114</v>
      </c>
      <c r="DU88" s="59">
        <f t="shared" si="98"/>
        <v>376.94419168335463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154.26127068345858</v>
      </c>
      <c r="EB88" s="21">
        <f>EXP(-LN(2)/25)*EB87+(1-EXP(-LN(2)/25))/(LN(2)/25)*Calculateur!DW88*Calculateur!DY88*VLOOKUP('Données projet'!$B$14,Paramètres!$A$1:$I$89,3,0)*0.475*44/12</f>
        <v>32.172580800627877</v>
      </c>
      <c r="EC88" s="21">
        <f>EXP(-LN(2)/2)*EC87+(1-EXP(-LN(2)/2))/(LN(2)/2)*DW88*DZ88*VLOOKUP('Données projet'!$B$14,Paramètres!$A$1:$I$89,3,0)*0.475*44/12</f>
        <v>0.20245502781352548</v>
      </c>
      <c r="ED88" s="22">
        <f t="shared" si="72"/>
        <v>186.63630651189999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>
        <f>EJ88*VLOOKUP('Données projet'!$B$15,Paramètres!$A$1:$I$89,3,0)*VLOOKUP('Données projet'!$B$15,Paramètres!$A$1:$I$89,5,0)</f>
        <v>0</v>
      </c>
      <c r="EL88" s="13" t="e">
        <f t="shared" si="99"/>
        <v>#NUM!</v>
      </c>
      <c r="EM88" s="20" t="e">
        <f t="shared" si="73"/>
        <v>#NUM!</v>
      </c>
      <c r="EN88" s="59" t="e">
        <f t="shared" si="74"/>
        <v>#NUM!</v>
      </c>
      <c r="EO88" s="59">
        <f ca="1">AVERAGE(OFFSET($EN$3,0,0,'Données projet'!$E$15+1,1))-AVERAGE(OFFSET($H$3,0,0,'Données projet'!$E$15+1,1))</f>
        <v>273.3012268683454</v>
      </c>
      <c r="EP88" s="59">
        <f t="shared" si="100"/>
        <v>254.08208375594052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94.548425796930601</v>
      </c>
      <c r="EW88" s="21">
        <f>EXP(-LN(2)/25)*EW87+(1-EXP(-LN(2)/25))/(LN(2)/25)*Calculateur!ER88*Calculateur!ET88*VLOOKUP('Données projet'!$B$15,Paramètres!$A$1:$I$89,3,0)*0.475*44/12</f>
        <v>36.07356597957704</v>
      </c>
      <c r="EX88" s="21">
        <f>EXP(-LN(2)/2)*EX87+(1-EXP(-LN(2)/2))/(LN(2)/2)*ER88*EU88*VLOOKUP('Données projet'!$B$15,Paramètres!$A$1:$I$89,3,0)*0.475*44/12</f>
        <v>0.29063907256388816</v>
      </c>
      <c r="EY88" s="22">
        <f t="shared" si="75"/>
        <v>130.91263084907152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6.4</v>
      </c>
      <c r="N89" s="13">
        <f>IF('Données projet'!$A$36&gt;35,N88+M89-V88,IF(A89&lt;'Données projet'!$A$36,$K$205^A89,IF(A89='Données projet'!$A$36,'Données projet'!$B$36,N88+M89-V88)))</f>
        <v>304.39999999999998</v>
      </c>
      <c r="O89" s="13">
        <f>N89*VLOOKUP('Données projet'!$B$9,Paramètres!$A$1:$I$89,3,0)*VLOOKUP('Données projet'!$B$9,Paramètres!$A$1:$I$89,5,0)</f>
        <v>275.42111999999997</v>
      </c>
      <c r="P89" s="13">
        <f t="shared" si="87"/>
        <v>65.998433293601067</v>
      </c>
      <c r="Q89" s="20">
        <f t="shared" si="54"/>
        <v>594.63905531968851</v>
      </c>
      <c r="R89" s="59">
        <f t="shared" si="55"/>
        <v>887.97238865302188</v>
      </c>
      <c r="S89" s="59">
        <f ca="1">AVERAGE(OFFSET($R$3,0,0,'Données projet'!$E$9+1,1))-AVERAGE(OFFSET($H$3,0,0,'Données projet'!$E$9+1,1))</f>
        <v>453.52760163325451</v>
      </c>
      <c r="T89" s="59">
        <f t="shared" si="88"/>
        <v>344.23959526427001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34.549722026658422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34.549722026658422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7.8</v>
      </c>
      <c r="AI89" s="13">
        <f>IF('Données projet'!$A$62&gt;35,AI88+AH89-AQ88,IF(A89&lt;'Données projet'!$A$62,$AF$205^A89,IF(A89='Données projet'!$A$62,'Données projet'!$B$62,AI88+AH89-AQ88)))</f>
        <v>345.79999999999978</v>
      </c>
      <c r="AJ89" s="13">
        <f>AI89*VLOOKUP('Données projet'!$B$10,Paramètres!$A$1:$I$89,3,0)*VLOOKUP('Données projet'!$B$10,Paramètres!$A$1:$I$89,5,0)</f>
        <v>296.69639999999981</v>
      </c>
      <c r="AK89" s="13">
        <f t="shared" si="89"/>
        <v>70.48345633189993</v>
      </c>
      <c r="AL89" s="20">
        <f t="shared" si="58"/>
        <v>639.50491644472538</v>
      </c>
      <c r="AM89" s="59">
        <f t="shared" si="59"/>
        <v>932.83824977805875</v>
      </c>
      <c r="AN89" s="59">
        <f ca="1">AVERAGE(OFFSET($AM$3,0,0,'Données projet'!$E$10+1,1))-AVERAGE(OFFSET($H$3,0,0,'Données projet'!$E$10+1,1))</f>
        <v>397.45670821030774</v>
      </c>
      <c r="AO89" s="59">
        <f t="shared" si="90"/>
        <v>256.77417912163997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40.086186067729756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40.086186067729756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>
        <f>BD89*VLOOKUP('Données projet'!$B$11,Paramètres!$A$1:$I$89,3,0)*VLOOKUP('Données projet'!$B$11,Paramètres!$A$1:$I$89,5,0)</f>
        <v>0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293.20194140252903</v>
      </c>
      <c r="BJ89" s="59">
        <f t="shared" si="92"/>
        <v>280.69048279989266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70.619237185473153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70.619237185473153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-1.1368683772161603E-13</v>
      </c>
      <c r="BZ89" s="13">
        <f>BY89*VLOOKUP('Données projet'!$B$12,Paramètres!$A$1:$I$89,3,0)*VLOOKUP('Données projet'!$B$12,Paramètres!$A$1:$I$89,5,0)</f>
        <v>-9.0449248091317723E-14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271.25628946149067</v>
      </c>
      <c r="CE89" s="59">
        <f t="shared" si="94"/>
        <v>292.57799203101769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90.4179504859856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90.4179504859856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5.6843418860808015E-14</v>
      </c>
      <c r="CU89" s="17">
        <f>CT89*VLOOKUP('Données projet'!$B$13,Paramètres!$A$1:$I$89,3,0)*VLOOKUP('Données projet'!$B$13,Paramètres!$A$1:$I$89,5,0)</f>
        <v>3.1036506698001178E-14</v>
      </c>
      <c r="CV89" s="13">
        <f t="shared" si="95"/>
        <v>5.3428243983771088E-13</v>
      </c>
      <c r="CW89" s="20">
        <f t="shared" si="67"/>
        <v>9.8459716521636505E-13</v>
      </c>
      <c r="CX89" s="59">
        <f t="shared" si="68"/>
        <v>293.33333333333428</v>
      </c>
      <c r="CY89" s="59">
        <f ca="1">AVERAGE(OFFSET($CX$3,0,0,'Données projet'!$E$13+1,1))-AVERAGE(OFFSET($H$3,0,0,'Données projet'!$E$13+1,1))</f>
        <v>210.03861149060413</v>
      </c>
      <c r="CZ89" s="59">
        <f t="shared" si="96"/>
        <v>298.74602928001929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54.119260277048802</v>
      </c>
      <c r="DG89" s="21">
        <f>EXP(-LN(2)/25)*DG88+(1-EXP(-LN(2)/25))/(LN(2)/25)*Calculateur!DB89*Calculateur!DD89*VLOOKUP('Données projet'!$B$13,Paramètres!$A$1:$I$89,3,0)*0.475*44/12</f>
        <v>20.624856470203945</v>
      </c>
      <c r="DH89" s="21">
        <f>EXP(-LN(2)/2)*DH88+(1-EXP(-LN(2)/2))/(LN(2)/2)*DB89*DE89*VLOOKUP('Données projet'!$B$13,Paramètres!$A$1:$I$89,3,0)*0.475*44/12</f>
        <v>1.3773745074943146E-4</v>
      </c>
      <c r="DI89" s="22">
        <f t="shared" si="69"/>
        <v>74.74425448470349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-3.4106051316484809E-13</v>
      </c>
      <c r="DP89" s="17">
        <f>DO89*VLOOKUP('Données projet'!$B$14,Paramètres!$A$1:$I$89,3,0)*VLOOKUP('Données projet'!$B$14,Paramètres!$A$1:$I$89,5,0)</f>
        <v>-2.0395418687257919E-13</v>
      </c>
      <c r="DQ89" s="13" t="e">
        <f t="shared" si="97"/>
        <v>#NUM!</v>
      </c>
      <c r="DR89" s="20" t="e">
        <f t="shared" si="70"/>
        <v>#NUM!</v>
      </c>
      <c r="DS89" s="59" t="e">
        <f t="shared" si="71"/>
        <v>#NUM!</v>
      </c>
      <c r="DT89" s="59">
        <f ca="1">AVERAGE(OFFSET($DS$3,0,0,'Données projet'!$E$14+1,1))-AVERAGE(OFFSET($H$3,0,0,'Données projet'!$E$14+1,1))</f>
        <v>402.28353929315114</v>
      </c>
      <c r="DU89" s="59">
        <f t="shared" si="98"/>
        <v>376.94419168335463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151.23630125544045</v>
      </c>
      <c r="EB89" s="21">
        <f>EXP(-LN(2)/25)*EB88+(1-EXP(-LN(2)/25))/(LN(2)/25)*Calculateur!DW89*Calculateur!DY89*VLOOKUP('Données projet'!$B$14,Paramètres!$A$1:$I$89,3,0)*0.475*44/12</f>
        <v>31.292819886752216</v>
      </c>
      <c r="EC89" s="21">
        <f>EXP(-LN(2)/2)*EC88+(1-EXP(-LN(2)/2))/(LN(2)/2)*DW89*DZ89*VLOOKUP('Données projet'!$B$14,Paramètres!$A$1:$I$89,3,0)*0.475*44/12</f>
        <v>0.14315732305225495</v>
      </c>
      <c r="ED89" s="22">
        <f t="shared" si="72"/>
        <v>182.67227846524494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>
        <f>EJ89*VLOOKUP('Données projet'!$B$15,Paramètres!$A$1:$I$89,3,0)*VLOOKUP('Données projet'!$B$15,Paramètres!$A$1:$I$89,5,0)</f>
        <v>0</v>
      </c>
      <c r="EL89" s="13" t="e">
        <f t="shared" si="99"/>
        <v>#NUM!</v>
      </c>
      <c r="EM89" s="20" t="e">
        <f t="shared" si="73"/>
        <v>#NUM!</v>
      </c>
      <c r="EN89" s="59" t="e">
        <f t="shared" si="74"/>
        <v>#NUM!</v>
      </c>
      <c r="EO89" s="59">
        <f ca="1">AVERAGE(OFFSET($EN$3,0,0,'Données projet'!$E$15+1,1))-AVERAGE(OFFSET($H$3,0,0,'Données projet'!$E$15+1,1))</f>
        <v>273.3012268683454</v>
      </c>
      <c r="EP89" s="59">
        <f t="shared" si="100"/>
        <v>254.08208375594052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92.694388835898209</v>
      </c>
      <c r="EW89" s="21">
        <f>EXP(-LN(2)/25)*EW88+(1-EXP(-LN(2)/25))/(LN(2)/25)*Calculateur!ER89*Calculateur!ET89*VLOOKUP('Données projet'!$B$15,Paramètres!$A$1:$I$89,3,0)*0.475*44/12</f>
        <v>35.087132420839119</v>
      </c>
      <c r="EX89" s="21">
        <f>EXP(-LN(2)/2)*EX88+(1-EXP(-LN(2)/2))/(LN(2)/2)*ER89*EU89*VLOOKUP('Données projet'!$B$15,Paramètres!$A$1:$I$89,3,0)*0.475*44/12</f>
        <v>0.20551285908769437</v>
      </c>
      <c r="EY89" s="22">
        <f t="shared" si="75"/>
        <v>127.98703411582503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6.4</v>
      </c>
      <c r="N90" s="13">
        <f>IF('Données projet'!$A$36&gt;35,N89+M90-V89,IF(A90&lt;'Données projet'!$A$36,$K$205^A90,IF(A90='Données projet'!$A$36,'Données projet'!$B$36,N89+M90-V89)))</f>
        <v>310.79999999999995</v>
      </c>
      <c r="O90" s="13">
        <f>N90*VLOOKUP('Données projet'!$B$9,Paramètres!$A$1:$I$89,3,0)*VLOOKUP('Données projet'!$B$9,Paramètres!$A$1:$I$89,5,0)</f>
        <v>281.21183999999994</v>
      </c>
      <c r="P90" s="13">
        <f t="shared" si="87"/>
        <v>67.22304110496664</v>
      </c>
      <c r="Q90" s="20">
        <f t="shared" si="54"/>
        <v>606.85741792448346</v>
      </c>
      <c r="R90" s="59">
        <f t="shared" si="55"/>
        <v>900.19075125781683</v>
      </c>
      <c r="S90" s="59">
        <f ca="1">AVERAGE(OFFSET($R$3,0,0,'Données projet'!$E$9+1,1))-AVERAGE(OFFSET($H$3,0,0,'Données projet'!$E$9+1,1))</f>
        <v>453.52760163325451</v>
      </c>
      <c r="T90" s="59">
        <f t="shared" si="88"/>
        <v>344.23959526427001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33.872223050965275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33.872223050965275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7.8</v>
      </c>
      <c r="AI90" s="13">
        <f>IF('Données projet'!$A$62&gt;35,AI89+AH90-AQ89,IF(A90&lt;'Données projet'!$A$62,$AF$205^A90,IF(A90='Données projet'!$A$62,'Données projet'!$B$62,AI89+AH90-AQ89)))</f>
        <v>353.5999999999998</v>
      </c>
      <c r="AJ90" s="13">
        <f>AI90*VLOOKUP('Données projet'!$B$10,Paramètres!$A$1:$I$89,3,0)*VLOOKUP('Données projet'!$B$10,Paramètres!$A$1:$I$89,5,0)</f>
        <v>303.38879999999989</v>
      </c>
      <c r="AK90" s="13">
        <f t="shared" si="89"/>
        <v>71.88642102141435</v>
      </c>
      <c r="AL90" s="20">
        <f t="shared" si="58"/>
        <v>653.60434327896314</v>
      </c>
      <c r="AM90" s="59">
        <f t="shared" si="59"/>
        <v>946.9376766122964</v>
      </c>
      <c r="AN90" s="59">
        <f ca="1">AVERAGE(OFFSET($AM$3,0,0,'Données projet'!$E$10+1,1))-AVERAGE(OFFSET($H$3,0,0,'Données projet'!$E$10+1,1))</f>
        <v>397.45670821030774</v>
      </c>
      <c r="AO90" s="59">
        <f t="shared" si="90"/>
        <v>256.77417912163997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39.30012040910082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39.30012040910082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>
        <f>BD90*VLOOKUP('Données projet'!$B$11,Paramètres!$A$1:$I$89,3,0)*VLOOKUP('Données projet'!$B$11,Paramètres!$A$1:$I$89,5,0)</f>
        <v>0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293.20194140252903</v>
      </c>
      <c r="BJ90" s="59">
        <f t="shared" si="92"/>
        <v>280.69048279989266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69.234437017747553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69.234437017747553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-1.1368683772161603E-13</v>
      </c>
      <c r="BZ90" s="13">
        <f>BY90*VLOOKUP('Données projet'!$B$12,Paramètres!$A$1:$I$89,3,0)*VLOOKUP('Données projet'!$B$12,Paramètres!$A$1:$I$89,5,0)</f>
        <v>-9.0449248091317723E-14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271.25628946149067</v>
      </c>
      <c r="CE90" s="59">
        <f t="shared" si="94"/>
        <v>292.57799203101769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88.644909626459651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88.644909626459651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5.6843418860808015E-14</v>
      </c>
      <c r="CU90" s="17">
        <f>CT90*VLOOKUP('Données projet'!$B$13,Paramètres!$A$1:$I$89,3,0)*VLOOKUP('Données projet'!$B$13,Paramètres!$A$1:$I$89,5,0)</f>
        <v>3.1036506698001178E-14</v>
      </c>
      <c r="CV90" s="13">
        <f t="shared" si="95"/>
        <v>5.3428243983771088E-13</v>
      </c>
      <c r="CW90" s="20">
        <f t="shared" si="67"/>
        <v>9.8459716521636505E-13</v>
      </c>
      <c r="CX90" s="59">
        <f t="shared" si="68"/>
        <v>293.33333333333428</v>
      </c>
      <c r="CY90" s="59">
        <f ca="1">AVERAGE(OFFSET($CX$3,0,0,'Données projet'!$E$13+1,1))-AVERAGE(OFFSET($H$3,0,0,'Données projet'!$E$13+1,1))</f>
        <v>210.03861149060413</v>
      </c>
      <c r="CZ90" s="59">
        <f t="shared" si="96"/>
        <v>298.74602928001929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53.058014592505231</v>
      </c>
      <c r="DG90" s="21">
        <f>EXP(-LN(2)/25)*DG89+(1-EXP(-LN(2)/25))/(LN(2)/25)*Calculateur!DB90*Calculateur!DD90*VLOOKUP('Données projet'!$B$13,Paramètres!$A$1:$I$89,3,0)*0.475*44/12</f>
        <v>20.060868685412153</v>
      </c>
      <c r="DH90" s="21">
        <f>EXP(-LN(2)/2)*DH89+(1-EXP(-LN(2)/2))/(LN(2)/2)*DB90*DE90*VLOOKUP('Données projet'!$B$13,Paramètres!$A$1:$I$89,3,0)*0.475*44/12</f>
        <v>9.7395085448271097E-5</v>
      </c>
      <c r="DI90" s="22">
        <f t="shared" si="69"/>
        <v>73.118980673002824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-3.4106051316484809E-13</v>
      </c>
      <c r="DP90" s="17">
        <f>DO90*VLOOKUP('Données projet'!$B$14,Paramètres!$A$1:$I$89,3,0)*VLOOKUP('Données projet'!$B$14,Paramètres!$A$1:$I$89,5,0)</f>
        <v>-2.0395418687257919E-13</v>
      </c>
      <c r="DQ90" s="13" t="e">
        <f t="shared" si="97"/>
        <v>#NUM!</v>
      </c>
      <c r="DR90" s="20" t="e">
        <f t="shared" si="70"/>
        <v>#NUM!</v>
      </c>
      <c r="DS90" s="59" t="e">
        <f t="shared" si="71"/>
        <v>#NUM!</v>
      </c>
      <c r="DT90" s="59">
        <f ca="1">AVERAGE(OFFSET($DS$3,0,0,'Données projet'!$E$14+1,1))-AVERAGE(OFFSET($H$3,0,0,'Données projet'!$E$14+1,1))</f>
        <v>402.28353929315114</v>
      </c>
      <c r="DU90" s="59">
        <f t="shared" si="98"/>
        <v>376.94419168335463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148.27064963285659</v>
      </c>
      <c r="EB90" s="21">
        <f>EXP(-LN(2)/25)*EB89+(1-EXP(-LN(2)/25))/(LN(2)/25)*Calculateur!DW90*Calculateur!DY90*VLOOKUP('Données projet'!$B$14,Paramètres!$A$1:$I$89,3,0)*0.475*44/12</f>
        <v>30.437116081331101</v>
      </c>
      <c r="EC90" s="21">
        <f>EXP(-LN(2)/2)*EC89+(1-EXP(-LN(2)/2))/(LN(2)/2)*DW90*DZ90*VLOOKUP('Données projet'!$B$14,Paramètres!$A$1:$I$89,3,0)*0.475*44/12</f>
        <v>0.10122751390676274</v>
      </c>
      <c r="ED90" s="22">
        <f t="shared" si="72"/>
        <v>178.80899322809447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>
        <f>EJ90*VLOOKUP('Données projet'!$B$15,Paramètres!$A$1:$I$89,3,0)*VLOOKUP('Données projet'!$B$15,Paramètres!$A$1:$I$89,5,0)</f>
        <v>0</v>
      </c>
      <c r="EL90" s="13" t="e">
        <f t="shared" si="99"/>
        <v>#NUM!</v>
      </c>
      <c r="EM90" s="20" t="e">
        <f t="shared" si="73"/>
        <v>#NUM!</v>
      </c>
      <c r="EN90" s="59" t="e">
        <f t="shared" si="74"/>
        <v>#NUM!</v>
      </c>
      <c r="EO90" s="59">
        <f ca="1">AVERAGE(OFFSET($EN$3,0,0,'Données projet'!$E$15+1,1))-AVERAGE(OFFSET($H$3,0,0,'Données projet'!$E$15+1,1))</f>
        <v>273.3012268683454</v>
      </c>
      <c r="EP90" s="59">
        <f t="shared" si="100"/>
        <v>254.08208375594052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90.876708408820775</v>
      </c>
      <c r="EW90" s="21">
        <f>EXP(-LN(2)/25)*EW89+(1-EXP(-LN(2)/25))/(LN(2)/25)*Calculateur!ER90*Calculateur!ET90*VLOOKUP('Données projet'!$B$15,Paramètres!$A$1:$I$89,3,0)*0.475*44/12</f>
        <v>34.127672939639169</v>
      </c>
      <c r="EX90" s="21">
        <f>EXP(-LN(2)/2)*EX89+(1-EXP(-LN(2)/2))/(LN(2)/2)*ER90*EU90*VLOOKUP('Données projet'!$B$15,Paramètres!$A$1:$I$89,3,0)*0.475*44/12</f>
        <v>0.14531953628194408</v>
      </c>
      <c r="EY90" s="22">
        <f t="shared" si="75"/>
        <v>125.14970088474189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6.4</v>
      </c>
      <c r="N91" s="13">
        <f>IF('Données projet'!$A$36&gt;35,N90+M91-V90,IF(A91&lt;'Données projet'!$A$36,$K$205^A91,IF(A91='Données projet'!$A$36,'Données projet'!$B$36,N90+M91-V90)))</f>
        <v>317.19999999999993</v>
      </c>
      <c r="O91" s="13">
        <f>N91*VLOOKUP('Données projet'!$B$9,Paramètres!$A$1:$I$89,3,0)*VLOOKUP('Données projet'!$B$9,Paramètres!$A$1:$I$89,5,0)</f>
        <v>287.0025599999999</v>
      </c>
      <c r="P91" s="13">
        <f t="shared" si="87"/>
        <v>68.444716936118553</v>
      </c>
      <c r="Q91" s="20">
        <f t="shared" si="54"/>
        <v>619.07067399707296</v>
      </c>
      <c r="R91" s="59">
        <f t="shared" si="55"/>
        <v>912.40400733040633</v>
      </c>
      <c r="S91" s="59">
        <f ca="1">AVERAGE(OFFSET($R$3,0,0,'Données projet'!$E$9+1,1))-AVERAGE(OFFSET($H$3,0,0,'Données projet'!$E$9+1,1))</f>
        <v>453.52760163325451</v>
      </c>
      <c r="T91" s="59">
        <f t="shared" si="88"/>
        <v>344.23959526427001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33.208009416951903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33.208009416951903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7.8</v>
      </c>
      <c r="AI91" s="13">
        <f>IF('Données projet'!$A$62&gt;35,AI90+AH91-AQ90,IF(A91&lt;'Données projet'!$A$62,$AF$205^A91,IF(A91='Données projet'!$A$62,'Données projet'!$B$62,AI90+AH91-AQ90)))</f>
        <v>361.39999999999981</v>
      </c>
      <c r="AJ91" s="13">
        <f>AI91*VLOOKUP('Données projet'!$B$10,Paramètres!$A$1:$I$89,3,0)*VLOOKUP('Données projet'!$B$10,Paramètres!$A$1:$I$89,5,0)</f>
        <v>310.08119999999985</v>
      </c>
      <c r="AK91" s="13">
        <f t="shared" si="89"/>
        <v>73.285787705139427</v>
      </c>
      <c r="AL91" s="20">
        <f t="shared" si="58"/>
        <v>667.69750358645092</v>
      </c>
      <c r="AM91" s="59">
        <f t="shared" si="59"/>
        <v>961.03083691978418</v>
      </c>
      <c r="AN91" s="59">
        <f ca="1">AVERAGE(OFFSET($AM$3,0,0,'Données projet'!$E$10+1,1))-AVERAGE(OFFSET($H$3,0,0,'Données projet'!$E$10+1,1))</f>
        <v>397.45670821030774</v>
      </c>
      <c r="AO91" s="59">
        <f t="shared" si="90"/>
        <v>256.77417912163997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38.529469018584891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38.529469018584891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>
        <f>BD91*VLOOKUP('Données projet'!$B$11,Paramètres!$A$1:$I$89,3,0)*VLOOKUP('Données projet'!$B$11,Paramètres!$A$1:$I$89,5,0)</f>
        <v>0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293.20194140252903</v>
      </c>
      <c r="BJ91" s="59">
        <f t="shared" si="92"/>
        <v>280.69048279989266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67.876791936666351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67.876791936666351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-1.1368683772161603E-13</v>
      </c>
      <c r="BZ91" s="13">
        <f>BY91*VLOOKUP('Données projet'!$B$12,Paramètres!$A$1:$I$89,3,0)*VLOOKUP('Données projet'!$B$12,Paramètres!$A$1:$I$89,5,0)</f>
        <v>-9.0449248091317723E-14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271.25628946149067</v>
      </c>
      <c r="CE91" s="59">
        <f t="shared" si="94"/>
        <v>292.57799203101769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86.906637016740873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86.906637016740873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5.6843418860808015E-14</v>
      </c>
      <c r="CU91" s="17">
        <f>CT91*VLOOKUP('Données projet'!$B$13,Paramètres!$A$1:$I$89,3,0)*VLOOKUP('Données projet'!$B$13,Paramètres!$A$1:$I$89,5,0)</f>
        <v>3.1036506698001178E-14</v>
      </c>
      <c r="CV91" s="13">
        <f t="shared" si="95"/>
        <v>5.3428243983771088E-13</v>
      </c>
      <c r="CW91" s="20">
        <f t="shared" si="67"/>
        <v>9.8459716521636505E-13</v>
      </c>
      <c r="CX91" s="59">
        <f t="shared" si="68"/>
        <v>293.33333333333428</v>
      </c>
      <c r="CY91" s="59">
        <f ca="1">AVERAGE(OFFSET($CX$3,0,0,'Données projet'!$E$13+1,1))-AVERAGE(OFFSET($H$3,0,0,'Données projet'!$E$13+1,1))</f>
        <v>210.03861149060413</v>
      </c>
      <c r="CZ91" s="59">
        <f t="shared" si="96"/>
        <v>298.74602928001929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52.017579288539601</v>
      </c>
      <c r="DG91" s="21">
        <f>EXP(-LN(2)/25)*DG90+(1-EXP(-LN(2)/25))/(LN(2)/25)*Calculateur!DB91*Calculateur!DD91*VLOOKUP('Données projet'!$B$13,Paramètres!$A$1:$I$89,3,0)*0.475*44/12</f>
        <v>19.512303176254324</v>
      </c>
      <c r="DH91" s="21">
        <f>EXP(-LN(2)/2)*DH90+(1-EXP(-LN(2)/2))/(LN(2)/2)*DB91*DE91*VLOOKUP('Données projet'!$B$13,Paramètres!$A$1:$I$89,3,0)*0.475*44/12</f>
        <v>6.8868725374715729E-5</v>
      </c>
      <c r="DI91" s="22">
        <f t="shared" si="69"/>
        <v>71.529951333519307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-3.4106051316484809E-13</v>
      </c>
      <c r="DP91" s="17">
        <f>DO91*VLOOKUP('Données projet'!$B$14,Paramètres!$A$1:$I$89,3,0)*VLOOKUP('Données projet'!$B$14,Paramètres!$A$1:$I$89,5,0)</f>
        <v>-2.0395418687257919E-13</v>
      </c>
      <c r="DQ91" s="13" t="e">
        <f t="shared" si="97"/>
        <v>#NUM!</v>
      </c>
      <c r="DR91" s="20" t="e">
        <f t="shared" si="70"/>
        <v>#NUM!</v>
      </c>
      <c r="DS91" s="59" t="e">
        <f t="shared" si="71"/>
        <v>#NUM!</v>
      </c>
      <c r="DT91" s="59">
        <f ca="1">AVERAGE(OFFSET($DS$3,0,0,'Données projet'!$E$14+1,1))-AVERAGE(OFFSET($H$3,0,0,'Données projet'!$E$14+1,1))</f>
        <v>402.28353929315114</v>
      </c>
      <c r="DU91" s="59">
        <f t="shared" si="98"/>
        <v>376.94419168335463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145.36315262972272</v>
      </c>
      <c r="EB91" s="21">
        <f>EXP(-LN(2)/25)*EB90+(1-EXP(-LN(2)/25))/(LN(2)/25)*Calculateur!DW91*Calculateur!DY91*VLOOKUP('Données projet'!$B$14,Paramètres!$A$1:$I$89,3,0)*0.475*44/12</f>
        <v>29.604811541468735</v>
      </c>
      <c r="EC91" s="21">
        <f>EXP(-LN(2)/2)*EC90+(1-EXP(-LN(2)/2))/(LN(2)/2)*DW91*DZ91*VLOOKUP('Données projet'!$B$14,Paramètres!$A$1:$I$89,3,0)*0.475*44/12</f>
        <v>7.1578661526127477E-2</v>
      </c>
      <c r="ED91" s="22">
        <f t="shared" si="72"/>
        <v>175.03954283271759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>
        <f>EJ91*VLOOKUP('Données projet'!$B$15,Paramètres!$A$1:$I$89,3,0)*VLOOKUP('Données projet'!$B$15,Paramètres!$A$1:$I$89,5,0)</f>
        <v>0</v>
      </c>
      <c r="EL91" s="13" t="e">
        <f t="shared" si="99"/>
        <v>#NUM!</v>
      </c>
      <c r="EM91" s="20" t="e">
        <f t="shared" si="73"/>
        <v>#NUM!</v>
      </c>
      <c r="EN91" s="59" t="e">
        <f t="shared" si="74"/>
        <v>#NUM!</v>
      </c>
      <c r="EO91" s="59">
        <f ca="1">AVERAGE(OFFSET($EN$3,0,0,'Données projet'!$E$15+1,1))-AVERAGE(OFFSET($H$3,0,0,'Données projet'!$E$15+1,1))</f>
        <v>273.3012268683454</v>
      </c>
      <c r="EP91" s="59">
        <f t="shared" si="100"/>
        <v>254.08208375594052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89.09467158624274</v>
      </c>
      <c r="EW91" s="21">
        <f>EXP(-LN(2)/25)*EW90+(1-EXP(-LN(2)/25))/(LN(2)/25)*Calculateur!ER91*Calculateur!ET91*VLOOKUP('Données projet'!$B$15,Paramètres!$A$1:$I$89,3,0)*0.475*44/12</f>
        <v>33.194449928408417</v>
      </c>
      <c r="EX91" s="21">
        <f>EXP(-LN(2)/2)*EX90+(1-EXP(-LN(2)/2))/(LN(2)/2)*ER91*EU91*VLOOKUP('Données projet'!$B$15,Paramètres!$A$1:$I$89,3,0)*0.475*44/12</f>
        <v>0.10275642954384719</v>
      </c>
      <c r="EY91" s="22">
        <f t="shared" si="75"/>
        <v>122.391877944195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6.4</v>
      </c>
      <c r="N92" s="13">
        <f>IF('Données projet'!$A$36&gt;35,N91+M92-V91,IF(A92&lt;'Données projet'!$A$36,$K$205^A92,IF(A92='Données projet'!$A$36,'Données projet'!$B$36,N91+M92-V91)))</f>
        <v>323.59999999999991</v>
      </c>
      <c r="O92" s="13">
        <f>N92*VLOOKUP('Données projet'!$B$9,Paramètres!$A$1:$I$89,3,0)*VLOOKUP('Données projet'!$B$9,Paramètres!$A$1:$I$89,5,0)</f>
        <v>292.79327999999992</v>
      </c>
      <c r="P92" s="13">
        <f t="shared" si="87"/>
        <v>69.663526761731433</v>
      </c>
      <c r="Q92" s="20">
        <f t="shared" si="54"/>
        <v>631.27893844334869</v>
      </c>
      <c r="R92" s="59">
        <f t="shared" si="55"/>
        <v>924.61227177668206</v>
      </c>
      <c r="S92" s="59">
        <f ca="1">AVERAGE(OFFSET($R$3,0,0,'Données projet'!$E$9+1,1))-AVERAGE(OFFSET($H$3,0,0,'Données projet'!$E$9+1,1))</f>
        <v>453.52760163325451</v>
      </c>
      <c r="T92" s="59">
        <f t="shared" si="88"/>
        <v>344.23959526427001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32.556820607171218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32.556820607171218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7.8</v>
      </c>
      <c r="AI92" s="13">
        <f>IF('Données projet'!$A$62&gt;35,AI91+AH92-AQ91,IF(A92&lt;'Données projet'!$A$62,$AF$205^A92,IF(A92='Données projet'!$A$62,'Données projet'!$B$62,AI91+AH92-AQ91)))</f>
        <v>369.19999999999982</v>
      </c>
      <c r="AJ92" s="13">
        <f>AI92*VLOOKUP('Données projet'!$B$10,Paramètres!$A$1:$I$89,3,0)*VLOOKUP('Données projet'!$B$10,Paramètres!$A$1:$I$89,5,0)</f>
        <v>316.77359999999987</v>
      </c>
      <c r="AK92" s="13">
        <f t="shared" si="89"/>
        <v>74.681642981668006</v>
      </c>
      <c r="AL92" s="20">
        <f t="shared" si="58"/>
        <v>681.78454819307149</v>
      </c>
      <c r="AM92" s="59">
        <f t="shared" si="59"/>
        <v>975.11788152640474</v>
      </c>
      <c r="AN92" s="59">
        <f ca="1">AVERAGE(OFFSET($AM$3,0,0,'Données projet'!$E$10+1,1))-AVERAGE(OFFSET($H$3,0,0,'Données projet'!$E$10+1,1))</f>
        <v>397.45670821030774</v>
      </c>
      <c r="AO92" s="59">
        <f t="shared" si="90"/>
        <v>256.77417912163997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37.773929631786046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37.773929631786046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>
        <f>BD92*VLOOKUP('Données projet'!$B$11,Paramètres!$A$1:$I$89,3,0)*VLOOKUP('Données projet'!$B$11,Paramètres!$A$1:$I$89,5,0)</f>
        <v>0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293.20194140252903</v>
      </c>
      <c r="BJ92" s="59">
        <f t="shared" si="92"/>
        <v>280.69048279989266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66.545769447543421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66.545769447543421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-1.1368683772161603E-13</v>
      </c>
      <c r="BZ92" s="13">
        <f>BY92*VLOOKUP('Données projet'!$B$12,Paramètres!$A$1:$I$89,3,0)*VLOOKUP('Données projet'!$B$12,Paramètres!$A$1:$I$89,5,0)</f>
        <v>-9.0449248091317723E-14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271.25628946149067</v>
      </c>
      <c r="CE92" s="59">
        <f t="shared" si="94"/>
        <v>292.57799203101769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85.202450872657082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85.202450872657082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5.6843418860808015E-14</v>
      </c>
      <c r="CU92" s="17">
        <f>CT92*VLOOKUP('Données projet'!$B$13,Paramètres!$A$1:$I$89,3,0)*VLOOKUP('Données projet'!$B$13,Paramètres!$A$1:$I$89,5,0)</f>
        <v>3.1036506698001178E-14</v>
      </c>
      <c r="CV92" s="13">
        <f t="shared" si="95"/>
        <v>5.3428243983771088E-13</v>
      </c>
      <c r="CW92" s="20">
        <f t="shared" si="67"/>
        <v>9.8459716521636505E-13</v>
      </c>
      <c r="CX92" s="59">
        <f t="shared" si="68"/>
        <v>293.33333333333428</v>
      </c>
      <c r="CY92" s="59">
        <f ca="1">AVERAGE(OFFSET($CX$3,0,0,'Données projet'!$E$13+1,1))-AVERAGE(OFFSET($H$3,0,0,'Données projet'!$E$13+1,1))</f>
        <v>210.03861149060413</v>
      </c>
      <c r="CZ92" s="59">
        <f t="shared" si="96"/>
        <v>298.74602928001929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50.997546286281867</v>
      </c>
      <c r="DG92" s="21">
        <f>EXP(-LN(2)/25)*DG91+(1-EXP(-LN(2)/25))/(LN(2)/25)*Calculateur!DB92*Calculateur!DD92*VLOOKUP('Données projet'!$B$13,Paramètres!$A$1:$I$89,3,0)*0.475*44/12</f>
        <v>18.97873821979222</v>
      </c>
      <c r="DH92" s="21">
        <f>EXP(-LN(2)/2)*DH91+(1-EXP(-LN(2)/2))/(LN(2)/2)*DB92*DE92*VLOOKUP('Données projet'!$B$13,Paramètres!$A$1:$I$89,3,0)*0.475*44/12</f>
        <v>4.8697542724135549E-5</v>
      </c>
      <c r="DI92" s="22">
        <f t="shared" si="69"/>
        <v>69.976333203616804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-3.4106051316484809E-13</v>
      </c>
      <c r="DP92" s="17">
        <f>DO92*VLOOKUP('Données projet'!$B$14,Paramètres!$A$1:$I$89,3,0)*VLOOKUP('Données projet'!$B$14,Paramètres!$A$1:$I$89,5,0)</f>
        <v>-2.0395418687257919E-13</v>
      </c>
      <c r="DQ92" s="13" t="e">
        <f t="shared" si="97"/>
        <v>#NUM!</v>
      </c>
      <c r="DR92" s="20" t="e">
        <f t="shared" si="70"/>
        <v>#NUM!</v>
      </c>
      <c r="DS92" s="59" t="e">
        <f t="shared" si="71"/>
        <v>#NUM!</v>
      </c>
      <c r="DT92" s="59">
        <f ca="1">AVERAGE(OFFSET($DS$3,0,0,'Données projet'!$E$14+1,1))-AVERAGE(OFFSET($H$3,0,0,'Données projet'!$E$14+1,1))</f>
        <v>402.28353929315114</v>
      </c>
      <c r="DU92" s="59">
        <f t="shared" si="98"/>
        <v>376.94419168335463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142.51266986942224</v>
      </c>
      <c r="EB92" s="21">
        <f>EXP(-LN(2)/25)*EB91+(1-EXP(-LN(2)/25))/(LN(2)/25)*Calculateur!DW92*Calculateur!DY92*VLOOKUP('Données projet'!$B$14,Paramètres!$A$1:$I$89,3,0)*0.475*44/12</f>
        <v>28.795266413017895</v>
      </c>
      <c r="EC92" s="21">
        <f>EXP(-LN(2)/2)*EC91+(1-EXP(-LN(2)/2))/(LN(2)/2)*DW92*DZ92*VLOOKUP('Données projet'!$B$14,Paramètres!$A$1:$I$89,3,0)*0.475*44/12</f>
        <v>5.061375695338137E-2</v>
      </c>
      <c r="ED92" s="22">
        <f t="shared" si="72"/>
        <v>171.35855003939349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>
        <f>EJ92*VLOOKUP('Données projet'!$B$15,Paramètres!$A$1:$I$89,3,0)*VLOOKUP('Données projet'!$B$15,Paramètres!$A$1:$I$89,5,0)</f>
        <v>0</v>
      </c>
      <c r="EL92" s="13" t="e">
        <f t="shared" si="99"/>
        <v>#NUM!</v>
      </c>
      <c r="EM92" s="20" t="e">
        <f t="shared" si="73"/>
        <v>#NUM!</v>
      </c>
      <c r="EN92" s="59" t="e">
        <f t="shared" si="74"/>
        <v>#NUM!</v>
      </c>
      <c r="EO92" s="59">
        <f ca="1">AVERAGE(OFFSET($EN$3,0,0,'Données projet'!$E$15+1,1))-AVERAGE(OFFSET($H$3,0,0,'Données projet'!$E$15+1,1))</f>
        <v>273.3012268683454</v>
      </c>
      <c r="EP92" s="59">
        <f t="shared" si="100"/>
        <v>254.08208375594052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87.347579418820317</v>
      </c>
      <c r="EW92" s="21">
        <f>EXP(-LN(2)/25)*EW91+(1-EXP(-LN(2)/25))/(LN(2)/25)*Calculateur!ER92*Calculateur!ET92*VLOOKUP('Données projet'!$B$15,Paramètres!$A$1:$I$89,3,0)*0.475*44/12</f>
        <v>32.286745949495831</v>
      </c>
      <c r="EX92" s="21">
        <f>EXP(-LN(2)/2)*EX91+(1-EXP(-LN(2)/2))/(LN(2)/2)*ER92*EU92*VLOOKUP('Données projet'!$B$15,Paramètres!$A$1:$I$89,3,0)*0.475*44/12</f>
        <v>7.2659768140972039E-2</v>
      </c>
      <c r="EY92" s="22">
        <f t="shared" si="75"/>
        <v>119.70698513645712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330</v>
      </c>
      <c r="L93" s="12">
        <f>VLOOKUP(A93,'Données projet'!$A$35:$I$55,9,0)</f>
        <v>6.4</v>
      </c>
      <c r="M93" s="12">
        <f t="array" ref="M93">INDEX(L:L,MIN(IF(ISNUMBER(L93:L289),ROW(L93:L289),"")))</f>
        <v>6.4</v>
      </c>
      <c r="N93" s="13">
        <f>IF('Données projet'!$A$36&gt;35,N92+M93-V92,IF(A93&lt;'Données projet'!$A$36,$K$205^A93,IF(A93='Données projet'!$A$36,'Données projet'!$B$36,N92+M93-V92)))</f>
        <v>329.99999999999989</v>
      </c>
      <c r="O93" s="13">
        <f>N93*VLOOKUP('Données projet'!$B$9,Paramètres!$A$1:$I$89,3,0)*VLOOKUP('Données projet'!$B$9,Paramètres!$A$1:$I$89,5,0)</f>
        <v>298.58399999999989</v>
      </c>
      <c r="P93" s="13">
        <f t="shared" si="87"/>
        <v>70.879533797607607</v>
      </c>
      <c r="Q93" s="20">
        <f t="shared" si="54"/>
        <v>643.4823213641663</v>
      </c>
      <c r="R93" s="59">
        <f t="shared" si="55"/>
        <v>936.81565469749967</v>
      </c>
      <c r="S93" s="59">
        <f ca="1">AVERAGE(OFFSET($R$3,0,0,'Données projet'!$E$9+1,1))-AVERAGE(OFFSET($H$3,0,0,'Données projet'!$E$9+1,1))</f>
        <v>453.52760163325451</v>
      </c>
      <c r="T93" s="59">
        <f t="shared" si="88"/>
        <v>344.23959526427001</v>
      </c>
      <c r="U93" s="15">
        <f>IF(ISNA(VLOOKUP(A93,'Données projet'!$A$35:$I$55,3,0)),0,VLOOKUP(A93,'Données projet'!$A$35:$I$55,3,0))</f>
        <v>15</v>
      </c>
      <c r="V93" s="15">
        <f>IF(ISNA(VLOOKUP(A93,'Données projet'!$A$35:$I$55,4,0)),0,VLOOKUP(A93,'Données projet'!$A$35:$I$55,4,0))</f>
        <v>28</v>
      </c>
      <c r="W93" s="16">
        <f>IF(ISNA(VLOOKUP(A93,'Données projet'!$A$35:$I$55,5,0)),0%,VLOOKUP(A93,'Données projet'!$A$35:$I$55,5,0)*VLOOKUP('Données projet'!$B$9,Paramètres!$A$1:$I$89,7,0))</f>
        <v>0.30099999999999999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40.348336276519483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40.348336276519483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377</v>
      </c>
      <c r="AG93" s="12">
        <f>VLOOKUP(A93,'Données projet'!$A$61:$I$81,9,0)</f>
        <v>7.8</v>
      </c>
      <c r="AH93" s="12">
        <f t="array" ref="AH93">INDEX(AG:AG,MIN(IF(ISNUMBER(AG93:AG289),ROW(AG93:AG289),"")))</f>
        <v>7.8</v>
      </c>
      <c r="AI93" s="13">
        <f>IF('Données projet'!$A$62&gt;35,AI92+AH93-AQ92,IF(A93&lt;'Données projet'!$A$62,$AF$205^A93,IF(A93='Données projet'!$A$62,'Données projet'!$B$62,AI92+AH93-AQ92)))</f>
        <v>376.99999999999983</v>
      </c>
      <c r="AJ93" s="13">
        <f>AI93*VLOOKUP('Données projet'!$B$10,Paramètres!$A$1:$I$89,3,0)*VLOOKUP('Données projet'!$B$10,Paramètres!$A$1:$I$89,5,0)</f>
        <v>323.46599999999989</v>
      </c>
      <c r="AK93" s="13">
        <f t="shared" si="89"/>
        <v>76.074069581431147</v>
      </c>
      <c r="AL93" s="20">
        <f t="shared" si="58"/>
        <v>695.86562118765903</v>
      </c>
      <c r="AM93" s="59">
        <f t="shared" si="59"/>
        <v>989.1989545209924</v>
      </c>
      <c r="AN93" s="59">
        <f ca="1">AVERAGE(OFFSET($AM$3,0,0,'Données projet'!$E$10+1,1))-AVERAGE(OFFSET($H$3,0,0,'Données projet'!$E$10+1,1))</f>
        <v>397.45670821030774</v>
      </c>
      <c r="AO93" s="59">
        <f t="shared" si="90"/>
        <v>256.77417912163997</v>
      </c>
      <c r="AP93" s="15">
        <f>IF(ISNA(VLOOKUP(A93,'Données projet'!$A$61:$I$81,3,0)),0,VLOOKUP(A93,'Données projet'!$A$61:$I$81,3,0))</f>
        <v>15</v>
      </c>
      <c r="AQ93" s="15">
        <f>IF(ISNA(VLOOKUP(A93,'Données projet'!$A$61:$I$81,4,0)),0,VLOOKUP(A93,'Données projet'!$A$61:$I$81,4,0))</f>
        <v>26</v>
      </c>
      <c r="AR93" s="16">
        <f>IF(ISNA(VLOOKUP(A93,'Données projet'!$A$61:$I$81,5,0)),0%,VLOOKUP(A93,'Données projet'!$A$61:$I$81,5,0)*VLOOKUP('Données projet'!$B$10,Paramètres!$A$1:$I$89,7,0))</f>
        <v>0.371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46.182375038605215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46.182375038605215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>
        <f>BD93*VLOOKUP('Données projet'!$B$11,Paramètres!$A$1:$I$89,3,0)*VLOOKUP('Données projet'!$B$11,Paramètres!$A$1:$I$89,5,0)</f>
        <v>0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293.20194140252903</v>
      </c>
      <c r="BJ93" s="59">
        <f t="shared" si="92"/>
        <v>280.69048279989266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65.240847497588632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65.240847497588632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-1.1368683772161603E-13</v>
      </c>
      <c r="BZ93" s="13">
        <f>BY93*VLOOKUP('Données projet'!$B$12,Paramètres!$A$1:$I$89,3,0)*VLOOKUP('Données projet'!$B$12,Paramètres!$A$1:$I$89,5,0)</f>
        <v>-9.0449248091317723E-14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271.25628946149067</v>
      </c>
      <c r="CE93" s="59">
        <f t="shared" si="94"/>
        <v>292.57799203101769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83.531682779407859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83.531682779407859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5.6843418860808015E-14</v>
      </c>
      <c r="CU93" s="17">
        <f>CT93*VLOOKUP('Données projet'!$B$13,Paramètres!$A$1:$I$89,3,0)*VLOOKUP('Données projet'!$B$13,Paramètres!$A$1:$I$89,5,0)</f>
        <v>3.1036506698001178E-14</v>
      </c>
      <c r="CV93" s="13">
        <f t="shared" si="95"/>
        <v>5.3428243983771088E-13</v>
      </c>
      <c r="CW93" s="20">
        <f t="shared" si="67"/>
        <v>9.8459716521636505E-13</v>
      </c>
      <c r="CX93" s="59">
        <f t="shared" si="68"/>
        <v>293.33333333333428</v>
      </c>
      <c r="CY93" s="59">
        <f ca="1">AVERAGE(OFFSET($CX$3,0,0,'Données projet'!$E$13+1,1))-AVERAGE(OFFSET($H$3,0,0,'Données projet'!$E$13+1,1))</f>
        <v>210.03861149060413</v>
      </c>
      <c r="CZ93" s="59">
        <f t="shared" si="96"/>
        <v>298.74602928001929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49.997515509039708</v>
      </c>
      <c r="DG93" s="21">
        <f>EXP(-LN(2)/25)*DG92+(1-EXP(-LN(2)/25))/(LN(2)/25)*Calculateur!DB93*Calculateur!DD93*VLOOKUP('Données projet'!$B$13,Paramètres!$A$1:$I$89,3,0)*0.475*44/12</f>
        <v>18.459763625123536</v>
      </c>
      <c r="DH93" s="21">
        <f>EXP(-LN(2)/2)*DH92+(1-EXP(-LN(2)/2))/(LN(2)/2)*DB93*DE93*VLOOKUP('Données projet'!$B$13,Paramètres!$A$1:$I$89,3,0)*0.475*44/12</f>
        <v>3.4434362687357865E-5</v>
      </c>
      <c r="DI93" s="22">
        <f t="shared" si="69"/>
        <v>68.457313568525933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-3.4106051316484809E-13</v>
      </c>
      <c r="DP93" s="17">
        <f>DO93*VLOOKUP('Données projet'!$B$14,Paramètres!$A$1:$I$89,3,0)*VLOOKUP('Données projet'!$B$14,Paramètres!$A$1:$I$89,5,0)</f>
        <v>-2.0395418687257919E-13</v>
      </c>
      <c r="DQ93" s="13" t="e">
        <f t="shared" si="97"/>
        <v>#NUM!</v>
      </c>
      <c r="DR93" s="20" t="e">
        <f t="shared" si="70"/>
        <v>#NUM!</v>
      </c>
      <c r="DS93" s="59" t="e">
        <f t="shared" si="71"/>
        <v>#NUM!</v>
      </c>
      <c r="DT93" s="59">
        <f ca="1">AVERAGE(OFFSET($DS$3,0,0,'Données projet'!$E$14+1,1))-AVERAGE(OFFSET($H$3,0,0,'Données projet'!$E$14+1,1))</f>
        <v>402.28353929315114</v>
      </c>
      <c r="DU93" s="59">
        <f t="shared" si="98"/>
        <v>376.94419168335463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139.71808333742845</v>
      </c>
      <c r="EB93" s="21">
        <f>EXP(-LN(2)/25)*EB92+(1-EXP(-LN(2)/25))/(LN(2)/25)*Calculateur!DW93*Calculateur!DY93*VLOOKUP('Données projet'!$B$14,Paramètres!$A$1:$I$89,3,0)*0.475*44/12</f>
        <v>28.007858338676673</v>
      </c>
      <c r="EC93" s="21">
        <f>EXP(-LN(2)/2)*EC92+(1-EXP(-LN(2)/2))/(LN(2)/2)*DW93*DZ93*VLOOKUP('Données projet'!$B$14,Paramètres!$A$1:$I$89,3,0)*0.475*44/12</f>
        <v>3.5789330763063738E-2</v>
      </c>
      <c r="ED93" s="22">
        <f t="shared" si="72"/>
        <v>167.76173100686819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>
        <f>EJ93*VLOOKUP('Données projet'!$B$15,Paramètres!$A$1:$I$89,3,0)*VLOOKUP('Données projet'!$B$15,Paramètres!$A$1:$I$89,5,0)</f>
        <v>0</v>
      </c>
      <c r="EL93" s="13" t="e">
        <f t="shared" si="99"/>
        <v>#NUM!</v>
      </c>
      <c r="EM93" s="20" t="e">
        <f t="shared" si="73"/>
        <v>#NUM!</v>
      </c>
      <c r="EN93" s="59" t="e">
        <f t="shared" si="74"/>
        <v>#NUM!</v>
      </c>
      <c r="EO93" s="59">
        <f ca="1">AVERAGE(OFFSET($EN$3,0,0,'Données projet'!$E$15+1,1))-AVERAGE(OFFSET($H$3,0,0,'Données projet'!$E$15+1,1))</f>
        <v>273.3012268683454</v>
      </c>
      <c r="EP93" s="59">
        <f t="shared" si="100"/>
        <v>254.08208375594052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85.634746663180053</v>
      </c>
      <c r="EW93" s="21">
        <f>EXP(-LN(2)/25)*EW92+(1-EXP(-LN(2)/25))/(LN(2)/25)*Calculateur!ER93*Calculateur!ET93*VLOOKUP('Données projet'!$B$15,Paramètres!$A$1:$I$89,3,0)*0.475*44/12</f>
        <v>31.40386318362069</v>
      </c>
      <c r="EX93" s="21">
        <f>EXP(-LN(2)/2)*EX92+(1-EXP(-LN(2)/2))/(LN(2)/2)*ER93*EU93*VLOOKUP('Données projet'!$B$15,Paramètres!$A$1:$I$89,3,0)*0.475*44/12</f>
        <v>5.1378214771923593E-2</v>
      </c>
      <c r="EY93" s="22">
        <f t="shared" si="75"/>
        <v>117.08998806157267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6.2</v>
      </c>
      <c r="N94" s="13">
        <f>IF('Données projet'!$A$36&gt;35,N93+M94-V93,IF(A94&lt;'Données projet'!$A$36,$K$205^A94,IF(A94='Données projet'!$A$36,'Données projet'!$B$36,N93+M94-V93)))</f>
        <v>308.19999999999987</v>
      </c>
      <c r="O94" s="13">
        <f>N94*VLOOKUP('Données projet'!$B$9,Paramètres!$A$1:$I$89,3,0)*VLOOKUP('Données projet'!$B$9,Paramètres!$A$1:$I$89,5,0)</f>
        <v>278.85935999999987</v>
      </c>
      <c r="P94" s="13">
        <f t="shared" si="87"/>
        <v>66.725901622172387</v>
      </c>
      <c r="Q94" s="20">
        <f t="shared" si="54"/>
        <v>601.8943306586167</v>
      </c>
      <c r="R94" s="59">
        <f t="shared" si="55"/>
        <v>895.22766399195007</v>
      </c>
      <c r="S94" s="59">
        <f ca="1">AVERAGE(OFFSET($R$3,0,0,'Données projet'!$E$9+1,1))-AVERAGE(OFFSET($H$3,0,0,'Données projet'!$E$9+1,1))</f>
        <v>453.52760163325451</v>
      </c>
      <c r="T94" s="59">
        <f t="shared" si="88"/>
        <v>344.23959526427001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39.557130012192026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39.557130012192026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7.6</v>
      </c>
      <c r="AI94" s="13">
        <f>IF('Données projet'!$A$62&gt;35,AI93+AH94-AQ93,IF(A94&lt;'Données projet'!$A$62,$AF$205^A94,IF(A94='Données projet'!$A$62,'Données projet'!$B$62,AI93+AH94-AQ93)))</f>
        <v>358.59999999999985</v>
      </c>
      <c r="AJ94" s="13">
        <f>AI94*VLOOKUP('Données projet'!$B$10,Paramètres!$A$1:$I$89,3,0)*VLOOKUP('Données projet'!$B$10,Paramètres!$A$1:$I$89,5,0)</f>
        <v>307.67879999999991</v>
      </c>
      <c r="AK94" s="13">
        <f t="shared" si="89"/>
        <v>72.783859383050768</v>
      </c>
      <c r="AL94" s="20">
        <f t="shared" si="58"/>
        <v>662.63913175881328</v>
      </c>
      <c r="AM94" s="59">
        <f t="shared" si="59"/>
        <v>955.97246509214665</v>
      </c>
      <c r="AN94" s="59">
        <f ca="1">AVERAGE(OFFSET($AM$3,0,0,'Données projet'!$E$10+1,1))-AVERAGE(OFFSET($H$3,0,0,'Données projet'!$E$10+1,1))</f>
        <v>397.45670821030774</v>
      </c>
      <c r="AO94" s="59">
        <f t="shared" si="90"/>
        <v>256.77417912163997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45.276766832565535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45.276766832565535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>
        <f>BD94*VLOOKUP('Données projet'!$B$11,Paramètres!$A$1:$I$89,3,0)*VLOOKUP('Données projet'!$B$11,Paramètres!$A$1:$I$89,5,0)</f>
        <v>0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293.20194140252903</v>
      </c>
      <c r="BJ94" s="59">
        <f t="shared" si="92"/>
        <v>280.69048279989266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63.961514271148658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63.961514271148658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-1.1368683772161603E-13</v>
      </c>
      <c r="BZ94" s="13">
        <f>BY94*VLOOKUP('Données projet'!$B$12,Paramètres!$A$1:$I$89,3,0)*VLOOKUP('Données projet'!$B$12,Paramètres!$A$1:$I$89,5,0)</f>
        <v>-9.0449248091317723E-14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271.25628946149067</v>
      </c>
      <c r="CE94" s="59">
        <f t="shared" si="94"/>
        <v>292.57799203101769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81.893677429399347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81.893677429399347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5.6843418860808015E-14</v>
      </c>
      <c r="CU94" s="17">
        <f>CT94*VLOOKUP('Données projet'!$B$13,Paramètres!$A$1:$I$89,3,0)*VLOOKUP('Données projet'!$B$13,Paramètres!$A$1:$I$89,5,0)</f>
        <v>3.1036506698001178E-14</v>
      </c>
      <c r="CV94" s="13">
        <f t="shared" si="95"/>
        <v>5.3428243983771088E-13</v>
      </c>
      <c r="CW94" s="20">
        <f t="shared" si="67"/>
        <v>9.8459716521636505E-13</v>
      </c>
      <c r="CX94" s="59">
        <f t="shared" si="68"/>
        <v>293.33333333333428</v>
      </c>
      <c r="CY94" s="59">
        <f ca="1">AVERAGE(OFFSET($CX$3,0,0,'Données projet'!$E$13+1,1))-AVERAGE(OFFSET($H$3,0,0,'Données projet'!$E$13+1,1))</f>
        <v>210.03861149060413</v>
      </c>
      <c r="CZ94" s="59">
        <f t="shared" si="96"/>
        <v>298.74602928001929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49.017094725380723</v>
      </c>
      <c r="DG94" s="21">
        <f>EXP(-LN(2)/25)*DG93+(1-EXP(-LN(2)/25))/(LN(2)/25)*Calculateur!DB94*Calculateur!DD94*VLOOKUP('Données projet'!$B$13,Paramètres!$A$1:$I$89,3,0)*0.475*44/12</f>
        <v>17.954980418037753</v>
      </c>
      <c r="DH94" s="21">
        <f>EXP(-LN(2)/2)*DH93+(1-EXP(-LN(2)/2))/(LN(2)/2)*DB94*DE94*VLOOKUP('Données projet'!$B$13,Paramètres!$A$1:$I$89,3,0)*0.475*44/12</f>
        <v>2.4348771362067774E-5</v>
      </c>
      <c r="DI94" s="22">
        <f t="shared" si="69"/>
        <v>66.972099492189841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-3.4106051316484809E-13</v>
      </c>
      <c r="DP94" s="17">
        <f>DO94*VLOOKUP('Données projet'!$B$14,Paramètres!$A$1:$I$89,3,0)*VLOOKUP('Données projet'!$B$14,Paramètres!$A$1:$I$89,5,0)</f>
        <v>-2.0395418687257919E-13</v>
      </c>
      <c r="DQ94" s="13" t="e">
        <f t="shared" si="97"/>
        <v>#NUM!</v>
      </c>
      <c r="DR94" s="20" t="e">
        <f t="shared" si="70"/>
        <v>#NUM!</v>
      </c>
      <c r="DS94" s="59" t="e">
        <f t="shared" si="71"/>
        <v>#NUM!</v>
      </c>
      <c r="DT94" s="59">
        <f ca="1">AVERAGE(OFFSET($DS$3,0,0,'Données projet'!$E$14+1,1))-AVERAGE(OFFSET($H$3,0,0,'Données projet'!$E$14+1,1))</f>
        <v>402.28353929315114</v>
      </c>
      <c r="DU94" s="59">
        <f t="shared" si="98"/>
        <v>376.94419168335463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136.97829694279758</v>
      </c>
      <c r="EB94" s="21">
        <f>EXP(-LN(2)/25)*EB93+(1-EXP(-LN(2)/25))/(LN(2)/25)*Calculateur!DW94*Calculateur!DY94*VLOOKUP('Données projet'!$B$14,Paramètres!$A$1:$I$89,3,0)*0.475*44/12</f>
        <v>27.241981979536302</v>
      </c>
      <c r="EC94" s="21">
        <f>EXP(-LN(2)/2)*EC93+(1-EXP(-LN(2)/2))/(LN(2)/2)*DW94*DZ94*VLOOKUP('Données projet'!$B$14,Paramètres!$A$1:$I$89,3,0)*0.475*44/12</f>
        <v>2.5306878476690685E-2</v>
      </c>
      <c r="ED94" s="22">
        <f t="shared" si="72"/>
        <v>164.24558580081057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>
        <f>EJ94*VLOOKUP('Données projet'!$B$15,Paramètres!$A$1:$I$89,3,0)*VLOOKUP('Données projet'!$B$15,Paramètres!$A$1:$I$89,5,0)</f>
        <v>0</v>
      </c>
      <c r="EL94" s="13" t="e">
        <f t="shared" si="99"/>
        <v>#NUM!</v>
      </c>
      <c r="EM94" s="20" t="e">
        <f t="shared" si="73"/>
        <v>#NUM!</v>
      </c>
      <c r="EN94" s="59" t="e">
        <f t="shared" si="74"/>
        <v>#NUM!</v>
      </c>
      <c r="EO94" s="59">
        <f ca="1">AVERAGE(OFFSET($EN$3,0,0,'Données projet'!$E$15+1,1))-AVERAGE(OFFSET($H$3,0,0,'Données projet'!$E$15+1,1))</f>
        <v>273.3012268683454</v>
      </c>
      <c r="EP94" s="59">
        <f t="shared" si="100"/>
        <v>254.08208375594052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83.955501513153067</v>
      </c>
      <c r="EW94" s="21">
        <f>EXP(-LN(2)/25)*EW93+(1-EXP(-LN(2)/25))/(LN(2)/25)*Calculateur!ER94*Calculateur!ET94*VLOOKUP('Données projet'!$B$15,Paramètres!$A$1:$I$89,3,0)*0.475*44/12</f>
        <v>30.545122893407193</v>
      </c>
      <c r="EX94" s="21">
        <f>EXP(-LN(2)/2)*EX93+(1-EXP(-LN(2)/2))/(LN(2)/2)*ER94*EU94*VLOOKUP('Données projet'!$B$15,Paramètres!$A$1:$I$89,3,0)*0.475*44/12</f>
        <v>3.632988407048602E-2</v>
      </c>
      <c r="EY94" s="22">
        <f t="shared" si="75"/>
        <v>114.53695429063075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6.2</v>
      </c>
      <c r="N95" s="13">
        <f>IF('Données projet'!$A$36&gt;35,N94+M95-V94,IF(A95&lt;'Données projet'!$A$36,$K$205^A95,IF(A95='Données projet'!$A$36,'Données projet'!$B$36,N94+M95-V94)))</f>
        <v>314.39999999999986</v>
      </c>
      <c r="O95" s="13">
        <f>N95*VLOOKUP('Données projet'!$B$9,Paramètres!$A$1:$I$89,3,0)*VLOOKUP('Données projet'!$B$9,Paramètres!$A$1:$I$89,5,0)</f>
        <v>284.46911999999986</v>
      </c>
      <c r="P95" s="13">
        <f t="shared" si="87"/>
        <v>67.91059023737904</v>
      </c>
      <c r="Q95" s="20">
        <f t="shared" si="54"/>
        <v>613.72799533010152</v>
      </c>
      <c r="R95" s="59">
        <f t="shared" si="55"/>
        <v>907.06132866343478</v>
      </c>
      <c r="S95" s="59">
        <f ca="1">AVERAGE(OFFSET($R$3,0,0,'Données projet'!$E$9+1,1))-AVERAGE(OFFSET($H$3,0,0,'Données projet'!$E$9+1,1))</f>
        <v>453.52760163325451</v>
      </c>
      <c r="T95" s="59">
        <f t="shared" si="88"/>
        <v>344.23959526427001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38.78143882011986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38.78143882011986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7.6</v>
      </c>
      <c r="AI95" s="13">
        <f>IF('Données projet'!$A$62&gt;35,AI94+AH95-AQ94,IF(A95&lt;'Données projet'!$A$62,$AF$205^A95,IF(A95='Données projet'!$A$62,'Données projet'!$B$62,AI94+AH95-AQ94)))</f>
        <v>366.19999999999987</v>
      </c>
      <c r="AJ95" s="13">
        <f>AI95*VLOOKUP('Données projet'!$B$10,Paramètres!$A$1:$I$89,3,0)*VLOOKUP('Données projet'!$B$10,Paramètres!$A$1:$I$89,5,0)</f>
        <v>314.19959999999992</v>
      </c>
      <c r="AK95" s="13">
        <f t="shared" si="89"/>
        <v>74.145185764564587</v>
      </c>
      <c r="AL95" s="20">
        <f t="shared" si="58"/>
        <v>676.36716853994983</v>
      </c>
      <c r="AM95" s="59">
        <f t="shared" si="59"/>
        <v>969.7005018732832</v>
      </c>
      <c r="AN95" s="59">
        <f ca="1">AVERAGE(OFFSET($AM$3,0,0,'Données projet'!$E$10+1,1))-AVERAGE(OFFSET($H$3,0,0,'Données projet'!$E$10+1,1))</f>
        <v>397.45670821030774</v>
      </c>
      <c r="AO95" s="59">
        <f t="shared" si="90"/>
        <v>256.77417912163997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44.388917051079829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44.388917051079829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>
        <f>BD95*VLOOKUP('Données projet'!$B$11,Paramètres!$A$1:$I$89,3,0)*VLOOKUP('Données projet'!$B$11,Paramètres!$A$1:$I$89,5,0)</f>
        <v>0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293.20194140252903</v>
      </c>
      <c r="BJ95" s="59">
        <f t="shared" si="92"/>
        <v>280.69048279989266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62.707267988962954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62.707267988962954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-1.1368683772161603E-13</v>
      </c>
      <c r="BZ95" s="13">
        <f>BY95*VLOOKUP('Données projet'!$B$12,Paramètres!$A$1:$I$89,3,0)*VLOOKUP('Données projet'!$B$12,Paramètres!$A$1:$I$89,5,0)</f>
        <v>-9.0449248091317723E-14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271.25628946149067</v>
      </c>
      <c r="CE95" s="59">
        <f t="shared" si="94"/>
        <v>292.57799203101769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80.287792365219886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80.287792365219886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5.6843418860808015E-14</v>
      </c>
      <c r="CU95" s="17">
        <f>CT95*VLOOKUP('Données projet'!$B$13,Paramètres!$A$1:$I$89,3,0)*VLOOKUP('Données projet'!$B$13,Paramètres!$A$1:$I$89,5,0)</f>
        <v>3.1036506698001178E-14</v>
      </c>
      <c r="CV95" s="13">
        <f t="shared" si="95"/>
        <v>5.3428243983771088E-13</v>
      </c>
      <c r="CW95" s="20">
        <f t="shared" si="67"/>
        <v>9.8459716521636505E-13</v>
      </c>
      <c r="CX95" s="59">
        <f t="shared" si="68"/>
        <v>293.33333333333428</v>
      </c>
      <c r="CY95" s="59">
        <f ca="1">AVERAGE(OFFSET($CX$3,0,0,'Données projet'!$E$13+1,1))-AVERAGE(OFFSET($H$3,0,0,'Données projet'!$E$13+1,1))</f>
        <v>210.03861149060413</v>
      </c>
      <c r="CZ95" s="59">
        <f t="shared" si="96"/>
        <v>298.74602928001929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48.055899395291661</v>
      </c>
      <c r="DG95" s="21">
        <f>EXP(-LN(2)/25)*DG94+(1-EXP(-LN(2)/25))/(LN(2)/25)*Calculateur!DB95*Calculateur!DD95*VLOOKUP('Données projet'!$B$13,Paramètres!$A$1:$I$89,3,0)*0.475*44/12</f>
        <v>17.464000534295128</v>
      </c>
      <c r="DH95" s="21">
        <f>EXP(-LN(2)/2)*DH94+(1-EXP(-LN(2)/2))/(LN(2)/2)*DB95*DE95*VLOOKUP('Données projet'!$B$13,Paramètres!$A$1:$I$89,3,0)*0.475*44/12</f>
        <v>1.7217181343678932E-5</v>
      </c>
      <c r="DI95" s="22">
        <f t="shared" si="69"/>
        <v>65.519917146768123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-3.4106051316484809E-13</v>
      </c>
      <c r="DP95" s="17">
        <f>DO95*VLOOKUP('Données projet'!$B$14,Paramètres!$A$1:$I$89,3,0)*VLOOKUP('Données projet'!$B$14,Paramètres!$A$1:$I$89,5,0)</f>
        <v>-2.0395418687257919E-13</v>
      </c>
      <c r="DQ95" s="13" t="e">
        <f t="shared" si="97"/>
        <v>#NUM!</v>
      </c>
      <c r="DR95" s="20" t="e">
        <f t="shared" si="70"/>
        <v>#NUM!</v>
      </c>
      <c r="DS95" s="59" t="e">
        <f t="shared" si="71"/>
        <v>#NUM!</v>
      </c>
      <c r="DT95" s="59">
        <f ca="1">AVERAGE(OFFSET($DS$3,0,0,'Données projet'!$E$14+1,1))-AVERAGE(OFFSET($H$3,0,0,'Données projet'!$E$14+1,1))</f>
        <v>402.28353929315114</v>
      </c>
      <c r="DU95" s="59">
        <f t="shared" si="98"/>
        <v>376.94419168335463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134.29223608826072</v>
      </c>
      <c r="EB95" s="21">
        <f>EXP(-LN(2)/25)*EB94+(1-EXP(-LN(2)/25))/(LN(2)/25)*Calculateur!DW95*Calculateur!DY95*VLOOKUP('Données projet'!$B$14,Paramètres!$A$1:$I$89,3,0)*0.475*44/12</f>
        <v>26.497048549712311</v>
      </c>
      <c r="EC95" s="21">
        <f>EXP(-LN(2)/2)*EC94+(1-EXP(-LN(2)/2))/(LN(2)/2)*DW95*DZ95*VLOOKUP('Données projet'!$B$14,Paramètres!$A$1:$I$89,3,0)*0.475*44/12</f>
        <v>1.7894665381531869E-2</v>
      </c>
      <c r="ED95" s="22">
        <f t="shared" si="72"/>
        <v>160.80717930335456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>
        <f>EJ95*VLOOKUP('Données projet'!$B$15,Paramètres!$A$1:$I$89,3,0)*VLOOKUP('Données projet'!$B$15,Paramètres!$A$1:$I$89,5,0)</f>
        <v>0</v>
      </c>
      <c r="EL95" s="13" t="e">
        <f t="shared" si="99"/>
        <v>#NUM!</v>
      </c>
      <c r="EM95" s="20" t="e">
        <f t="shared" si="73"/>
        <v>#NUM!</v>
      </c>
      <c r="EN95" s="59" t="e">
        <f t="shared" si="74"/>
        <v>#NUM!</v>
      </c>
      <c r="EO95" s="59">
        <f ca="1">AVERAGE(OFFSET($EN$3,0,0,'Données projet'!$E$15+1,1))-AVERAGE(OFFSET($H$3,0,0,'Données projet'!$E$15+1,1))</f>
        <v>273.3012268683454</v>
      </c>
      <c r="EP95" s="59">
        <f t="shared" si="100"/>
        <v>254.08208375594052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82.309185336279711</v>
      </c>
      <c r="EW95" s="21">
        <f>EXP(-LN(2)/25)*EW94+(1-EXP(-LN(2)/25))/(LN(2)/25)*Calculateur!ER95*Calculateur!ET95*VLOOKUP('Données projet'!$B$15,Paramètres!$A$1:$I$89,3,0)*0.475*44/12</f>
        <v>29.709864901588773</v>
      </c>
      <c r="EX95" s="21">
        <f>EXP(-LN(2)/2)*EX94+(1-EXP(-LN(2)/2))/(LN(2)/2)*ER95*EU95*VLOOKUP('Données projet'!$B$15,Paramètres!$A$1:$I$89,3,0)*0.475*44/12</f>
        <v>2.5689107385961796E-2</v>
      </c>
      <c r="EY95" s="22">
        <f t="shared" si="75"/>
        <v>112.04473934525444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6.2</v>
      </c>
      <c r="N96" s="13">
        <f>IF('Données projet'!$A$36&gt;35,N95+M96-V95,IF(A96&lt;'Données projet'!$A$36,$K$205^A96,IF(A96='Données projet'!$A$36,'Données projet'!$B$36,N95+M96-V95)))</f>
        <v>320.59999999999985</v>
      </c>
      <c r="O96" s="13">
        <f>N96*VLOOKUP('Données projet'!$B$9,Paramètres!$A$1:$I$89,3,0)*VLOOKUP('Données projet'!$B$9,Paramètres!$A$1:$I$89,5,0)</f>
        <v>290.07887999999986</v>
      </c>
      <c r="P96" s="13">
        <f t="shared" si="87"/>
        <v>69.092562427360406</v>
      </c>
      <c r="Q96" s="20">
        <f t="shared" si="54"/>
        <v>625.55692889431907</v>
      </c>
      <c r="R96" s="59">
        <f t="shared" si="55"/>
        <v>918.89026222765233</v>
      </c>
      <c r="S96" s="59">
        <f ca="1">AVERAGE(OFFSET($R$3,0,0,'Données projet'!$E$9+1,1))-AVERAGE(OFFSET($H$3,0,0,'Données projet'!$E$9+1,1))</f>
        <v>453.52760163325451</v>
      </c>
      <c r="T96" s="59">
        <f t="shared" si="88"/>
        <v>344.23959526427001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38.020958459199321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38.020958459199321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7.6</v>
      </c>
      <c r="AI96" s="13">
        <f>IF('Données projet'!$A$62&gt;35,AI95+AH96-AQ95,IF(A96&lt;'Données projet'!$A$62,$AF$205^A96,IF(A96='Données projet'!$A$62,'Données projet'!$B$62,AI95+AH96-AQ95)))</f>
        <v>373.7999999999999</v>
      </c>
      <c r="AJ96" s="13">
        <f>AI96*VLOOKUP('Données projet'!$B$10,Paramètres!$A$1:$I$89,3,0)*VLOOKUP('Données projet'!$B$10,Paramètres!$A$1:$I$89,5,0)</f>
        <v>320.72039999999993</v>
      </c>
      <c r="AK96" s="13">
        <f t="shared" si="89"/>
        <v>75.503227270035708</v>
      </c>
      <c r="AL96" s="20">
        <f t="shared" si="58"/>
        <v>690.0894841619787</v>
      </c>
      <c r="AM96" s="59">
        <f t="shared" si="59"/>
        <v>983.42281749531207</v>
      </c>
      <c r="AN96" s="59">
        <f ca="1">AVERAGE(OFFSET($AM$3,0,0,'Données projet'!$E$10+1,1))-AVERAGE(OFFSET($H$3,0,0,'Données projet'!$E$10+1,1))</f>
        <v>397.45670821030774</v>
      </c>
      <c r="AO96" s="59">
        <f t="shared" si="90"/>
        <v>256.77417912163997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43.518477462274163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43.518477462274163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>
        <f>BD96*VLOOKUP('Données projet'!$B$11,Paramètres!$A$1:$I$89,3,0)*VLOOKUP('Données projet'!$B$11,Paramètres!$A$1:$I$89,5,0)</f>
        <v>0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293.20194140252903</v>
      </c>
      <c r="BJ96" s="59">
        <f t="shared" si="92"/>
        <v>280.69048279989266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61.47761671135622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61.47761671135622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-1.1368683772161603E-13</v>
      </c>
      <c r="BZ96" s="13">
        <f>BY96*VLOOKUP('Données projet'!$B$12,Paramètres!$A$1:$I$89,3,0)*VLOOKUP('Données projet'!$B$12,Paramètres!$A$1:$I$89,5,0)</f>
        <v>-9.0449248091317723E-14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271.25628946149067</v>
      </c>
      <c r="CE96" s="59">
        <f t="shared" si="94"/>
        <v>292.57799203101769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78.713397727655817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78.713397727655817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5.6843418860808015E-14</v>
      </c>
      <c r="CU96" s="17">
        <f>CT96*VLOOKUP('Données projet'!$B$13,Paramètres!$A$1:$I$89,3,0)*VLOOKUP('Données projet'!$B$13,Paramètres!$A$1:$I$89,5,0)</f>
        <v>3.1036506698001178E-14</v>
      </c>
      <c r="CV96" s="13">
        <f t="shared" si="95"/>
        <v>5.3428243983771088E-13</v>
      </c>
      <c r="CW96" s="20">
        <f t="shared" si="67"/>
        <v>9.8459716521636505E-13</v>
      </c>
      <c r="CX96" s="59">
        <f t="shared" si="68"/>
        <v>293.33333333333428</v>
      </c>
      <c r="CY96" s="59">
        <f ca="1">AVERAGE(OFFSET($CX$3,0,0,'Données projet'!$E$13+1,1))-AVERAGE(OFFSET($H$3,0,0,'Données projet'!$E$13+1,1))</f>
        <v>210.03861149060413</v>
      </c>
      <c r="CZ96" s="59">
        <f t="shared" si="96"/>
        <v>298.74602928001929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47.113552519354378</v>
      </c>
      <c r="DG96" s="21">
        <f>EXP(-LN(2)/25)*DG95+(1-EXP(-LN(2)/25))/(LN(2)/25)*Calculateur!DB96*Calculateur!DD96*VLOOKUP('Données projet'!$B$13,Paramètres!$A$1:$I$89,3,0)*0.475*44/12</f>
        <v>16.986446521292955</v>
      </c>
      <c r="DH96" s="21">
        <f>EXP(-LN(2)/2)*DH95+(1-EXP(-LN(2)/2))/(LN(2)/2)*DB96*DE96*VLOOKUP('Données projet'!$B$13,Paramètres!$A$1:$I$89,3,0)*0.475*44/12</f>
        <v>1.2174385681033887E-5</v>
      </c>
      <c r="DI96" s="22">
        <f t="shared" si="69"/>
        <v>64.100011215033021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-3.4106051316484809E-13</v>
      </c>
      <c r="DP96" s="17">
        <f>DO96*VLOOKUP('Données projet'!$B$14,Paramètres!$A$1:$I$89,3,0)*VLOOKUP('Données projet'!$B$14,Paramètres!$A$1:$I$89,5,0)</f>
        <v>-2.0395418687257919E-13</v>
      </c>
      <c r="DQ96" s="13" t="e">
        <f t="shared" si="97"/>
        <v>#NUM!</v>
      </c>
      <c r="DR96" s="20" t="e">
        <f t="shared" si="70"/>
        <v>#NUM!</v>
      </c>
      <c r="DS96" s="59" t="e">
        <f t="shared" si="71"/>
        <v>#NUM!</v>
      </c>
      <c r="DT96" s="59">
        <f ca="1">AVERAGE(OFFSET($DS$3,0,0,'Données projet'!$E$14+1,1))-AVERAGE(OFFSET($H$3,0,0,'Données projet'!$E$14+1,1))</f>
        <v>402.28353929315114</v>
      </c>
      <c r="DU96" s="59">
        <f t="shared" si="98"/>
        <v>376.94419168335463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131.65884724874599</v>
      </c>
      <c r="EB96" s="21">
        <f>EXP(-LN(2)/25)*EB95+(1-EXP(-LN(2)/25))/(LN(2)/25)*Calculateur!DW96*Calculateur!DY96*VLOOKUP('Données projet'!$B$14,Paramètres!$A$1:$I$89,3,0)*0.475*44/12</f>
        <v>25.772485363701204</v>
      </c>
      <c r="EC96" s="21">
        <f>EXP(-LN(2)/2)*EC95+(1-EXP(-LN(2)/2))/(LN(2)/2)*DW96*DZ96*VLOOKUP('Données projet'!$B$14,Paramètres!$A$1:$I$89,3,0)*0.475*44/12</f>
        <v>1.2653439238345342E-2</v>
      </c>
      <c r="ED96" s="22">
        <f t="shared" si="72"/>
        <v>157.44398605168553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>
        <f>EJ96*VLOOKUP('Données projet'!$B$15,Paramètres!$A$1:$I$89,3,0)*VLOOKUP('Données projet'!$B$15,Paramètres!$A$1:$I$89,5,0)</f>
        <v>0</v>
      </c>
      <c r="EL96" s="13" t="e">
        <f t="shared" si="99"/>
        <v>#NUM!</v>
      </c>
      <c r="EM96" s="20" t="e">
        <f t="shared" si="73"/>
        <v>#NUM!</v>
      </c>
      <c r="EN96" s="59" t="e">
        <f t="shared" si="74"/>
        <v>#NUM!</v>
      </c>
      <c r="EO96" s="59">
        <f ca="1">AVERAGE(OFFSET($EN$3,0,0,'Données projet'!$E$15+1,1))-AVERAGE(OFFSET($H$3,0,0,'Données projet'!$E$15+1,1))</f>
        <v>273.3012268683454</v>
      </c>
      <c r="EP96" s="59">
        <f t="shared" si="100"/>
        <v>254.08208375594052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80.695152415481118</v>
      </c>
      <c r="EW96" s="21">
        <f>EXP(-LN(2)/25)*EW95+(1-EXP(-LN(2)/25))/(LN(2)/25)*Calculateur!ER96*Calculateur!ET96*VLOOKUP('Données projet'!$B$15,Paramètres!$A$1:$I$89,3,0)*0.475*44/12</f>
        <v>28.897447083480937</v>
      </c>
      <c r="EX96" s="21">
        <f>EXP(-LN(2)/2)*EX95+(1-EXP(-LN(2)/2))/(LN(2)/2)*ER96*EU96*VLOOKUP('Données projet'!$B$15,Paramètres!$A$1:$I$89,3,0)*0.475*44/12</f>
        <v>1.816494203524301E-2</v>
      </c>
      <c r="EY96" s="22">
        <f t="shared" si="75"/>
        <v>109.6107644409973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6.2</v>
      </c>
      <c r="N97" s="13">
        <f>IF('Données projet'!$A$36&gt;35,N96+M97-V96,IF(A97&lt;'Données projet'!$A$36,$K$205^A97,IF(A97='Données projet'!$A$36,'Données projet'!$B$36,N96+M97-V96)))</f>
        <v>326.79999999999984</v>
      </c>
      <c r="O97" s="13">
        <f>N97*VLOOKUP('Données projet'!$B$9,Paramètres!$A$1:$I$89,3,0)*VLOOKUP('Données projet'!$B$9,Paramètres!$A$1:$I$89,5,0)</f>
        <v>295.68863999999985</v>
      </c>
      <c r="P97" s="13">
        <f t="shared" si="87"/>
        <v>70.271876780519676</v>
      </c>
      <c r="Q97" s="20">
        <f t="shared" si="54"/>
        <v>637.38123339273818</v>
      </c>
      <c r="R97" s="59">
        <f t="shared" si="55"/>
        <v>930.71456672607155</v>
      </c>
      <c r="S97" s="59">
        <f ca="1">AVERAGE(OFFSET($R$3,0,0,'Données projet'!$E$9+1,1))-AVERAGE(OFFSET($H$3,0,0,'Données projet'!$E$9+1,1))</f>
        <v>453.52760163325451</v>
      </c>
      <c r="T97" s="59">
        <f t="shared" si="88"/>
        <v>344.23959526427001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37.275390654309213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37.275390654309213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7.6</v>
      </c>
      <c r="AI97" s="13">
        <f>IF('Données projet'!$A$62&gt;35,AI96+AH97-AQ96,IF(A97&lt;'Données projet'!$A$62,$AF$205^A97,IF(A97='Données projet'!$A$62,'Données projet'!$B$62,AI96+AH97-AQ96)))</f>
        <v>381.39999999999992</v>
      </c>
      <c r="AJ97" s="13">
        <f>AI97*VLOOKUP('Données projet'!$B$10,Paramètres!$A$1:$I$89,3,0)*VLOOKUP('Données projet'!$B$10,Paramètres!$A$1:$I$89,5,0)</f>
        <v>327.24119999999999</v>
      </c>
      <c r="AK97" s="13">
        <f t="shared" si="89"/>
        <v>76.85805838290122</v>
      </c>
      <c r="AL97" s="20">
        <f t="shared" si="58"/>
        <v>703.80620835021955</v>
      </c>
      <c r="AM97" s="59">
        <f t="shared" si="59"/>
        <v>997.13954168355281</v>
      </c>
      <c r="AN97" s="59">
        <f ca="1">AVERAGE(OFFSET($AM$3,0,0,'Données projet'!$E$10+1,1))-AVERAGE(OFFSET($H$3,0,0,'Données projet'!$E$10+1,1))</f>
        <v>397.45670821030774</v>
      </c>
      <c r="AO97" s="59">
        <f t="shared" si="90"/>
        <v>256.77417912163997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42.665106662889251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42.665106662889251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>
        <f>BD97*VLOOKUP('Données projet'!$B$11,Paramètres!$A$1:$I$89,3,0)*VLOOKUP('Données projet'!$B$11,Paramètres!$A$1:$I$89,5,0)</f>
        <v>0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293.20194140252903</v>
      </c>
      <c r="BJ97" s="59">
        <f t="shared" si="92"/>
        <v>280.69048279989266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60.272078145290131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60.272078145290131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-1.1368683772161603E-13</v>
      </c>
      <c r="BZ97" s="13">
        <f>BY97*VLOOKUP('Données projet'!$B$12,Paramètres!$A$1:$I$89,3,0)*VLOOKUP('Données projet'!$B$12,Paramètres!$A$1:$I$89,5,0)</f>
        <v>-9.0449248091317723E-14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271.25628946149067</v>
      </c>
      <c r="CE97" s="59">
        <f t="shared" si="94"/>
        <v>292.57799203101769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77.169876008648458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77.169876008648458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5.6843418860808015E-14</v>
      </c>
      <c r="CU97" s="17">
        <f>CT97*VLOOKUP('Données projet'!$B$13,Paramètres!$A$1:$I$89,3,0)*VLOOKUP('Données projet'!$B$13,Paramètres!$A$1:$I$89,5,0)</f>
        <v>3.1036506698001178E-14</v>
      </c>
      <c r="CV97" s="13">
        <f t="shared" si="95"/>
        <v>5.3428243983771088E-13</v>
      </c>
      <c r="CW97" s="20">
        <f t="shared" si="67"/>
        <v>9.8459716521636505E-13</v>
      </c>
      <c r="CX97" s="59">
        <f t="shared" si="68"/>
        <v>293.33333333333428</v>
      </c>
      <c r="CY97" s="59">
        <f ca="1">AVERAGE(OFFSET($CX$3,0,0,'Données projet'!$E$13+1,1))-AVERAGE(OFFSET($H$3,0,0,'Données projet'!$E$13+1,1))</f>
        <v>210.03861149060413</v>
      </c>
      <c r="CZ97" s="59">
        <f t="shared" si="96"/>
        <v>298.74602928001929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46.189684490879387</v>
      </c>
      <c r="DG97" s="21">
        <f>EXP(-LN(2)/25)*DG96+(1-EXP(-LN(2)/25))/(LN(2)/25)*Calculateur!DB97*Calculateur!DD97*VLOOKUP('Données projet'!$B$13,Paramètres!$A$1:$I$89,3,0)*0.475*44/12</f>
        <v>16.521951247889799</v>
      </c>
      <c r="DH97" s="21">
        <f>EXP(-LN(2)/2)*DH96+(1-EXP(-LN(2)/2))/(LN(2)/2)*DB97*DE97*VLOOKUP('Données projet'!$B$13,Paramètres!$A$1:$I$89,3,0)*0.475*44/12</f>
        <v>8.6085906718394662E-6</v>
      </c>
      <c r="DI97" s="22">
        <f t="shared" si="69"/>
        <v>62.711644347359858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-3.4106051316484809E-13</v>
      </c>
      <c r="DP97" s="17">
        <f>DO97*VLOOKUP('Données projet'!$B$14,Paramètres!$A$1:$I$89,3,0)*VLOOKUP('Données projet'!$B$14,Paramètres!$A$1:$I$89,5,0)</f>
        <v>-2.0395418687257919E-13</v>
      </c>
      <c r="DQ97" s="13" t="e">
        <f t="shared" si="97"/>
        <v>#NUM!</v>
      </c>
      <c r="DR97" s="20" t="e">
        <f t="shared" si="70"/>
        <v>#NUM!</v>
      </c>
      <c r="DS97" s="59" t="e">
        <f t="shared" si="71"/>
        <v>#NUM!</v>
      </c>
      <c r="DT97" s="59">
        <f ca="1">AVERAGE(OFFSET($DS$3,0,0,'Données projet'!$E$14+1,1))-AVERAGE(OFFSET($H$3,0,0,'Données projet'!$E$14+1,1))</f>
        <v>402.28353929315114</v>
      </c>
      <c r="DU97" s="59">
        <f t="shared" si="98"/>
        <v>376.94419168335463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129.07709755816555</v>
      </c>
      <c r="EB97" s="21">
        <f>EXP(-LN(2)/25)*EB96+(1-EXP(-LN(2)/25))/(LN(2)/25)*Calculateur!DW97*Calculateur!DY97*VLOOKUP('Données projet'!$B$14,Paramètres!$A$1:$I$89,3,0)*0.475*44/12</f>
        <v>25.067735396114692</v>
      </c>
      <c r="EC97" s="21">
        <f>EXP(-LN(2)/2)*EC96+(1-EXP(-LN(2)/2))/(LN(2)/2)*DW97*DZ97*VLOOKUP('Données projet'!$B$14,Paramètres!$A$1:$I$89,3,0)*0.475*44/12</f>
        <v>8.9473326907659346E-3</v>
      </c>
      <c r="ED97" s="22">
        <f t="shared" si="72"/>
        <v>154.153780286971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>
        <f>EJ97*VLOOKUP('Données projet'!$B$15,Paramètres!$A$1:$I$89,3,0)*VLOOKUP('Données projet'!$B$15,Paramètres!$A$1:$I$89,5,0)</f>
        <v>0</v>
      </c>
      <c r="EL97" s="13" t="e">
        <f t="shared" si="99"/>
        <v>#NUM!</v>
      </c>
      <c r="EM97" s="20" t="e">
        <f t="shared" si="73"/>
        <v>#NUM!</v>
      </c>
      <c r="EN97" s="59" t="e">
        <f t="shared" si="74"/>
        <v>#NUM!</v>
      </c>
      <c r="EO97" s="59">
        <f ca="1">AVERAGE(OFFSET($EN$3,0,0,'Données projet'!$E$15+1,1))-AVERAGE(OFFSET($H$3,0,0,'Données projet'!$E$15+1,1))</f>
        <v>273.3012268683454</v>
      </c>
      <c r="EP97" s="59">
        <f t="shared" si="100"/>
        <v>254.08208375594052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79.112769695796516</v>
      </c>
      <c r="EW97" s="21">
        <f>EXP(-LN(2)/25)*EW96+(1-EXP(-LN(2)/25))/(LN(2)/25)*Calculateur!ER97*Calculateur!ET97*VLOOKUP('Données projet'!$B$15,Paramètres!$A$1:$I$89,3,0)*0.475*44/12</f>
        <v>28.107244873332455</v>
      </c>
      <c r="EX97" s="21">
        <f>EXP(-LN(2)/2)*EX96+(1-EXP(-LN(2)/2))/(LN(2)/2)*ER97*EU97*VLOOKUP('Données projet'!$B$15,Paramètres!$A$1:$I$89,3,0)*0.475*44/12</f>
        <v>1.2844553692980898E-2</v>
      </c>
      <c r="EY97" s="22">
        <f t="shared" si="75"/>
        <v>107.23285912282196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>
        <f>VLOOKUP(A98,'Données projet'!$A$35:$I$55,2,0)</f>
        <v>333</v>
      </c>
      <c r="L98" s="12">
        <f>VLOOKUP(A98,'Données projet'!$A$35:$I$55,9,0)</f>
        <v>6.2</v>
      </c>
      <c r="M98" s="12">
        <f t="array" ref="M98">INDEX(L:L,MIN(IF(ISNUMBER(L98:L294),ROW(L98:L294),"")))</f>
        <v>6.2</v>
      </c>
      <c r="N98" s="13">
        <f>IF('Données projet'!$A$36&gt;35,N97+M98-V97,IF(A98&lt;'Données projet'!$A$36,$K$205^A98,IF(A98='Données projet'!$A$36,'Données projet'!$B$36,N97+M98-V97)))</f>
        <v>332.99999999999983</v>
      </c>
      <c r="O98" s="13">
        <f>N98*VLOOKUP('Données projet'!$B$9,Paramètres!$A$1:$I$89,3,0)*VLOOKUP('Données projet'!$B$9,Paramètres!$A$1:$I$89,5,0)</f>
        <v>301.29839999999984</v>
      </c>
      <c r="P98" s="13">
        <f t="shared" si="87"/>
        <v>71.448589534990518</v>
      </c>
      <c r="Q98" s="20">
        <f t="shared" si="54"/>
        <v>649.20100677344146</v>
      </c>
      <c r="R98" s="59">
        <f t="shared" si="55"/>
        <v>942.53434010677483</v>
      </c>
      <c r="S98" s="59">
        <f ca="1">AVERAGE(OFFSET($R$3,0,0,'Données projet'!$E$9+1,1))-AVERAGE(OFFSET($H$3,0,0,'Données projet'!$E$9+1,1))</f>
        <v>453.52760163325451</v>
      </c>
      <c r="T98" s="59">
        <f t="shared" si="88"/>
        <v>344.23959526427001</v>
      </c>
      <c r="U98" s="15">
        <f>IF(ISNA(VLOOKUP(A98,'Données projet'!$A$35:$I$55,3,0)),0,VLOOKUP(A98,'Données projet'!$A$35:$I$55,3,0))</f>
        <v>16</v>
      </c>
      <c r="V98" s="15">
        <f>IF(ISNA(VLOOKUP(A98,'Données projet'!$A$35:$I$55,4,0)),0,VLOOKUP(A98,'Données projet'!$A$35:$I$55,4,0))</f>
        <v>28</v>
      </c>
      <c r="W98" s="16">
        <f>IF(ISNA(VLOOKUP(A98,'Données projet'!$A$35:$I$55,5,0)),0%,VLOOKUP(A98,'Données projet'!$A$35:$I$55,5,0)*VLOOKUP('Données projet'!$B$9,Paramètres!$A$1:$I$89,7,0))</f>
        <v>0.30099999999999999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44.974378043076648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44.974378043076648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389</v>
      </c>
      <c r="AG98" s="12">
        <f>VLOOKUP(A98,'Données projet'!$A$61:$I$81,9,0)</f>
        <v>7.6</v>
      </c>
      <c r="AH98" s="12">
        <f t="array" ref="AH98">INDEX(AG:AG,MIN(IF(ISNUMBER(AG98:AG294),ROW(AG98:AG294),"")))</f>
        <v>7.6</v>
      </c>
      <c r="AI98" s="13">
        <f>IF('Données projet'!$A$62&gt;35,AI97+AH98-AQ97,IF(A98&lt;'Données projet'!$A$62,$AF$205^A98,IF(A98='Données projet'!$A$62,'Données projet'!$B$62,AI97+AH98-AQ97)))</f>
        <v>388.99999999999994</v>
      </c>
      <c r="AJ98" s="13">
        <f>AI98*VLOOKUP('Données projet'!$B$10,Paramètres!$A$1:$I$89,3,0)*VLOOKUP('Données projet'!$B$10,Paramètres!$A$1:$I$89,5,0)</f>
        <v>333.762</v>
      </c>
      <c r="AK98" s="13">
        <f t="shared" si="89"/>
        <v>78.209750448453065</v>
      </c>
      <c r="AL98" s="20">
        <f t="shared" si="58"/>
        <v>717.51746536438895</v>
      </c>
      <c r="AM98" s="59">
        <f t="shared" si="59"/>
        <v>1010.8507986977222</v>
      </c>
      <c r="AN98" s="59">
        <f ca="1">AVERAGE(OFFSET($AM$3,0,0,'Données projet'!$E$10+1,1))-AVERAGE(OFFSET($H$3,0,0,'Données projet'!$E$10+1,1))</f>
        <v>397.45670821030774</v>
      </c>
      <c r="AO98" s="59">
        <f t="shared" si="90"/>
        <v>256.77417912163997</v>
      </c>
      <c r="AP98" s="15">
        <f>IF(ISNA(VLOOKUP(A98,'Données projet'!$A$61:$I$81,3,0)),0,VLOOKUP(A98,'Données projet'!$A$61:$I$81,3,0))</f>
        <v>16</v>
      </c>
      <c r="AQ98" s="15">
        <f>IF(ISNA(VLOOKUP(A98,'Données projet'!$A$61:$I$81,4,0)),0,VLOOKUP(A98,'Données projet'!$A$61:$I$81,4,0))</f>
        <v>25</v>
      </c>
      <c r="AR98" s="16">
        <f>IF(ISNA(VLOOKUP(A98,'Données projet'!$A$61:$I$81,5,0)),0%,VLOOKUP(A98,'Données projet'!$A$61:$I$81,5,0)*VLOOKUP('Données projet'!$B$10,Paramètres!$A$1:$I$89,7,0))</f>
        <v>0.371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50.625747951179726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50.625747951179726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>
        <f>BD98*VLOOKUP('Données projet'!$B$11,Paramètres!$A$1:$I$89,3,0)*VLOOKUP('Données projet'!$B$11,Paramètres!$A$1:$I$89,5,0)</f>
        <v>0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293.20194140252903</v>
      </c>
      <c r="BJ98" s="59">
        <f t="shared" si="92"/>
        <v>280.69048279989266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59.09017945519868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59.09017945519868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-1.1368683772161603E-13</v>
      </c>
      <c r="BZ98" s="13">
        <f>BY98*VLOOKUP('Données projet'!$B$12,Paramètres!$A$1:$I$89,3,0)*VLOOKUP('Données projet'!$B$12,Paramètres!$A$1:$I$89,5,0)</f>
        <v>-9.0449248091317723E-14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271.25628946149067</v>
      </c>
      <c r="CE98" s="59">
        <f t="shared" si="94"/>
        <v>292.57799203101769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75.656621809095554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75.656621809095554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5.6843418860808015E-14</v>
      </c>
      <c r="CU98" s="17">
        <f>CT98*VLOOKUP('Données projet'!$B$13,Paramètres!$A$1:$I$89,3,0)*VLOOKUP('Données projet'!$B$13,Paramètres!$A$1:$I$89,5,0)</f>
        <v>3.1036506698001178E-14</v>
      </c>
      <c r="CV98" s="13">
        <f t="shared" si="95"/>
        <v>5.3428243983771088E-13</v>
      </c>
      <c r="CW98" s="20">
        <f t="shared" si="67"/>
        <v>9.8459716521636505E-13</v>
      </c>
      <c r="CX98" s="59">
        <f t="shared" si="68"/>
        <v>293.33333333333428</v>
      </c>
      <c r="CY98" s="59">
        <f ca="1">AVERAGE(OFFSET($CX$3,0,0,'Données projet'!$E$13+1,1))-AVERAGE(OFFSET($H$3,0,0,'Données projet'!$E$13+1,1))</f>
        <v>210.03861149060413</v>
      </c>
      <c r="CZ98" s="59">
        <f t="shared" si="96"/>
        <v>298.74602928001929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45.283932950938933</v>
      </c>
      <c r="DG98" s="21">
        <f>EXP(-LN(2)/25)*DG97+(1-EXP(-LN(2)/25))/(LN(2)/25)*Calculateur!DB98*Calculateur!DD98*VLOOKUP('Données projet'!$B$13,Paramètres!$A$1:$I$89,3,0)*0.475*44/12</f>
        <v>16.070157622164597</v>
      </c>
      <c r="DH98" s="21">
        <f>EXP(-LN(2)/2)*DH97+(1-EXP(-LN(2)/2))/(LN(2)/2)*DB98*DE98*VLOOKUP('Données projet'!$B$13,Paramètres!$A$1:$I$89,3,0)*0.475*44/12</f>
        <v>6.0871928405169436E-6</v>
      </c>
      <c r="DI98" s="22">
        <f t="shared" si="69"/>
        <v>61.354096660296378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-3.4106051316484809E-13</v>
      </c>
      <c r="DP98" s="17">
        <f>DO98*VLOOKUP('Données projet'!$B$14,Paramètres!$A$1:$I$89,3,0)*VLOOKUP('Données projet'!$B$14,Paramètres!$A$1:$I$89,5,0)</f>
        <v>-2.0395418687257919E-13</v>
      </c>
      <c r="DQ98" s="13" t="e">
        <f t="shared" si="97"/>
        <v>#NUM!</v>
      </c>
      <c r="DR98" s="20" t="e">
        <f t="shared" si="70"/>
        <v>#NUM!</v>
      </c>
      <c r="DS98" s="59" t="e">
        <f t="shared" si="71"/>
        <v>#NUM!</v>
      </c>
      <c r="DT98" s="59">
        <f ca="1">AVERAGE(OFFSET($DS$3,0,0,'Données projet'!$E$14+1,1))-AVERAGE(OFFSET($H$3,0,0,'Données projet'!$E$14+1,1))</f>
        <v>402.28353929315114</v>
      </c>
      <c r="DU98" s="59">
        <f t="shared" si="98"/>
        <v>376.94419168335463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126.54597440430557</v>
      </c>
      <c r="EB98" s="21">
        <f>EXP(-LN(2)/25)*EB97+(1-EXP(-LN(2)/25))/(LN(2)/25)*Calculateur!DW98*Calculateur!DY98*VLOOKUP('Données projet'!$B$14,Paramètres!$A$1:$I$89,3,0)*0.475*44/12</f>
        <v>24.382256853453026</v>
      </c>
      <c r="EC98" s="21">
        <f>EXP(-LN(2)/2)*EC97+(1-EXP(-LN(2)/2))/(LN(2)/2)*DW98*DZ98*VLOOKUP('Données projet'!$B$14,Paramètres!$A$1:$I$89,3,0)*0.475*44/12</f>
        <v>6.3267196191726712E-3</v>
      </c>
      <c r="ED98" s="22">
        <f t="shared" si="72"/>
        <v>150.93455797737778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>
        <f>EJ98*VLOOKUP('Données projet'!$B$15,Paramètres!$A$1:$I$89,3,0)*VLOOKUP('Données projet'!$B$15,Paramètres!$A$1:$I$89,5,0)</f>
        <v>0</v>
      </c>
      <c r="EL98" s="13" t="e">
        <f t="shared" si="99"/>
        <v>#NUM!</v>
      </c>
      <c r="EM98" s="20" t="e">
        <f t="shared" si="73"/>
        <v>#NUM!</v>
      </c>
      <c r="EN98" s="59" t="e">
        <f t="shared" si="74"/>
        <v>#NUM!</v>
      </c>
      <c r="EO98" s="59">
        <f ca="1">AVERAGE(OFFSET($EN$3,0,0,'Données projet'!$E$15+1,1))-AVERAGE(OFFSET($H$3,0,0,'Données projet'!$E$15+1,1))</f>
        <v>273.3012268683454</v>
      </c>
      <c r="EP98" s="59">
        <f t="shared" si="100"/>
        <v>254.08208375594052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77.561416536086767</v>
      </c>
      <c r="EW98" s="21">
        <f>EXP(-LN(2)/25)*EW97+(1-EXP(-LN(2)/25))/(LN(2)/25)*Calculateur!ER98*Calculateur!ET98*VLOOKUP('Données projet'!$B$15,Paramètres!$A$1:$I$89,3,0)*0.475*44/12</f>
        <v>27.33865078417541</v>
      </c>
      <c r="EX98" s="21">
        <f>EXP(-LN(2)/2)*EX97+(1-EXP(-LN(2)/2))/(LN(2)/2)*ER98*EU98*VLOOKUP('Données projet'!$B$15,Paramètres!$A$1:$I$89,3,0)*0.475*44/12</f>
        <v>9.0824710176215049E-3</v>
      </c>
      <c r="EY98" s="22">
        <f t="shared" si="75"/>
        <v>104.9091497912798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5.6</v>
      </c>
      <c r="N99" s="13">
        <f>IF('Données projet'!$A$36&gt;35,N98+M99-V98,IF(A99&lt;'Données projet'!$A$36,$K$205^A99,IF(A99='Données projet'!$A$36,'Données projet'!$B$36,N98+M99-V98)))</f>
        <v>310.59999999999985</v>
      </c>
      <c r="O99" s="13">
        <f>N99*VLOOKUP('Données projet'!$B$9,Paramètres!$A$1:$I$89,3,0)*VLOOKUP('Données projet'!$B$9,Paramètres!$A$1:$I$89,5,0)</f>
        <v>281.03087999999985</v>
      </c>
      <c r="P99" s="13">
        <f t="shared" si="87"/>
        <v>67.184816842275467</v>
      </c>
      <c r="Q99" s="20">
        <f t="shared" ref="Q99:Q130" si="107">(O99+P99)*0.475*44/12</f>
        <v>606.47567200029607</v>
      </c>
      <c r="R99" s="59">
        <f t="shared" si="55"/>
        <v>899.80900533362933</v>
      </c>
      <c r="S99" s="59">
        <f ca="1">AVERAGE(OFFSET($R$3,0,0,'Données projet'!$E$9+1,1))-AVERAGE(OFFSET($H$3,0,0,'Données projet'!$E$9+1,1))</f>
        <v>453.52760163325451</v>
      </c>
      <c r="T99" s="59">
        <f t="shared" si="88"/>
        <v>344.23959526427001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44.092457921313873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44.092457921313873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7.2</v>
      </c>
      <c r="AI99" s="13">
        <f>IF('Données projet'!$A$62&gt;35,AI98+AH99-AQ98,IF(A99&lt;'Données projet'!$A$62,$AF$205^A99,IF(A99='Données projet'!$A$62,'Données projet'!$B$62,AI98+AH99-AQ98)))</f>
        <v>371.19999999999993</v>
      </c>
      <c r="AJ99" s="13">
        <f>AI99*VLOOKUP('Données projet'!$B$10,Paramètres!$A$1:$I$89,3,0)*VLOOKUP('Données projet'!$B$10,Paramètres!$A$1:$I$89,5,0)</f>
        <v>318.48959999999994</v>
      </c>
      <c r="AK99" s="13">
        <f t="shared" si="89"/>
        <v>75.038999086150227</v>
      </c>
      <c r="AL99" s="20">
        <f t="shared" si="58"/>
        <v>685.39564340837808</v>
      </c>
      <c r="AM99" s="59">
        <f t="shared" si="59"/>
        <v>978.72897674171145</v>
      </c>
      <c r="AN99" s="59">
        <f ca="1">AVERAGE(OFFSET($AM$3,0,0,'Données projet'!$E$10+1,1))-AVERAGE(OFFSET($H$3,0,0,'Données projet'!$E$10+1,1))</f>
        <v>397.45670821030774</v>
      </c>
      <c r="AO99" s="59">
        <f t="shared" si="90"/>
        <v>256.77417912163997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49.63300791251433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49.63300791251433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>
        <f>BD99*VLOOKUP('Données projet'!$B$11,Paramètres!$A$1:$I$89,3,0)*VLOOKUP('Données projet'!$B$11,Paramètres!$A$1:$I$89,5,0)</f>
        <v>0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293.20194140252903</v>
      </c>
      <c r="BJ99" s="59">
        <f t="shared" si="92"/>
        <v>280.69048279989266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57.931457077532905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57.931457077532905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-1.1368683772161603E-13</v>
      </c>
      <c r="BZ99" s="13">
        <f>BY99*VLOOKUP('Données projet'!$B$12,Paramètres!$A$1:$I$89,3,0)*VLOOKUP('Données projet'!$B$12,Paramètres!$A$1:$I$89,5,0)</f>
        <v>-9.0449248091317723E-14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271.25628946149067</v>
      </c>
      <c r="CE99" s="59">
        <f t="shared" si="94"/>
        <v>292.57799203101769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74.173041601401962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74.173041601401962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5.6843418860808015E-14</v>
      </c>
      <c r="CU99" s="17">
        <f>CT99*VLOOKUP('Données projet'!$B$13,Paramètres!$A$1:$I$89,3,0)*VLOOKUP('Données projet'!$B$13,Paramètres!$A$1:$I$89,5,0)</f>
        <v>3.1036506698001178E-14</v>
      </c>
      <c r="CV99" s="13">
        <f t="shared" si="95"/>
        <v>5.3428243983771088E-13</v>
      </c>
      <c r="CW99" s="20">
        <f t="shared" si="67"/>
        <v>9.8459716521636505E-13</v>
      </c>
      <c r="CX99" s="59">
        <f t="shared" si="68"/>
        <v>293.33333333333428</v>
      </c>
      <c r="CY99" s="59">
        <f ca="1">AVERAGE(OFFSET($CX$3,0,0,'Données projet'!$E$13+1,1))-AVERAGE(OFFSET($H$3,0,0,'Données projet'!$E$13+1,1))</f>
        <v>210.03861149060413</v>
      </c>
      <c r="CZ99" s="59">
        <f t="shared" si="96"/>
        <v>298.74602928001929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44.395942646242823</v>
      </c>
      <c r="DG99" s="21">
        <f>EXP(-LN(2)/25)*DG98+(1-EXP(-LN(2)/25))/(LN(2)/25)*Calculateur!DB99*Calculateur!DD99*VLOOKUP('Données projet'!$B$13,Paramètres!$A$1:$I$89,3,0)*0.475*44/12</f>
        <v>15.630718316893645</v>
      </c>
      <c r="DH99" s="21">
        <f>EXP(-LN(2)/2)*DH98+(1-EXP(-LN(2)/2))/(LN(2)/2)*DB99*DE99*VLOOKUP('Données projet'!$B$13,Paramètres!$A$1:$I$89,3,0)*0.475*44/12</f>
        <v>4.3042953359197331E-6</v>
      </c>
      <c r="DI99" s="22">
        <f t="shared" si="69"/>
        <v>60.026665267431802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-3.4106051316484809E-13</v>
      </c>
      <c r="DP99" s="17">
        <f>DO99*VLOOKUP('Données projet'!$B$14,Paramètres!$A$1:$I$89,3,0)*VLOOKUP('Données projet'!$B$14,Paramètres!$A$1:$I$89,5,0)</f>
        <v>-2.0395418687257919E-13</v>
      </c>
      <c r="DQ99" s="13" t="e">
        <f t="shared" si="97"/>
        <v>#NUM!</v>
      </c>
      <c r="DR99" s="20" t="e">
        <f t="shared" si="70"/>
        <v>#NUM!</v>
      </c>
      <c r="DS99" s="59" t="e">
        <f t="shared" si="71"/>
        <v>#NUM!</v>
      </c>
      <c r="DT99" s="59">
        <f ca="1">AVERAGE(OFFSET($DS$3,0,0,'Données projet'!$E$14+1,1))-AVERAGE(OFFSET($H$3,0,0,'Données projet'!$E$14+1,1))</f>
        <v>402.28353929315114</v>
      </c>
      <c r="DU99" s="59">
        <f t="shared" si="98"/>
        <v>376.94419168335463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124.0644850316601</v>
      </c>
      <c r="EB99" s="21">
        <f>EXP(-LN(2)/25)*EB98+(1-EXP(-LN(2)/25))/(LN(2)/25)*Calculateur!DW99*Calculateur!DY99*VLOOKUP('Données projet'!$B$14,Paramètres!$A$1:$I$89,3,0)*0.475*44/12</f>
        <v>23.71552275758819</v>
      </c>
      <c r="EC99" s="21">
        <f>EXP(-LN(2)/2)*EC98+(1-EXP(-LN(2)/2))/(LN(2)/2)*DW99*DZ99*VLOOKUP('Données projet'!$B$14,Paramètres!$A$1:$I$89,3,0)*0.475*44/12</f>
        <v>4.4736663453829673E-3</v>
      </c>
      <c r="ED99" s="22">
        <f t="shared" si="72"/>
        <v>147.78448145559366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>
        <f>EJ99*VLOOKUP('Données projet'!$B$15,Paramètres!$A$1:$I$89,3,0)*VLOOKUP('Données projet'!$B$15,Paramètres!$A$1:$I$89,5,0)</f>
        <v>0</v>
      </c>
      <c r="EL99" s="13" t="e">
        <f t="shared" si="99"/>
        <v>#NUM!</v>
      </c>
      <c r="EM99" s="20" t="e">
        <f t="shared" si="73"/>
        <v>#NUM!</v>
      </c>
      <c r="EN99" s="59" t="e">
        <f t="shared" si="74"/>
        <v>#NUM!</v>
      </c>
      <c r="EO99" s="59">
        <f ca="1">AVERAGE(OFFSET($EN$3,0,0,'Données projet'!$E$15+1,1))-AVERAGE(OFFSET($H$3,0,0,'Données projet'!$E$15+1,1))</f>
        <v>273.3012268683454</v>
      </c>
      <c r="EP99" s="59">
        <f t="shared" si="100"/>
        <v>254.08208375594052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76.040484465606937</v>
      </c>
      <c r="EW99" s="21">
        <f>EXP(-LN(2)/25)*EW98+(1-EXP(-LN(2)/25))/(LN(2)/25)*Calculateur!ER99*Calculateur!ET99*VLOOKUP('Données projet'!$B$15,Paramètres!$A$1:$I$89,3,0)*0.475*44/12</f>
        <v>26.591073940804971</v>
      </c>
      <c r="EX99" s="21">
        <f>EXP(-LN(2)/2)*EX98+(1-EXP(-LN(2)/2))/(LN(2)/2)*ER99*EU99*VLOOKUP('Données projet'!$B$15,Paramètres!$A$1:$I$89,3,0)*0.475*44/12</f>
        <v>6.4222768464904491E-3</v>
      </c>
      <c r="EY99" s="22">
        <f t="shared" si="75"/>
        <v>102.63798068325841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5.6</v>
      </c>
      <c r="N100" s="13">
        <f>IF('Données projet'!$A$36&gt;35,N99+M100-V99,IF(A100&lt;'Données projet'!$A$36,$K$205^A100,IF(A100='Données projet'!$A$36,'Données projet'!$B$36,N99+M100-V99)))</f>
        <v>316.19999999999987</v>
      </c>
      <c r="O100" s="13">
        <f>N100*VLOOKUP('Données projet'!$B$9,Paramètres!$A$1:$I$89,3,0)*VLOOKUP('Données projet'!$B$9,Paramètres!$A$1:$I$89,5,0)</f>
        <v>286.09775999999988</v>
      </c>
      <c r="P100" s="13">
        <f t="shared" si="87"/>
        <v>68.254020651723621</v>
      </c>
      <c r="Q100" s="20">
        <f t="shared" si="107"/>
        <v>617.16268463508504</v>
      </c>
      <c r="R100" s="59">
        <f t="shared" si="55"/>
        <v>910.4960179684183</v>
      </c>
      <c r="S100" s="59">
        <f ca="1">AVERAGE(OFFSET($R$3,0,0,'Données projet'!$E$9+1,1))-AVERAGE(OFFSET($H$3,0,0,'Données projet'!$E$9+1,1))</f>
        <v>453.52760163325451</v>
      </c>
      <c r="T100" s="59">
        <f t="shared" si="88"/>
        <v>344.23959526427001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43.227831715220702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43.227831715220702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7.2</v>
      </c>
      <c r="AI100" s="13">
        <f>IF('Données projet'!$A$62&gt;35,AI99+AH100-AQ99,IF(A100&lt;'Données projet'!$A$62,$AF$205^A100,IF(A100='Données projet'!$A$62,'Données projet'!$B$62,AI99+AH100-AQ99)))</f>
        <v>378.39999999999992</v>
      </c>
      <c r="AJ100" s="13">
        <f>AI100*VLOOKUP('Données projet'!$B$10,Paramètres!$A$1:$I$89,3,0)*VLOOKUP('Données projet'!$B$10,Paramètres!$A$1:$I$89,5,0)</f>
        <v>324.66719999999998</v>
      </c>
      <c r="AK100" s="13">
        <f t="shared" si="89"/>
        <v>76.323635512638404</v>
      </c>
      <c r="AL100" s="20">
        <f t="shared" si="58"/>
        <v>698.39237185117838</v>
      </c>
      <c r="AM100" s="59">
        <f t="shared" si="59"/>
        <v>991.72570518451175</v>
      </c>
      <c r="AN100" s="59">
        <f ca="1">AVERAGE(OFFSET($AM$3,0,0,'Données projet'!$E$10+1,1))-AVERAGE(OFFSET($H$3,0,0,'Données projet'!$E$10+1,1))</f>
        <v>397.45670821030774</v>
      </c>
      <c r="AO100" s="59">
        <f t="shared" si="90"/>
        <v>256.77417912163997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48.659734900495529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48.659734900495529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>
        <f>BD100*VLOOKUP('Données projet'!$B$11,Paramètres!$A$1:$I$89,3,0)*VLOOKUP('Données projet'!$B$11,Paramètres!$A$1:$I$89,5,0)</f>
        <v>0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293.20194140252903</v>
      </c>
      <c r="BJ100" s="59">
        <f t="shared" si="92"/>
        <v>280.69048279989266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56.79545653894229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56.79545653894229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-1.1368683772161603E-13</v>
      </c>
      <c r="BZ100" s="13">
        <f>BY100*VLOOKUP('Données projet'!$B$12,Paramètres!$A$1:$I$89,3,0)*VLOOKUP('Données projet'!$B$12,Paramètres!$A$1:$I$89,5,0)</f>
        <v>-9.0449248091317723E-14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271.25628946149067</v>
      </c>
      <c r="CE100" s="59">
        <f t="shared" si="94"/>
        <v>292.57799203101769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72.718553496686667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72.718553496686667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5.6843418860808015E-14</v>
      </c>
      <c r="CU100" s="17">
        <f>CT100*VLOOKUP('Données projet'!$B$13,Paramètres!$A$1:$I$89,3,0)*VLOOKUP('Données projet'!$B$13,Paramètres!$A$1:$I$89,5,0)</f>
        <v>3.1036506698001178E-14</v>
      </c>
      <c r="CV100" s="13">
        <f t="shared" si="95"/>
        <v>5.3428243983771088E-13</v>
      </c>
      <c r="CW100" s="20">
        <f t="shared" si="67"/>
        <v>9.8459716521636505E-13</v>
      </c>
      <c r="CX100" s="59">
        <f t="shared" si="68"/>
        <v>293.33333333333428</v>
      </c>
      <c r="CY100" s="59">
        <f ca="1">AVERAGE(OFFSET($CX$3,0,0,'Données projet'!$E$13+1,1))-AVERAGE(OFFSET($H$3,0,0,'Données projet'!$E$13+1,1))</f>
        <v>210.03861149060413</v>
      </c>
      <c r="CZ100" s="59">
        <f t="shared" si="96"/>
        <v>298.74602928001929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43.525365289801201</v>
      </c>
      <c r="DG100" s="21">
        <f>EXP(-LN(2)/25)*DG99+(1-EXP(-LN(2)/25))/(LN(2)/25)*Calculateur!DB100*Calculateur!DD100*VLOOKUP('Données projet'!$B$13,Paramètres!$A$1:$I$89,3,0)*0.475*44/12</f>
        <v>15.203295502534436</v>
      </c>
      <c r="DH100" s="21">
        <f>EXP(-LN(2)/2)*DH99+(1-EXP(-LN(2)/2))/(LN(2)/2)*DB100*DE100*VLOOKUP('Données projet'!$B$13,Paramètres!$A$1:$I$89,3,0)*0.475*44/12</f>
        <v>3.0435964202584718E-6</v>
      </c>
      <c r="DI100" s="22">
        <f t="shared" si="69"/>
        <v>58.728663835932061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-3.4106051316484809E-13</v>
      </c>
      <c r="DP100" s="17">
        <f>DO100*VLOOKUP('Données projet'!$B$14,Paramètres!$A$1:$I$89,3,0)*VLOOKUP('Données projet'!$B$14,Paramètres!$A$1:$I$89,5,0)</f>
        <v>-2.0395418687257919E-13</v>
      </c>
      <c r="DQ100" s="13" t="e">
        <f t="shared" si="97"/>
        <v>#NUM!</v>
      </c>
      <c r="DR100" s="20" t="e">
        <f t="shared" si="70"/>
        <v>#NUM!</v>
      </c>
      <c r="DS100" s="59" t="e">
        <f t="shared" si="71"/>
        <v>#NUM!</v>
      </c>
      <c r="DT100" s="59">
        <f ca="1">AVERAGE(OFFSET($DS$3,0,0,'Données projet'!$E$14+1,1))-AVERAGE(OFFSET($H$3,0,0,'Données projet'!$E$14+1,1))</f>
        <v>402.28353929315114</v>
      </c>
      <c r="DU100" s="59">
        <f t="shared" si="98"/>
        <v>376.94419168335463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121.63165615205314</v>
      </c>
      <c r="EB100" s="21">
        <f>EXP(-LN(2)/25)*EB99+(1-EXP(-LN(2)/25))/(LN(2)/25)*Calculateur!DW100*Calculateur!DY100*VLOOKUP('Données projet'!$B$14,Paramètres!$A$1:$I$89,3,0)*0.475*44/12</f>
        <v>23.067020540636801</v>
      </c>
      <c r="EC100" s="21">
        <f>EXP(-LN(2)/2)*EC99+(1-EXP(-LN(2)/2))/(LN(2)/2)*DW100*DZ100*VLOOKUP('Données projet'!$B$14,Paramètres!$A$1:$I$89,3,0)*0.475*44/12</f>
        <v>3.1633598095863356E-3</v>
      </c>
      <c r="ED100" s="22">
        <f t="shared" si="72"/>
        <v>144.70184005249951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>
        <f>EJ100*VLOOKUP('Données projet'!$B$15,Paramètres!$A$1:$I$89,3,0)*VLOOKUP('Données projet'!$B$15,Paramètres!$A$1:$I$89,5,0)</f>
        <v>0</v>
      </c>
      <c r="EL100" s="13" t="e">
        <f t="shared" si="99"/>
        <v>#NUM!</v>
      </c>
      <c r="EM100" s="20" t="e">
        <f t="shared" si="73"/>
        <v>#NUM!</v>
      </c>
      <c r="EN100" s="59" t="e">
        <f t="shared" si="74"/>
        <v>#NUM!</v>
      </c>
      <c r="EO100" s="59">
        <f ca="1">AVERAGE(OFFSET($EN$3,0,0,'Données projet'!$E$15+1,1))-AVERAGE(OFFSET($H$3,0,0,'Données projet'!$E$15+1,1))</f>
        <v>273.3012268683454</v>
      </c>
      <c r="EP100" s="59">
        <f t="shared" si="100"/>
        <v>254.08208375594052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74.54937694535225</v>
      </c>
      <c r="EW100" s="21">
        <f>EXP(-LN(2)/25)*EW99+(1-EXP(-LN(2)/25))/(LN(2)/25)*Calculateur!ER100*Calculateur!ET100*VLOOKUP('Données projet'!$B$15,Paramètres!$A$1:$I$89,3,0)*0.475*44/12</f>
        <v>25.863939625529856</v>
      </c>
      <c r="EX100" s="21">
        <f>EXP(-LN(2)/2)*EX99+(1-EXP(-LN(2)/2))/(LN(2)/2)*ER100*EU100*VLOOKUP('Données projet'!$B$15,Paramètres!$A$1:$I$89,3,0)*0.475*44/12</f>
        <v>4.5412355088107524E-3</v>
      </c>
      <c r="EY100" s="22">
        <f t="shared" si="75"/>
        <v>100.41785780639091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5.6</v>
      </c>
      <c r="N101" s="13">
        <f>IF('Données projet'!$A$36&gt;35,N100+M101-V100,IF(A101&lt;'Données projet'!$A$36,$K$205^A101,IF(A101='Données projet'!$A$36,'Données projet'!$B$36,N100+M101-V100)))</f>
        <v>321.7999999999999</v>
      </c>
      <c r="O101" s="13">
        <f>N101*VLOOKUP('Données projet'!$B$9,Paramètres!$A$1:$I$89,3,0)*VLOOKUP('Données projet'!$B$9,Paramètres!$A$1:$I$89,5,0)</f>
        <v>291.16463999999991</v>
      </c>
      <c r="P101" s="13">
        <f t="shared" si="87"/>
        <v>69.321022467464644</v>
      </c>
      <c r="Q101" s="20">
        <f t="shared" si="107"/>
        <v>627.84586213083401</v>
      </c>
      <c r="R101" s="59">
        <f t="shared" si="55"/>
        <v>921.17919546416738</v>
      </c>
      <c r="S101" s="59">
        <f ca="1">AVERAGE(OFFSET($R$3,0,0,'Données projet'!$E$9+1,1))-AVERAGE(OFFSET($H$3,0,0,'Données projet'!$E$9+1,1))</f>
        <v>453.52760163325451</v>
      </c>
      <c r="T101" s="59">
        <f t="shared" si="88"/>
        <v>344.23959526427001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42.38016030165911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42.38016030165911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7.2</v>
      </c>
      <c r="AI101" s="13">
        <f>IF('Données projet'!$A$62&gt;35,AI100+AH101-AQ100,IF(A101&lt;'Données projet'!$A$62,$AF$205^A101,IF(A101='Données projet'!$A$62,'Données projet'!$B$62,AI100+AH101-AQ100)))</f>
        <v>385.59999999999991</v>
      </c>
      <c r="AJ101" s="13">
        <f>AI101*VLOOKUP('Données projet'!$B$10,Paramètres!$A$1:$I$89,3,0)*VLOOKUP('Données projet'!$B$10,Paramètres!$A$1:$I$89,5,0)</f>
        <v>330.84479999999996</v>
      </c>
      <c r="AK101" s="13">
        <f t="shared" si="89"/>
        <v>77.605429694617001</v>
      </c>
      <c r="AL101" s="20">
        <f t="shared" si="58"/>
        <v>711.38415005145782</v>
      </c>
      <c r="AM101" s="59">
        <f t="shared" si="59"/>
        <v>1004.7174833847912</v>
      </c>
      <c r="AN101" s="59">
        <f ca="1">AVERAGE(OFFSET($AM$3,0,0,'Données projet'!$E$10+1,1))-AVERAGE(OFFSET($H$3,0,0,'Données projet'!$E$10+1,1))</f>
        <v>397.45670821030774</v>
      </c>
      <c r="AO101" s="59">
        <f t="shared" si="90"/>
        <v>256.77417912163997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47.70554717860449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47.70554717860449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>
        <f>BD101*VLOOKUP('Données projet'!$B$11,Paramètres!$A$1:$I$89,3,0)*VLOOKUP('Données projet'!$B$11,Paramètres!$A$1:$I$89,5,0)</f>
        <v>0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293.20194140252903</v>
      </c>
      <c r="BJ101" s="59">
        <f t="shared" si="92"/>
        <v>280.69048279989266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55.681732278021528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55.681732278021528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-1.1368683772161603E-13</v>
      </c>
      <c r="BZ101" s="13">
        <f>BY101*VLOOKUP('Données projet'!$B$12,Paramètres!$A$1:$I$89,3,0)*VLOOKUP('Données projet'!$B$12,Paramètres!$A$1:$I$89,5,0)</f>
        <v>-9.0449248091317723E-14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271.25628946149067</v>
      </c>
      <c r="CE101" s="59">
        <f t="shared" si="94"/>
        <v>292.57799203101769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71.292587016554691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71.292587016554691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5.6843418860808015E-14</v>
      </c>
      <c r="CU101" s="17">
        <f>CT101*VLOOKUP('Données projet'!$B$13,Paramètres!$A$1:$I$89,3,0)*VLOOKUP('Données projet'!$B$13,Paramètres!$A$1:$I$89,5,0)</f>
        <v>3.1036506698001178E-14</v>
      </c>
      <c r="CV101" s="13">
        <f t="shared" si="95"/>
        <v>5.3428243983771088E-13</v>
      </c>
      <c r="CW101" s="20">
        <f t="shared" si="67"/>
        <v>9.8459716521636505E-13</v>
      </c>
      <c r="CX101" s="59">
        <f t="shared" si="68"/>
        <v>293.33333333333428</v>
      </c>
      <c r="CY101" s="59">
        <f ca="1">AVERAGE(OFFSET($CX$3,0,0,'Données projet'!$E$13+1,1))-AVERAGE(OFFSET($H$3,0,0,'Données projet'!$E$13+1,1))</f>
        <v>210.03861149060413</v>
      </c>
      <c r="CZ101" s="59">
        <f t="shared" si="96"/>
        <v>298.74602928001929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42.671859424319642</v>
      </c>
      <c r="DG101" s="21">
        <f>EXP(-LN(2)/25)*DG100+(1-EXP(-LN(2)/25))/(LN(2)/25)*Calculateur!DB101*Calculateur!DD101*VLOOKUP('Données projet'!$B$13,Paramètres!$A$1:$I$89,3,0)*0.475*44/12</f>
        <v>14.787560587511068</v>
      </c>
      <c r="DH101" s="21">
        <f>EXP(-LN(2)/2)*DH100+(1-EXP(-LN(2)/2))/(LN(2)/2)*DB101*DE101*VLOOKUP('Données projet'!$B$13,Paramètres!$A$1:$I$89,3,0)*0.475*44/12</f>
        <v>2.1521476679598665E-6</v>
      </c>
      <c r="DI101" s="22">
        <f t="shared" si="69"/>
        <v>57.459422163978374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-3.4106051316484809E-13</v>
      </c>
      <c r="DP101" s="17">
        <f>DO101*VLOOKUP('Données projet'!$B$14,Paramètres!$A$1:$I$89,3,0)*VLOOKUP('Données projet'!$B$14,Paramètres!$A$1:$I$89,5,0)</f>
        <v>-2.0395418687257919E-13</v>
      </c>
      <c r="DQ101" s="13" t="e">
        <f t="shared" si="97"/>
        <v>#NUM!</v>
      </c>
      <c r="DR101" s="20" t="e">
        <f t="shared" si="70"/>
        <v>#NUM!</v>
      </c>
      <c r="DS101" s="59" t="e">
        <f t="shared" si="71"/>
        <v>#NUM!</v>
      </c>
      <c r="DT101" s="59">
        <f ca="1">AVERAGE(OFFSET($DS$3,0,0,'Données projet'!$E$14+1,1))-AVERAGE(OFFSET($H$3,0,0,'Données projet'!$E$14+1,1))</f>
        <v>402.28353929315114</v>
      </c>
      <c r="DU101" s="59">
        <f t="shared" si="98"/>
        <v>376.94419168335463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119.24653356289618</v>
      </c>
      <c r="EB101" s="21">
        <f>EXP(-LN(2)/25)*EB100+(1-EXP(-LN(2)/25))/(LN(2)/25)*Calculateur!DW101*Calculateur!DY101*VLOOKUP('Données projet'!$B$14,Paramètres!$A$1:$I$89,3,0)*0.475*44/12</f>
        <v>22.436251650911199</v>
      </c>
      <c r="EC101" s="21">
        <f>EXP(-LN(2)/2)*EC100+(1-EXP(-LN(2)/2))/(LN(2)/2)*DW101*DZ101*VLOOKUP('Données projet'!$B$14,Paramètres!$A$1:$I$89,3,0)*0.475*44/12</f>
        <v>2.2368331726914836E-3</v>
      </c>
      <c r="ED101" s="22">
        <f t="shared" si="72"/>
        <v>141.68502204698007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>
        <f>EJ101*VLOOKUP('Données projet'!$B$15,Paramètres!$A$1:$I$89,3,0)*VLOOKUP('Données projet'!$B$15,Paramètres!$A$1:$I$89,5,0)</f>
        <v>0</v>
      </c>
      <c r="EL101" s="13" t="e">
        <f t="shared" si="99"/>
        <v>#NUM!</v>
      </c>
      <c r="EM101" s="20" t="e">
        <f t="shared" si="73"/>
        <v>#NUM!</v>
      </c>
      <c r="EN101" s="59" t="e">
        <f t="shared" si="74"/>
        <v>#NUM!</v>
      </c>
      <c r="EO101" s="59">
        <f ca="1">AVERAGE(OFFSET($EN$3,0,0,'Données projet'!$E$15+1,1))-AVERAGE(OFFSET($H$3,0,0,'Données projet'!$E$15+1,1))</f>
        <v>273.3012268683454</v>
      </c>
      <c r="EP101" s="59">
        <f t="shared" si="100"/>
        <v>254.08208375594052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73.087509134083973</v>
      </c>
      <c r="EW101" s="21">
        <f>EXP(-LN(2)/25)*EW100+(1-EXP(-LN(2)/25))/(LN(2)/25)*Calculateur!ER101*Calculateur!ET101*VLOOKUP('Données projet'!$B$15,Paramètres!$A$1:$I$89,3,0)*0.475*44/12</f>
        <v>25.156688836344269</v>
      </c>
      <c r="EX101" s="21">
        <f>EXP(-LN(2)/2)*EX100+(1-EXP(-LN(2)/2))/(LN(2)/2)*ER101*EU101*VLOOKUP('Données projet'!$B$15,Paramètres!$A$1:$I$89,3,0)*0.475*44/12</f>
        <v>3.2111384232452246E-3</v>
      </c>
      <c r="EY101" s="22">
        <f t="shared" si="75"/>
        <v>98.247409108851485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5.6</v>
      </c>
      <c r="N102" s="13">
        <f>IF('Données projet'!$A$36&gt;35,N101+M102-V101,IF(A102&lt;'Données projet'!$A$36,$K$205^A102,IF(A102='Données projet'!$A$36,'Données projet'!$B$36,N101+M102-V101)))</f>
        <v>327.39999999999992</v>
      </c>
      <c r="O102" s="13">
        <f>N102*VLOOKUP('Données projet'!$B$9,Paramètres!$A$1:$I$89,3,0)*VLOOKUP('Données projet'!$B$9,Paramètres!$A$1:$I$89,5,0)</f>
        <v>296.23151999999993</v>
      </c>
      <c r="P102" s="13">
        <f t="shared" si="87"/>
        <v>70.385865030263986</v>
      </c>
      <c r="Q102" s="20">
        <f t="shared" si="107"/>
        <v>638.52527892770956</v>
      </c>
      <c r="R102" s="59">
        <f t="shared" si="55"/>
        <v>931.85861226104294</v>
      </c>
      <c r="S102" s="59">
        <f ca="1">AVERAGE(OFFSET($R$3,0,0,'Données projet'!$E$9+1,1))-AVERAGE(OFFSET($H$3,0,0,'Données projet'!$E$9+1,1))</f>
        <v>453.52760163325451</v>
      </c>
      <c r="T102" s="59">
        <f t="shared" si="88"/>
        <v>344.23959526427001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41.549111207488949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41.549111207488949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7.2</v>
      </c>
      <c r="AI102" s="13">
        <f>IF('Données projet'!$A$62&gt;35,AI101+AH102-AQ101,IF(A102&lt;'Données projet'!$A$62,$AF$205^A102,IF(A102='Données projet'!$A$62,'Données projet'!$B$62,AI101+AH102-AQ101)))</f>
        <v>392.7999999999999</v>
      </c>
      <c r="AJ102" s="13">
        <f>AI102*VLOOKUP('Données projet'!$B$10,Paramètres!$A$1:$I$89,3,0)*VLOOKUP('Données projet'!$B$10,Paramètres!$A$1:$I$89,5,0)</f>
        <v>337.02239999999995</v>
      </c>
      <c r="AK102" s="13">
        <f t="shared" si="89"/>
        <v>78.884440823098231</v>
      </c>
      <c r="AL102" s="20">
        <f t="shared" si="58"/>
        <v>724.37108110022928</v>
      </c>
      <c r="AM102" s="59">
        <f t="shared" si="59"/>
        <v>1017.7044144335625</v>
      </c>
      <c r="AN102" s="59">
        <f ca="1">AVERAGE(OFFSET($AM$3,0,0,'Données projet'!$E$10+1,1))-AVERAGE(OFFSET($H$3,0,0,'Données projet'!$E$10+1,1))</f>
        <v>397.45670821030774</v>
      </c>
      <c r="AO102" s="59">
        <f t="shared" si="90"/>
        <v>256.77417912163997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46.770070495942697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46.770070495942697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>
        <f>BD102*VLOOKUP('Données projet'!$B$11,Paramètres!$A$1:$I$89,3,0)*VLOOKUP('Données projet'!$B$11,Paramètres!$A$1:$I$89,5,0)</f>
        <v>0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293.20194140252903</v>
      </c>
      <c r="BJ102" s="59">
        <f t="shared" si="92"/>
        <v>280.69048279989266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54.589847470552698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54.589847470552698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-1.1368683772161603E-13</v>
      </c>
      <c r="BZ102" s="13">
        <f>BY102*VLOOKUP('Données projet'!$B$12,Paramètres!$A$1:$I$89,3,0)*VLOOKUP('Données projet'!$B$12,Paramètres!$A$1:$I$89,5,0)</f>
        <v>-9.0449248091317723E-14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271.25628946149067</v>
      </c>
      <c r="CE102" s="59">
        <f t="shared" si="94"/>
        <v>292.57799203101769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69.894582869344433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69.894582869344433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5.6843418860808015E-14</v>
      </c>
      <c r="CU102" s="17">
        <f>CT102*VLOOKUP('Données projet'!$B$13,Paramètres!$A$1:$I$89,3,0)*VLOOKUP('Données projet'!$B$13,Paramètres!$A$1:$I$89,5,0)</f>
        <v>3.1036506698001178E-14</v>
      </c>
      <c r="CV102" s="13">
        <f t="shared" si="95"/>
        <v>5.3428243983771088E-13</v>
      </c>
      <c r="CW102" s="20">
        <f t="shared" si="67"/>
        <v>9.8459716521636505E-13</v>
      </c>
      <c r="CX102" s="59">
        <f t="shared" si="68"/>
        <v>293.33333333333428</v>
      </c>
      <c r="CY102" s="59">
        <f ca="1">AVERAGE(OFFSET($CX$3,0,0,'Données projet'!$E$13+1,1))-AVERAGE(OFFSET($H$3,0,0,'Données projet'!$E$13+1,1))</f>
        <v>210.03861149060413</v>
      </c>
      <c r="CZ102" s="59">
        <f t="shared" si="96"/>
        <v>298.74602928001929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41.835090288273001</v>
      </c>
      <c r="DG102" s="21">
        <f>EXP(-LN(2)/25)*DG101+(1-EXP(-LN(2)/25))/(LN(2)/25)*Calculateur!DB102*Calculateur!DD102*VLOOKUP('Données projet'!$B$13,Paramètres!$A$1:$I$89,3,0)*0.475*44/12</f>
        <v>14.383193965601563</v>
      </c>
      <c r="DH102" s="21">
        <f>EXP(-LN(2)/2)*DH101+(1-EXP(-LN(2)/2))/(LN(2)/2)*DB102*DE102*VLOOKUP('Données projet'!$B$13,Paramètres!$A$1:$I$89,3,0)*0.475*44/12</f>
        <v>1.5217982101292359E-6</v>
      </c>
      <c r="DI102" s="22">
        <f t="shared" si="69"/>
        <v>56.218285775672776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-3.4106051316484809E-13</v>
      </c>
      <c r="DP102" s="17">
        <f>DO102*VLOOKUP('Données projet'!$B$14,Paramètres!$A$1:$I$89,3,0)*VLOOKUP('Données projet'!$B$14,Paramètres!$A$1:$I$89,5,0)</f>
        <v>-2.0395418687257919E-13</v>
      </c>
      <c r="DQ102" s="13" t="e">
        <f t="shared" si="97"/>
        <v>#NUM!</v>
      </c>
      <c r="DR102" s="20" t="e">
        <f t="shared" si="70"/>
        <v>#NUM!</v>
      </c>
      <c r="DS102" s="59" t="e">
        <f t="shared" si="71"/>
        <v>#NUM!</v>
      </c>
      <c r="DT102" s="59">
        <f ca="1">AVERAGE(OFFSET($DS$3,0,0,'Données projet'!$E$14+1,1))-AVERAGE(OFFSET($H$3,0,0,'Données projet'!$E$14+1,1))</f>
        <v>402.28353929315114</v>
      </c>
      <c r="DU102" s="59">
        <f t="shared" si="98"/>
        <v>376.94419168335463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116.90818177293144</v>
      </c>
      <c r="EB102" s="21">
        <f>EXP(-LN(2)/25)*EB101+(1-EXP(-LN(2)/25))/(LN(2)/25)*Calculateur!DW102*Calculateur!DY102*VLOOKUP('Données projet'!$B$14,Paramètres!$A$1:$I$89,3,0)*0.475*44/12</f>
        <v>21.822731169645838</v>
      </c>
      <c r="EC102" s="21">
        <f>EXP(-LN(2)/2)*EC101+(1-EXP(-LN(2)/2))/(LN(2)/2)*DW102*DZ102*VLOOKUP('Données projet'!$B$14,Paramètres!$A$1:$I$89,3,0)*0.475*44/12</f>
        <v>1.5816799047931678E-3</v>
      </c>
      <c r="ED102" s="22">
        <f t="shared" si="72"/>
        <v>138.73249462248208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>
        <f>EJ102*VLOOKUP('Données projet'!$B$15,Paramètres!$A$1:$I$89,3,0)*VLOOKUP('Données projet'!$B$15,Paramètres!$A$1:$I$89,5,0)</f>
        <v>0</v>
      </c>
      <c r="EL102" s="13" t="e">
        <f t="shared" si="99"/>
        <v>#NUM!</v>
      </c>
      <c r="EM102" s="20" t="e">
        <f t="shared" si="73"/>
        <v>#NUM!</v>
      </c>
      <c r="EN102" s="59" t="e">
        <f t="shared" si="74"/>
        <v>#NUM!</v>
      </c>
      <c r="EO102" s="59">
        <f ca="1">AVERAGE(OFFSET($EN$3,0,0,'Données projet'!$E$15+1,1))-AVERAGE(OFFSET($H$3,0,0,'Données projet'!$E$15+1,1))</f>
        <v>273.3012268683454</v>
      </c>
      <c r="EP102" s="59">
        <f t="shared" si="100"/>
        <v>254.08208375594052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71.654307658943353</v>
      </c>
      <c r="EW102" s="21">
        <f>EXP(-LN(2)/25)*EW101+(1-EXP(-LN(2)/25))/(LN(2)/25)*Calculateur!ER102*Calculateur!ET102*VLOOKUP('Données projet'!$B$15,Paramètres!$A$1:$I$89,3,0)*0.475*44/12</f>
        <v>24.468777857181667</v>
      </c>
      <c r="EX102" s="21">
        <f>EXP(-LN(2)/2)*EX101+(1-EXP(-LN(2)/2))/(LN(2)/2)*ER102*EU102*VLOOKUP('Données projet'!$B$15,Paramètres!$A$1:$I$89,3,0)*0.475*44/12</f>
        <v>2.2706177544053762E-3</v>
      </c>
      <c r="EY102" s="22">
        <f t="shared" si="75"/>
        <v>96.125356133879421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333</v>
      </c>
      <c r="L103" s="12">
        <f>VLOOKUP(A103,'Données projet'!$A$35:$I$55,9,0)</f>
        <v>5.6</v>
      </c>
      <c r="M103" s="12">
        <f t="array" ref="M103">INDEX(L:L,MIN(IF(ISNUMBER(L103:L299),ROW(L103:L299),"")))</f>
        <v>5.6</v>
      </c>
      <c r="N103" s="13">
        <f>IF('Données projet'!$A$36&gt;35,N102+M103-V102,IF(A103&lt;'Données projet'!$A$36,$K$205^A103,IF(A103='Données projet'!$A$36,'Données projet'!$B$36,N102+M103-V102)))</f>
        <v>332.99999999999994</v>
      </c>
      <c r="O103" s="13">
        <f>N103*VLOOKUP('Données projet'!$B$9,Paramètres!$A$1:$I$89,3,0)*VLOOKUP('Données projet'!$B$9,Paramètres!$A$1:$I$89,5,0)</f>
        <v>301.29839999999996</v>
      </c>
      <c r="P103" s="13">
        <f t="shared" si="87"/>
        <v>71.448589534990518</v>
      </c>
      <c r="Q103" s="20">
        <f t="shared" si="107"/>
        <v>649.20100677344169</v>
      </c>
      <c r="R103" s="59">
        <f t="shared" si="55"/>
        <v>942.53434010677506</v>
      </c>
      <c r="S103" s="59">
        <f ca="1">AVERAGE(OFFSET($R$3,0,0,'Données projet'!$E$9+1,1))-AVERAGE(OFFSET($H$3,0,0,'Données projet'!$E$9+1,1))</f>
        <v>453.52760163325451</v>
      </c>
      <c r="T103" s="59">
        <f t="shared" si="88"/>
        <v>344.23959526427001</v>
      </c>
      <c r="U103" s="15">
        <f>IF(ISNA(VLOOKUP(A103,'Données projet'!$A$35:$I$55,3,0)),0,VLOOKUP(A103,'Données projet'!$A$35:$I$55,3,0))</f>
        <v>17</v>
      </c>
      <c r="V103" s="15">
        <f>IF(ISNA(VLOOKUP(A103,'Données projet'!$A$35:$I$55,4,0)),0,VLOOKUP(A103,'Données projet'!$A$35:$I$55,4,0))</f>
        <v>27</v>
      </c>
      <c r="W103" s="16">
        <f>IF(ISNA(VLOOKUP(A103,'Données projet'!$A$35:$I$55,5,0)),0%,VLOOKUP(A103,'Données projet'!$A$35:$I$55,5,0)*VLOOKUP('Données projet'!$B$9,Paramètres!$A$1:$I$89,7,0))</f>
        <v>0.34400000000000003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50.024490998405895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50.024490998405895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400</v>
      </c>
      <c r="AG103" s="12">
        <f>VLOOKUP(A103,'Données projet'!$A$61:$I$81,9,0)</f>
        <v>7.2</v>
      </c>
      <c r="AH103" s="12">
        <f t="array" ref="AH103">INDEX(AG:AG,MIN(IF(ISNUMBER(AG103:AG299),ROW(AG103:AG299),"")))</f>
        <v>7.2</v>
      </c>
      <c r="AI103" s="13">
        <f>IF('Données projet'!$A$62&gt;35,AI102+AH103-AQ102,IF(A103&lt;'Données projet'!$A$62,$AF$205^A103,IF(A103='Données projet'!$A$62,'Données projet'!$B$62,AI102+AH103-AQ102)))</f>
        <v>399.99999999999989</v>
      </c>
      <c r="AJ103" s="13">
        <f>AI103*VLOOKUP('Données projet'!$B$10,Paramètres!$A$1:$I$89,3,0)*VLOOKUP('Données projet'!$B$10,Paramètres!$A$1:$I$89,5,0)</f>
        <v>343.19999999999993</v>
      </c>
      <c r="AK103" s="13">
        <f t="shared" si="89"/>
        <v>80.160725794932105</v>
      </c>
      <c r="AL103" s="20">
        <f t="shared" si="58"/>
        <v>737.35326409283982</v>
      </c>
      <c r="AM103" s="59">
        <f t="shared" si="59"/>
        <v>1030.6865974261732</v>
      </c>
      <c r="AN103" s="59">
        <f ca="1">AVERAGE(OFFSET($AM$3,0,0,'Données projet'!$E$10+1,1))-AVERAGE(OFFSET($H$3,0,0,'Données projet'!$E$10+1,1))</f>
        <v>397.45670821030774</v>
      </c>
      <c r="AO103" s="59">
        <f t="shared" si="90"/>
        <v>256.77417912163997</v>
      </c>
      <c r="AP103" s="15">
        <f>IF(ISNA(VLOOKUP(A103,'Données projet'!$A$61:$I$81,3,0)),0,VLOOKUP(A103,'Données projet'!$A$61:$I$81,3,0))</f>
        <v>17</v>
      </c>
      <c r="AQ103" s="15">
        <f>IF(ISNA(VLOOKUP(A103,'Données projet'!$A$61:$I$81,4,0)),0,VLOOKUP(A103,'Données projet'!$A$61:$I$81,4,0))</f>
        <v>400</v>
      </c>
      <c r="AR103" s="16">
        <f>IF(ISNA(VLOOKUP(A103,'Données projet'!$A$61:$I$81,5,0)),0%,VLOOKUP(A103,'Données projet'!$A$61:$I$81,5,0)*VLOOKUP('Données projet'!$B$10,Paramètres!$A$1:$I$89,7,0))</f>
        <v>0.42400000000000004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206.7174500648639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206.7174500648639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>
        <f>BD103*VLOOKUP('Données projet'!$B$11,Paramètres!$A$1:$I$89,3,0)*VLOOKUP('Données projet'!$B$11,Paramètres!$A$1:$I$89,5,0)</f>
        <v>0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293.20194140252903</v>
      </c>
      <c r="BJ103" s="59">
        <f t="shared" si="92"/>
        <v>280.69048279989266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53.519373858174362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53.519373858174362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-1.1368683772161603E-13</v>
      </c>
      <c r="BZ103" s="13">
        <f>BY103*VLOOKUP('Données projet'!$B$12,Paramètres!$A$1:$I$89,3,0)*VLOOKUP('Données projet'!$B$12,Paramètres!$A$1:$I$89,5,0)</f>
        <v>-9.0449248091317723E-14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271.25628946149067</v>
      </c>
      <c r="CE103" s="59">
        <f t="shared" si="94"/>
        <v>292.57799203101769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68.523992730762629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68.523992730762629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5.6843418860808015E-14</v>
      </c>
      <c r="CU103" s="17">
        <f>CT103*VLOOKUP('Données projet'!$B$13,Paramètres!$A$1:$I$89,3,0)*VLOOKUP('Données projet'!$B$13,Paramètres!$A$1:$I$89,5,0)</f>
        <v>3.1036506698001178E-14</v>
      </c>
      <c r="CV103" s="13">
        <f t="shared" si="95"/>
        <v>5.3428243983771088E-13</v>
      </c>
      <c r="CW103" s="20">
        <f t="shared" si="67"/>
        <v>9.8459716521636505E-13</v>
      </c>
      <c r="CX103" s="59">
        <f t="shared" si="68"/>
        <v>293.33333333333428</v>
      </c>
      <c r="CY103" s="59">
        <f ca="1">AVERAGE(OFFSET($CX$3,0,0,'Données projet'!$E$13+1,1))-AVERAGE(OFFSET($H$3,0,0,'Données projet'!$E$13+1,1))</f>
        <v>210.03861149060413</v>
      </c>
      <c r="CZ103" s="59">
        <f t="shared" si="96"/>
        <v>298.74602928001929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41.014729684605463</v>
      </c>
      <c r="DG103" s="21">
        <f>EXP(-LN(2)/25)*DG102+(1-EXP(-LN(2)/25))/(LN(2)/25)*Calculateur!DB103*Calculateur!DD103*VLOOKUP('Données projet'!$B$13,Paramètres!$A$1:$I$89,3,0)*0.475*44/12</f>
        <v>13.989884770232891</v>
      </c>
      <c r="DH103" s="21">
        <f>EXP(-LN(2)/2)*DH102+(1-EXP(-LN(2)/2))/(LN(2)/2)*DB103*DE103*VLOOKUP('Données projet'!$B$13,Paramètres!$A$1:$I$89,3,0)*0.475*44/12</f>
        <v>1.0760738339799333E-6</v>
      </c>
      <c r="DI103" s="22">
        <f t="shared" si="69"/>
        <v>55.00461553091219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-3.4106051316484809E-13</v>
      </c>
      <c r="DP103" s="17">
        <f>DO103*VLOOKUP('Données projet'!$B$14,Paramètres!$A$1:$I$89,3,0)*VLOOKUP('Données projet'!$B$14,Paramètres!$A$1:$I$89,5,0)</f>
        <v>-2.0395418687257919E-13</v>
      </c>
      <c r="DQ103" s="13" t="e">
        <f t="shared" si="97"/>
        <v>#NUM!</v>
      </c>
      <c r="DR103" s="20" t="e">
        <f t="shared" si="70"/>
        <v>#NUM!</v>
      </c>
      <c r="DS103" s="59" t="e">
        <f t="shared" si="71"/>
        <v>#NUM!</v>
      </c>
      <c r="DT103" s="59">
        <f ca="1">AVERAGE(OFFSET($DS$3,0,0,'Données projet'!$E$14+1,1))-AVERAGE(OFFSET($H$3,0,0,'Données projet'!$E$14+1,1))</f>
        <v>402.28353929315114</v>
      </c>
      <c r="DU103" s="59">
        <f t="shared" si="98"/>
        <v>376.94419168335463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114.61568363531416</v>
      </c>
      <c r="EB103" s="21">
        <f>EXP(-LN(2)/25)*EB102+(1-EXP(-LN(2)/25))/(LN(2)/25)*Calculateur!DW103*Calculateur!DY103*VLOOKUP('Données projet'!$B$14,Paramètres!$A$1:$I$89,3,0)*0.475*44/12</f>
        <v>21.225987438204317</v>
      </c>
      <c r="EC103" s="21">
        <f>EXP(-LN(2)/2)*EC102+(1-EXP(-LN(2)/2))/(LN(2)/2)*DW103*DZ103*VLOOKUP('Données projet'!$B$14,Paramètres!$A$1:$I$89,3,0)*0.475*44/12</f>
        <v>1.1184165863457418E-3</v>
      </c>
      <c r="ED103" s="22">
        <f t="shared" si="72"/>
        <v>135.84278949010482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>
        <f>EJ103*VLOOKUP('Données projet'!$B$15,Paramètres!$A$1:$I$89,3,0)*VLOOKUP('Données projet'!$B$15,Paramètres!$A$1:$I$89,5,0)</f>
        <v>0</v>
      </c>
      <c r="EL103" s="13" t="e">
        <f t="shared" si="99"/>
        <v>#NUM!</v>
      </c>
      <c r="EM103" s="20" t="e">
        <f t="shared" si="73"/>
        <v>#NUM!</v>
      </c>
      <c r="EN103" s="59" t="e">
        <f t="shared" si="74"/>
        <v>#NUM!</v>
      </c>
      <c r="EO103" s="59">
        <f ca="1">AVERAGE(OFFSET($EN$3,0,0,'Données projet'!$E$15+1,1))-AVERAGE(OFFSET($H$3,0,0,'Données projet'!$E$15+1,1))</f>
        <v>273.3012268683454</v>
      </c>
      <c r="EP103" s="59">
        <f t="shared" si="100"/>
        <v>254.08208375594052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70.249210390563647</v>
      </c>
      <c r="EW103" s="21">
        <f>EXP(-LN(2)/25)*EW102+(1-EXP(-LN(2)/25))/(LN(2)/25)*Calculateur!ER103*Calculateur!ET103*VLOOKUP('Données projet'!$B$15,Paramètres!$A$1:$I$89,3,0)*0.475*44/12</f>
        <v>23.79967783991993</v>
      </c>
      <c r="EX103" s="21">
        <f>EXP(-LN(2)/2)*EX102+(1-EXP(-LN(2)/2))/(LN(2)/2)*ER103*EU103*VLOOKUP('Données projet'!$B$15,Paramètres!$A$1:$I$89,3,0)*0.475*44/12</f>
        <v>1.6055692116226123E-3</v>
      </c>
      <c r="EY103" s="22">
        <f t="shared" si="75"/>
        <v>94.050493799695204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5.2</v>
      </c>
      <c r="N104" s="13">
        <f>IF('Données projet'!$A$36&gt;35,N103+M104-V103,IF(A104&lt;'Données projet'!$A$36,$K$205^A104,IF(A104='Données projet'!$A$36,'Données projet'!$B$36,N103+M104-V103)))</f>
        <v>311.19999999999993</v>
      </c>
      <c r="O104" s="13">
        <f>N104*VLOOKUP('Données projet'!$B$9,Paramètres!$A$1:$I$89,3,0)*VLOOKUP('Données projet'!$B$9,Paramètres!$A$1:$I$89,5,0)</f>
        <v>281.57375999999994</v>
      </c>
      <c r="P104" s="13">
        <f t="shared" si="87"/>
        <v>67.299481043334993</v>
      </c>
      <c r="Q104" s="20">
        <f t="shared" si="107"/>
        <v>607.62089481714168</v>
      </c>
      <c r="R104" s="59">
        <f t="shared" si="55"/>
        <v>900.95422815047505</v>
      </c>
      <c r="S104" s="59">
        <f ca="1">AVERAGE(OFFSET($R$3,0,0,'Données projet'!$E$9+1,1))-AVERAGE(OFFSET($H$3,0,0,'Données projet'!$E$9+1,1))</f>
        <v>453.52760163325451</v>
      </c>
      <c r="T104" s="59">
        <f t="shared" si="88"/>
        <v>344.23959526427001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49.043541241853859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49.043541241853859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-1.1368683772161603E-13</v>
      </c>
      <c r="AJ104" s="13">
        <f>AI104*VLOOKUP('Données projet'!$B$10,Paramètres!$A$1:$I$89,3,0)*VLOOKUP('Données projet'!$B$10,Paramètres!$A$1:$I$89,5,0)</f>
        <v>-9.7543306765146564E-14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397.45670821030774</v>
      </c>
      <c r="AO104" s="59">
        <f t="shared" si="90"/>
        <v>256.77417912163997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202.66384695428658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202.66384695428658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293.20194140252903</v>
      </c>
      <c r="BJ104" s="59">
        <f t="shared" si="92"/>
        <v>280.69048279989266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52.469891580410327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52.469891580410327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-1.1368683772161603E-13</v>
      </c>
      <c r="BZ104" s="13">
        <f>BY104*VLOOKUP('Données projet'!$B$12,Paramètres!$A$1:$I$89,3,0)*VLOOKUP('Données projet'!$B$12,Paramètres!$A$1:$I$89,5,0)</f>
        <v>-9.0449248091317723E-14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271.25628946149067</v>
      </c>
      <c r="CE104" s="59">
        <f t="shared" si="94"/>
        <v>292.57799203101769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67.180279028820976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67.180279028820976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5.6843418860808015E-14</v>
      </c>
      <c r="CU104" s="17">
        <f>CT104*VLOOKUP('Données projet'!$B$13,Paramètres!$A$1:$I$89,3,0)*VLOOKUP('Données projet'!$B$13,Paramètres!$A$1:$I$89,5,0)</f>
        <v>3.1036506698001178E-14</v>
      </c>
      <c r="CV104" s="13">
        <f t="shared" si="95"/>
        <v>5.3428243983771088E-13</v>
      </c>
      <c r="CW104" s="20">
        <f t="shared" si="67"/>
        <v>9.8459716521636505E-13</v>
      </c>
      <c r="CX104" s="59">
        <f t="shared" si="68"/>
        <v>293.33333333333428</v>
      </c>
      <c r="CY104" s="59">
        <f ca="1">AVERAGE(OFFSET($CX$3,0,0,'Données projet'!$E$13+1,1))-AVERAGE(OFFSET($H$3,0,0,'Données projet'!$E$13+1,1))</f>
        <v>210.03861149060413</v>
      </c>
      <c r="CZ104" s="59">
        <f t="shared" si="96"/>
        <v>298.74602928001929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40.210455852005282</v>
      </c>
      <c r="DG104" s="21">
        <f>EXP(-LN(2)/25)*DG103+(1-EXP(-LN(2)/25))/(LN(2)/25)*Calculateur!DB104*Calculateur!DD104*VLOOKUP('Données projet'!$B$13,Paramètres!$A$1:$I$89,3,0)*0.475*44/12</f>
        <v>13.607330635494806</v>
      </c>
      <c r="DH104" s="21">
        <f>EXP(-LN(2)/2)*DH103+(1-EXP(-LN(2)/2))/(LN(2)/2)*DB104*DE104*VLOOKUP('Données projet'!$B$13,Paramètres!$A$1:$I$89,3,0)*0.475*44/12</f>
        <v>7.6089910506461795E-7</v>
      </c>
      <c r="DI104" s="22">
        <f t="shared" si="69"/>
        <v>53.817787248399192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-3.4106051316484809E-13</v>
      </c>
      <c r="DP104" s="17">
        <f>DO104*VLOOKUP('Données projet'!$B$14,Paramètres!$A$1:$I$89,3,0)*VLOOKUP('Données projet'!$B$14,Paramètres!$A$1:$I$89,5,0)</f>
        <v>-2.0395418687257919E-13</v>
      </c>
      <c r="DQ104" s="13" t="e">
        <f t="shared" si="97"/>
        <v>#NUM!</v>
      </c>
      <c r="DR104" s="20" t="e">
        <f t="shared" si="70"/>
        <v>#NUM!</v>
      </c>
      <c r="DS104" s="59" t="e">
        <f t="shared" si="71"/>
        <v>#NUM!</v>
      </c>
      <c r="DT104" s="59">
        <f ca="1">AVERAGE(OFFSET($DS$3,0,0,'Données projet'!$E$14+1,1))-AVERAGE(OFFSET($H$3,0,0,'Données projet'!$E$14+1,1))</f>
        <v>402.28353929315114</v>
      </c>
      <c r="DU104" s="59">
        <f t="shared" si="98"/>
        <v>376.94419168335463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112.36813998788976</v>
      </c>
      <c r="EB104" s="21">
        <f>EXP(-LN(2)/25)*EB103+(1-EXP(-LN(2)/25))/(LN(2)/25)*Calculateur!DW104*Calculateur!DY104*VLOOKUP('Données projet'!$B$14,Paramètres!$A$1:$I$89,3,0)*0.475*44/12</f>
        <v>20.645561695480453</v>
      </c>
      <c r="EC104" s="21">
        <f>EXP(-LN(2)/2)*EC103+(1-EXP(-LN(2)/2))/(LN(2)/2)*DW104*DZ104*VLOOKUP('Données projet'!$B$14,Paramètres!$A$1:$I$89,3,0)*0.475*44/12</f>
        <v>7.908399523965839E-4</v>
      </c>
      <c r="ED104" s="22">
        <f t="shared" si="72"/>
        <v>133.01449252332262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>
        <f>EJ104*VLOOKUP('Données projet'!$B$15,Paramètres!$A$1:$I$89,3,0)*VLOOKUP('Données projet'!$B$15,Paramètres!$A$1:$I$89,5,0)</f>
        <v>0</v>
      </c>
      <c r="EL104" s="13" t="e">
        <f t="shared" si="99"/>
        <v>#NUM!</v>
      </c>
      <c r="EM104" s="20" t="e">
        <f t="shared" si="73"/>
        <v>#NUM!</v>
      </c>
      <c r="EN104" s="59" t="e">
        <f t="shared" si="74"/>
        <v>#NUM!</v>
      </c>
      <c r="EO104" s="59">
        <f ca="1">AVERAGE(OFFSET($EN$3,0,0,'Données projet'!$E$15+1,1))-AVERAGE(OFFSET($H$3,0,0,'Données projet'!$E$15+1,1))</f>
        <v>273.3012268683454</v>
      </c>
      <c r="EP104" s="59">
        <f t="shared" si="100"/>
        <v>254.08208375594052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68.871666222592168</v>
      </c>
      <c r="EW104" s="21">
        <f>EXP(-LN(2)/25)*EW103+(1-EXP(-LN(2)/25))/(LN(2)/25)*Calculateur!ER104*Calculateur!ET104*VLOOKUP('Données projet'!$B$15,Paramètres!$A$1:$I$89,3,0)*0.475*44/12</f>
        <v>23.148874397816655</v>
      </c>
      <c r="EX104" s="21">
        <f>EXP(-LN(2)/2)*EX103+(1-EXP(-LN(2)/2))/(LN(2)/2)*ER104*EU104*VLOOKUP('Données projet'!$B$15,Paramètres!$A$1:$I$89,3,0)*0.475*44/12</f>
        <v>1.1353088772026881E-3</v>
      </c>
      <c r="EY104" s="22">
        <f t="shared" si="75"/>
        <v>92.021675929286033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5.2</v>
      </c>
      <c r="N105" s="13">
        <f>IF('Données projet'!$A$36&gt;35,N104+M105-V104,IF(A105&lt;'Données projet'!$A$36,$K$205^A105,IF(A105='Données projet'!$A$36,'Données projet'!$B$36,N104+M105-V104)))</f>
        <v>316.39999999999992</v>
      </c>
      <c r="O105" s="13">
        <f>N105*VLOOKUP('Données projet'!$B$9,Paramètres!$A$1:$I$89,3,0)*VLOOKUP('Données projet'!$B$9,Paramètres!$A$1:$I$89,5,0)</f>
        <v>286.27871999999991</v>
      </c>
      <c r="P105" s="13">
        <f t="shared" si="87"/>
        <v>68.292165517667542</v>
      </c>
      <c r="Q105" s="20">
        <f t="shared" si="107"/>
        <v>617.5442922766041</v>
      </c>
      <c r="R105" s="59">
        <f t="shared" si="55"/>
        <v>910.87762560993747</v>
      </c>
      <c r="S105" s="59">
        <f ca="1">AVERAGE(OFFSET($R$3,0,0,'Données projet'!$E$9+1,1))-AVERAGE(OFFSET($H$3,0,0,'Données projet'!$E$9+1,1))</f>
        <v>453.52760163325451</v>
      </c>
      <c r="T105" s="59">
        <f t="shared" si="88"/>
        <v>344.23959526427001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48.081827311707542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48.081827311707542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-1.1368683772161603E-13</v>
      </c>
      <c r="AJ105" s="13">
        <f>AI105*VLOOKUP('Données projet'!$B$10,Paramètres!$A$1:$I$89,3,0)*VLOOKUP('Données projet'!$B$10,Paramètres!$A$1:$I$89,5,0)</f>
        <v>-9.7543306765146564E-14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397.45670821030774</v>
      </c>
      <c r="AO105" s="59">
        <f t="shared" si="90"/>
        <v>256.77417912163997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198.68973252825393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198.68973252825393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293.20194140252903</v>
      </c>
      <c r="BJ105" s="59">
        <f t="shared" si="92"/>
        <v>280.69048279989266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51.440989009992265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51.440989009992265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-1.1368683772161603E-13</v>
      </c>
      <c r="BZ105" s="13">
        <f>BY105*VLOOKUP('Données projet'!$B$12,Paramètres!$A$1:$I$89,3,0)*VLOOKUP('Données projet'!$B$12,Paramètres!$A$1:$I$89,5,0)</f>
        <v>-9.0449248091317723E-14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271.25628946149067</v>
      </c>
      <c r="CE105" s="59">
        <f t="shared" si="94"/>
        <v>292.57799203101769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65.862914732989964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65.862914732989964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5.6843418860808015E-14</v>
      </c>
      <c r="CU105" s="17">
        <f>CT105*VLOOKUP('Données projet'!$B$13,Paramètres!$A$1:$I$89,3,0)*VLOOKUP('Données projet'!$B$13,Paramètres!$A$1:$I$89,5,0)</f>
        <v>3.1036506698001178E-14</v>
      </c>
      <c r="CV105" s="13">
        <f t="shared" si="95"/>
        <v>5.3428243983771088E-13</v>
      </c>
      <c r="CW105" s="20">
        <f t="shared" si="67"/>
        <v>9.8459716521636505E-13</v>
      </c>
      <c r="CX105" s="59">
        <f t="shared" si="68"/>
        <v>293.33333333333428</v>
      </c>
      <c r="CY105" s="59">
        <f ca="1">AVERAGE(OFFSET($CX$3,0,0,'Données projet'!$E$13+1,1))-AVERAGE(OFFSET($H$3,0,0,'Données projet'!$E$13+1,1))</f>
        <v>210.03861149060413</v>
      </c>
      <c r="CZ105" s="59">
        <f t="shared" si="96"/>
        <v>298.74602928001929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39.421953338703794</v>
      </c>
      <c r="DG105" s="21">
        <f>EXP(-LN(2)/25)*DG104+(1-EXP(-LN(2)/25))/(LN(2)/25)*Calculateur!DB105*Calculateur!DD105*VLOOKUP('Données projet'!$B$13,Paramètres!$A$1:$I$89,3,0)*0.475*44/12</f>
        <v>13.235237463688783</v>
      </c>
      <c r="DH105" s="21">
        <f>EXP(-LN(2)/2)*DH104+(1-EXP(-LN(2)/2))/(LN(2)/2)*DB105*DE105*VLOOKUP('Données projet'!$B$13,Paramètres!$A$1:$I$89,3,0)*0.475*44/12</f>
        <v>5.3803691698996664E-7</v>
      </c>
      <c r="DI105" s="22">
        <f t="shared" si="69"/>
        <v>52.657191340429492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-3.4106051316484809E-13</v>
      </c>
      <c r="DP105" s="17">
        <f>DO105*VLOOKUP('Données projet'!$B$14,Paramètres!$A$1:$I$89,3,0)*VLOOKUP('Données projet'!$B$14,Paramètres!$A$1:$I$89,5,0)</f>
        <v>-2.0395418687257919E-13</v>
      </c>
      <c r="DQ105" s="13" t="e">
        <f t="shared" si="97"/>
        <v>#NUM!</v>
      </c>
      <c r="DR105" s="20" t="e">
        <f t="shared" si="70"/>
        <v>#NUM!</v>
      </c>
      <c r="DS105" s="59" t="e">
        <f t="shared" si="71"/>
        <v>#NUM!</v>
      </c>
      <c r="DT105" s="59">
        <f ca="1">AVERAGE(OFFSET($DS$3,0,0,'Données projet'!$E$14+1,1))-AVERAGE(OFFSET($H$3,0,0,'Données projet'!$E$14+1,1))</f>
        <v>402.28353929315114</v>
      </c>
      <c r="DU105" s="59">
        <f t="shared" si="98"/>
        <v>376.94419168335463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110.16466930052509</v>
      </c>
      <c r="EB105" s="21">
        <f>EXP(-LN(2)/25)*EB104+(1-EXP(-LN(2)/25))/(LN(2)/25)*Calculateur!DW105*Calculateur!DY105*VLOOKUP('Données projet'!$B$14,Paramètres!$A$1:$I$89,3,0)*0.475*44/12</f>
        <v>20.081007725214636</v>
      </c>
      <c r="EC105" s="21">
        <f>EXP(-LN(2)/2)*EC104+(1-EXP(-LN(2)/2))/(LN(2)/2)*DW105*DZ105*VLOOKUP('Données projet'!$B$14,Paramètres!$A$1:$I$89,3,0)*0.475*44/12</f>
        <v>5.5920829317287091E-4</v>
      </c>
      <c r="ED105" s="22">
        <f t="shared" si="72"/>
        <v>130.24623623403289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>
        <f>EJ105*VLOOKUP('Données projet'!$B$15,Paramètres!$A$1:$I$89,3,0)*VLOOKUP('Données projet'!$B$15,Paramètres!$A$1:$I$89,5,0)</f>
        <v>0</v>
      </c>
      <c r="EL105" s="13" t="e">
        <f t="shared" si="99"/>
        <v>#NUM!</v>
      </c>
      <c r="EM105" s="20" t="e">
        <f t="shared" si="73"/>
        <v>#NUM!</v>
      </c>
      <c r="EN105" s="59" t="e">
        <f t="shared" si="74"/>
        <v>#NUM!</v>
      </c>
      <c r="EO105" s="59">
        <f ca="1">AVERAGE(OFFSET($EN$3,0,0,'Données projet'!$E$15+1,1))-AVERAGE(OFFSET($H$3,0,0,'Données projet'!$E$15+1,1))</f>
        <v>273.3012268683454</v>
      </c>
      <c r="EP105" s="59">
        <f t="shared" si="100"/>
        <v>254.08208375594052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67.521134855535635</v>
      </c>
      <c r="EW105" s="21">
        <f>EXP(-LN(2)/25)*EW104+(1-EXP(-LN(2)/25))/(LN(2)/25)*Calculateur!ER105*Calculateur!ET105*VLOOKUP('Données projet'!$B$15,Paramètres!$A$1:$I$89,3,0)*0.475*44/12</f>
        <v>22.515867210061963</v>
      </c>
      <c r="EX105" s="21">
        <f>EXP(-LN(2)/2)*EX104+(1-EXP(-LN(2)/2))/(LN(2)/2)*ER105*EU105*VLOOKUP('Données projet'!$B$15,Paramètres!$A$1:$I$89,3,0)*0.475*44/12</f>
        <v>8.0278460581130614E-4</v>
      </c>
      <c r="EY105" s="22">
        <f t="shared" si="75"/>
        <v>90.037804850203401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5.2</v>
      </c>
      <c r="N106" s="13">
        <f>IF('Données projet'!$A$36&gt;35,N105+M106-V105,IF(A106&lt;'Données projet'!$A$36,$K$205^A106,IF(A106='Données projet'!$A$36,'Données projet'!$B$36,N105+M106-V105)))</f>
        <v>321.59999999999991</v>
      </c>
      <c r="O106" s="13">
        <f>N106*VLOOKUP('Données projet'!$B$9,Paramètres!$A$1:$I$89,3,0)*VLOOKUP('Données projet'!$B$9,Paramètres!$A$1:$I$89,5,0)</f>
        <v>290.98367999999994</v>
      </c>
      <c r="P106" s="13">
        <f t="shared" si="87"/>
        <v>69.282952690245423</v>
      </c>
      <c r="Q106" s="20">
        <f t="shared" si="107"/>
        <v>627.46438526884401</v>
      </c>
      <c r="R106" s="59">
        <f t="shared" si="55"/>
        <v>920.79771860217738</v>
      </c>
      <c r="S106" s="59">
        <f ca="1">AVERAGE(OFFSET($R$3,0,0,'Données projet'!$E$9+1,1))-AVERAGE(OFFSET($H$3,0,0,'Données projet'!$E$9+1,1))</f>
        <v>453.52760163325451</v>
      </c>
      <c r="T106" s="59">
        <f t="shared" si="88"/>
        <v>344.23959526427001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47.138972005143813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47.138972005143813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-1.1368683772161603E-13</v>
      </c>
      <c r="AJ106" s="13">
        <f>AI106*VLOOKUP('Données projet'!$B$10,Paramètres!$A$1:$I$89,3,0)*VLOOKUP('Données projet'!$B$10,Paramètres!$A$1:$I$89,5,0)</f>
        <v>-9.7543306765146564E-14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397.45670821030774</v>
      </c>
      <c r="AO106" s="59">
        <f t="shared" si="90"/>
        <v>256.77417912163997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194.79354806214531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194.79354806214531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293.20194140252903</v>
      </c>
      <c r="BJ106" s="59">
        <f t="shared" si="92"/>
        <v>280.69048279989266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50.432262591411501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50.432262591411501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-1.1368683772161603E-13</v>
      </c>
      <c r="BZ106" s="13">
        <f>BY106*VLOOKUP('Données projet'!$B$12,Paramètres!$A$1:$I$89,3,0)*VLOOKUP('Données projet'!$B$12,Paramètres!$A$1:$I$89,5,0)</f>
        <v>-9.0449248091317723E-14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271.25628946149067</v>
      </c>
      <c r="CE106" s="59">
        <f t="shared" si="94"/>
        <v>292.57799203101769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64.571383147487325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64.571383147487325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5.6843418860808015E-14</v>
      </c>
      <c r="CU106" s="17">
        <f>CT106*VLOOKUP('Données projet'!$B$13,Paramètres!$A$1:$I$89,3,0)*VLOOKUP('Données projet'!$B$13,Paramètres!$A$1:$I$89,5,0)</f>
        <v>3.1036506698001178E-14</v>
      </c>
      <c r="CV106" s="13">
        <f t="shared" si="95"/>
        <v>5.3428243983771088E-13</v>
      </c>
      <c r="CW106" s="20">
        <f t="shared" si="67"/>
        <v>9.8459716521636505E-13</v>
      </c>
      <c r="CX106" s="59">
        <f t="shared" si="68"/>
        <v>293.33333333333428</v>
      </c>
      <c r="CY106" s="59">
        <f ca="1">AVERAGE(OFFSET($CX$3,0,0,'Données projet'!$E$13+1,1))-AVERAGE(OFFSET($H$3,0,0,'Données projet'!$E$13+1,1))</f>
        <v>210.03861149060413</v>
      </c>
      <c r="CZ106" s="59">
        <f t="shared" si="96"/>
        <v>298.74602928001929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38.648912878749101</v>
      </c>
      <c r="DG106" s="21">
        <f>EXP(-LN(2)/25)*DG105+(1-EXP(-LN(2)/25))/(LN(2)/25)*Calculateur!DB106*Calculateur!DD106*VLOOKUP('Données projet'!$B$13,Paramètres!$A$1:$I$89,3,0)*0.475*44/12</f>
        <v>12.873319199233325</v>
      </c>
      <c r="DH106" s="21">
        <f>EXP(-LN(2)/2)*DH105+(1-EXP(-LN(2)/2))/(LN(2)/2)*DB106*DE106*VLOOKUP('Données projet'!$B$13,Paramètres!$A$1:$I$89,3,0)*0.475*44/12</f>
        <v>3.8044955253230897E-7</v>
      </c>
      <c r="DI106" s="22">
        <f t="shared" si="69"/>
        <v>51.522232458431972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-3.4106051316484809E-13</v>
      </c>
      <c r="DP106" s="17">
        <f>DO106*VLOOKUP('Données projet'!$B$14,Paramètres!$A$1:$I$89,3,0)*VLOOKUP('Données projet'!$B$14,Paramètres!$A$1:$I$89,5,0)</f>
        <v>-2.0395418687257919E-13</v>
      </c>
      <c r="DQ106" s="13" t="e">
        <f t="shared" si="97"/>
        <v>#NUM!</v>
      </c>
      <c r="DR106" s="20" t="e">
        <f t="shared" si="70"/>
        <v>#NUM!</v>
      </c>
      <c r="DS106" s="59" t="e">
        <f t="shared" si="71"/>
        <v>#NUM!</v>
      </c>
      <c r="DT106" s="59">
        <f ca="1">AVERAGE(OFFSET($DS$3,0,0,'Données projet'!$E$14+1,1))-AVERAGE(OFFSET($H$3,0,0,'Données projet'!$E$14+1,1))</f>
        <v>402.28353929315114</v>
      </c>
      <c r="DU106" s="59">
        <f t="shared" si="98"/>
        <v>376.94419168335463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108.00440732935523</v>
      </c>
      <c r="EB106" s="21">
        <f>EXP(-LN(2)/25)*EB105+(1-EXP(-LN(2)/25))/(LN(2)/25)*Calculateur!DW106*Calculateur!DY106*VLOOKUP('Données projet'!$B$14,Paramètres!$A$1:$I$89,3,0)*0.475*44/12</f>
        <v>19.531891512954342</v>
      </c>
      <c r="EC106" s="21">
        <f>EXP(-LN(2)/2)*EC105+(1-EXP(-LN(2)/2))/(LN(2)/2)*DW106*DZ106*VLOOKUP('Données projet'!$B$14,Paramètres!$A$1:$I$89,3,0)*0.475*44/12</f>
        <v>3.9541997619829195E-4</v>
      </c>
      <c r="ED106" s="22">
        <f t="shared" si="72"/>
        <v>127.53669426228578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>
        <f>EJ106*VLOOKUP('Données projet'!$B$15,Paramètres!$A$1:$I$89,3,0)*VLOOKUP('Données projet'!$B$15,Paramètres!$A$1:$I$89,5,0)</f>
        <v>0</v>
      </c>
      <c r="EL106" s="13" t="e">
        <f t="shared" si="99"/>
        <v>#NUM!</v>
      </c>
      <c r="EM106" s="20" t="e">
        <f t="shared" si="73"/>
        <v>#NUM!</v>
      </c>
      <c r="EN106" s="59" t="e">
        <f t="shared" si="74"/>
        <v>#NUM!</v>
      </c>
      <c r="EO106" s="59">
        <f ca="1">AVERAGE(OFFSET($EN$3,0,0,'Données projet'!$E$15+1,1))-AVERAGE(OFFSET($H$3,0,0,'Données projet'!$E$15+1,1))</f>
        <v>273.3012268683454</v>
      </c>
      <c r="EP106" s="59">
        <f t="shared" si="100"/>
        <v>254.08208375594052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66.197086584844271</v>
      </c>
      <c r="EW106" s="21">
        <f>EXP(-LN(2)/25)*EW105+(1-EXP(-LN(2)/25))/(LN(2)/25)*Calculateur!ER106*Calculateur!ET106*VLOOKUP('Données projet'!$B$15,Paramètres!$A$1:$I$89,3,0)*0.475*44/12</f>
        <v>21.900169637144824</v>
      </c>
      <c r="EX106" s="21">
        <f>EXP(-LN(2)/2)*EX105+(1-EXP(-LN(2)/2))/(LN(2)/2)*ER106*EU106*VLOOKUP('Données projet'!$B$15,Paramètres!$A$1:$I$89,3,0)*0.475*44/12</f>
        <v>5.6765443860134406E-4</v>
      </c>
      <c r="EY106" s="22">
        <f t="shared" si="75"/>
        <v>88.097823876427697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5.2</v>
      </c>
      <c r="N107" s="13">
        <f>IF('Données projet'!$A$36&gt;35,N106+M107-V106,IF(A107&lt;'Données projet'!$A$36,$K$205^A107,IF(A107='Données projet'!$A$36,'Données projet'!$B$36,N106+M107-V106)))</f>
        <v>326.7999999999999</v>
      </c>
      <c r="O107" s="13">
        <f>N107*VLOOKUP('Données projet'!$B$9,Paramètres!$A$1:$I$89,3,0)*VLOOKUP('Données projet'!$B$9,Paramètres!$A$1:$I$89,5,0)</f>
        <v>295.68863999999991</v>
      </c>
      <c r="P107" s="13">
        <f t="shared" si="87"/>
        <v>70.271876780519747</v>
      </c>
      <c r="Q107" s="20">
        <f t="shared" si="107"/>
        <v>637.3812333927383</v>
      </c>
      <c r="R107" s="59">
        <f t="shared" si="55"/>
        <v>930.71456672607155</v>
      </c>
      <c r="S107" s="59">
        <f ca="1">AVERAGE(OFFSET($R$3,0,0,'Données projet'!$E$9+1,1))-AVERAGE(OFFSET($H$3,0,0,'Données projet'!$E$9+1,1))</f>
        <v>453.52760163325451</v>
      </c>
      <c r="T107" s="59">
        <f t="shared" si="88"/>
        <v>344.23959526427001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46.214605516056849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46.214605516056849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-1.1368683772161603E-13</v>
      </c>
      <c r="AJ107" s="13">
        <f>AI107*VLOOKUP('Données projet'!$B$10,Paramètres!$A$1:$I$89,3,0)*VLOOKUP('Données projet'!$B$10,Paramètres!$A$1:$I$89,5,0)</f>
        <v>-9.7543306765146564E-14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397.45670821030774</v>
      </c>
      <c r="AO107" s="59">
        <f t="shared" si="90"/>
        <v>256.77417912163997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190.97376539697922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190.97376539697922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293.20194140252903</v>
      </c>
      <c r="BJ107" s="59">
        <f t="shared" si="92"/>
        <v>280.69048279989266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49.443316682636741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49.443316682636741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-1.1368683772161603E-13</v>
      </c>
      <c r="BZ107" s="13">
        <f>BY107*VLOOKUP('Données projet'!$B$12,Paramètres!$A$1:$I$89,3,0)*VLOOKUP('Données projet'!$B$12,Paramètres!$A$1:$I$89,5,0)</f>
        <v>-9.0449248091317723E-14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271.25628946149067</v>
      </c>
      <c r="CE107" s="59">
        <f t="shared" si="94"/>
        <v>292.57799203101769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63.305177708619908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63.305177708619908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5.6843418860808015E-14</v>
      </c>
      <c r="CU107" s="17">
        <f>CT107*VLOOKUP('Données projet'!$B$13,Paramètres!$A$1:$I$89,3,0)*VLOOKUP('Données projet'!$B$13,Paramètres!$A$1:$I$89,5,0)</f>
        <v>3.1036506698001178E-14</v>
      </c>
      <c r="CV107" s="13">
        <f t="shared" si="95"/>
        <v>5.3428243983771088E-13</v>
      </c>
      <c r="CW107" s="20">
        <f t="shared" si="67"/>
        <v>9.8459716521636505E-13</v>
      </c>
      <c r="CX107" s="59">
        <f t="shared" si="68"/>
        <v>293.33333333333428</v>
      </c>
      <c r="CY107" s="59">
        <f ca="1">AVERAGE(OFFSET($CX$3,0,0,'Données projet'!$E$13+1,1))-AVERAGE(OFFSET($H$3,0,0,'Données projet'!$E$13+1,1))</f>
        <v>210.03861149060413</v>
      </c>
      <c r="CZ107" s="59">
        <f t="shared" si="96"/>
        <v>298.74602928001929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37.891031270705994</v>
      </c>
      <c r="DG107" s="21">
        <f>EXP(-LN(2)/25)*DG106+(1-EXP(-LN(2)/25))/(LN(2)/25)*Calculateur!DB107*Calculateur!DD107*VLOOKUP('Données projet'!$B$13,Paramètres!$A$1:$I$89,3,0)*0.475*44/12</f>
        <v>12.521297608751857</v>
      </c>
      <c r="DH107" s="21">
        <f>EXP(-LN(2)/2)*DH106+(1-EXP(-LN(2)/2))/(LN(2)/2)*DB107*DE107*VLOOKUP('Données projet'!$B$13,Paramètres!$A$1:$I$89,3,0)*0.475*44/12</f>
        <v>2.6901845849498332E-7</v>
      </c>
      <c r="DI107" s="22">
        <f t="shared" si="69"/>
        <v>50.41232914847631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-3.4106051316484809E-13</v>
      </c>
      <c r="DP107" s="17">
        <f>DO107*VLOOKUP('Données projet'!$B$14,Paramètres!$A$1:$I$89,3,0)*VLOOKUP('Données projet'!$B$14,Paramètres!$A$1:$I$89,5,0)</f>
        <v>-2.0395418687257919E-13</v>
      </c>
      <c r="DQ107" s="13" t="e">
        <f t="shared" si="97"/>
        <v>#NUM!</v>
      </c>
      <c r="DR107" s="20" t="e">
        <f t="shared" si="70"/>
        <v>#NUM!</v>
      </c>
      <c r="DS107" s="59" t="e">
        <f t="shared" si="71"/>
        <v>#NUM!</v>
      </c>
      <c r="DT107" s="59">
        <f ca="1">AVERAGE(OFFSET($DS$3,0,0,'Données projet'!$E$14+1,1))-AVERAGE(OFFSET($H$3,0,0,'Données projet'!$E$14+1,1))</f>
        <v>402.28353929315114</v>
      </c>
      <c r="DU107" s="59">
        <f t="shared" si="98"/>
        <v>376.94419168335463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105.88650677781031</v>
      </c>
      <c r="EB107" s="21">
        <f>EXP(-LN(2)/25)*EB106+(1-EXP(-LN(2)/25))/(LN(2)/25)*Calculateur!DW107*Calculateur!DY107*VLOOKUP('Données projet'!$B$14,Paramètres!$A$1:$I$89,3,0)*0.475*44/12</f>
        <v>18.997790912395072</v>
      </c>
      <c r="EC107" s="21">
        <f>EXP(-LN(2)/2)*EC106+(1-EXP(-LN(2)/2))/(LN(2)/2)*DW107*DZ107*VLOOKUP('Données projet'!$B$14,Paramètres!$A$1:$I$89,3,0)*0.475*44/12</f>
        <v>2.7960414658643546E-4</v>
      </c>
      <c r="ED107" s="22">
        <f t="shared" si="72"/>
        <v>124.88457729435197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>
        <f>EJ107*VLOOKUP('Données projet'!$B$15,Paramètres!$A$1:$I$89,3,0)*VLOOKUP('Données projet'!$B$15,Paramètres!$A$1:$I$89,5,0)</f>
        <v>0</v>
      </c>
      <c r="EL107" s="13" t="e">
        <f t="shared" si="99"/>
        <v>#NUM!</v>
      </c>
      <c r="EM107" s="20" t="e">
        <f t="shared" si="73"/>
        <v>#NUM!</v>
      </c>
      <c r="EN107" s="59" t="e">
        <f t="shared" si="74"/>
        <v>#NUM!</v>
      </c>
      <c r="EO107" s="59">
        <f ca="1">AVERAGE(OFFSET($EN$3,0,0,'Données projet'!$E$15+1,1))-AVERAGE(OFFSET($H$3,0,0,'Données projet'!$E$15+1,1))</f>
        <v>273.3012268683454</v>
      </c>
      <c r="EP107" s="59">
        <f t="shared" si="100"/>
        <v>254.08208375594052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64.899002093151466</v>
      </c>
      <c r="EW107" s="21">
        <f>EXP(-LN(2)/25)*EW106+(1-EXP(-LN(2)/25))/(LN(2)/25)*Calculateur!ER107*Calculateur!ET107*VLOOKUP('Données projet'!$B$15,Paramètres!$A$1:$I$89,3,0)*0.475*44/12</f>
        <v>21.30130834673723</v>
      </c>
      <c r="EX107" s="21">
        <f>EXP(-LN(2)/2)*EX106+(1-EXP(-LN(2)/2))/(LN(2)/2)*ER107*EU107*VLOOKUP('Données projet'!$B$15,Paramètres!$A$1:$I$89,3,0)*0.475*44/12</f>
        <v>4.0139230290565307E-4</v>
      </c>
      <c r="EY107" s="22">
        <f t="shared" si="75"/>
        <v>86.200711832191601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5.2</v>
      </c>
      <c r="N108" s="13">
        <f>IF('Données projet'!$A$36&gt;35,N107+M108-V107,IF(A108&lt;'Données projet'!$A$36,$K$205^A108,IF(A108='Données projet'!$A$36,'Données projet'!$B$36,N107+M108-V107)))</f>
        <v>331.99999999999989</v>
      </c>
      <c r="O108" s="13">
        <f>N108*VLOOKUP('Données projet'!$B$9,Paramètres!$A$1:$I$89,3,0)*VLOOKUP('Données projet'!$B$9,Paramètres!$A$1:$I$89,5,0)</f>
        <v>300.39359999999988</v>
      </c>
      <c r="P108" s="13">
        <f t="shared" si="87"/>
        <v>71.258970856492667</v>
      </c>
      <c r="Q108" s="20">
        <f t="shared" si="107"/>
        <v>647.29489424172459</v>
      </c>
      <c r="R108" s="59">
        <f t="shared" si="55"/>
        <v>940.62822757505796</v>
      </c>
      <c r="S108" s="59">
        <f ca="1">AVERAGE(OFFSET($R$3,0,0,'Données projet'!$E$9+1,1))-AVERAGE(OFFSET($H$3,0,0,'Données projet'!$E$9+1,1))</f>
        <v>453.52760163325451</v>
      </c>
      <c r="T108" s="59">
        <f t="shared" si="88"/>
        <v>344.23959526427001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45.308365290012993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45.308365290012993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-1.1368683772161603E-13</v>
      </c>
      <c r="AJ108" s="13">
        <f>AI108*VLOOKUP('Données projet'!$B$10,Paramètres!$A$1:$I$89,3,0)*VLOOKUP('Données projet'!$B$10,Paramètres!$A$1:$I$89,5,0)</f>
        <v>-9.7543306765146564E-14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397.45670821030774</v>
      </c>
      <c r="AO108" s="59">
        <f t="shared" si="90"/>
        <v>256.77417912163997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187.22888634003965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187.22888634003965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293.20194140252903</v>
      </c>
      <c r="BJ108" s="59">
        <f t="shared" si="92"/>
        <v>280.69048279989266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48.473763399935613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48.473763399935613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-1.1368683772161603E-13</v>
      </c>
      <c r="BZ108" s="13">
        <f>BY108*VLOOKUP('Données projet'!$B$12,Paramètres!$A$1:$I$89,3,0)*VLOOKUP('Données projet'!$B$12,Paramètres!$A$1:$I$89,5,0)</f>
        <v>-9.0449248091317723E-14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271.25628946149067</v>
      </c>
      <c r="CE108" s="59">
        <f t="shared" si="94"/>
        <v>292.57799203101769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62.063801786099624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62.063801786099624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5.6843418860808015E-14</v>
      </c>
      <c r="CU108" s="17">
        <f>CT108*VLOOKUP('Données projet'!$B$13,Paramètres!$A$1:$I$89,3,0)*VLOOKUP('Données projet'!$B$13,Paramètres!$A$1:$I$89,5,0)</f>
        <v>3.1036506698001178E-14</v>
      </c>
      <c r="CV108" s="13">
        <f t="shared" si="95"/>
        <v>5.3428243983771088E-13</v>
      </c>
      <c r="CW108" s="20">
        <f t="shared" si="67"/>
        <v>9.8459716521636505E-13</v>
      </c>
      <c r="CX108" s="59">
        <f t="shared" si="68"/>
        <v>293.33333333333428</v>
      </c>
      <c r="CY108" s="59">
        <f ca="1">AVERAGE(OFFSET($CX$3,0,0,'Données projet'!$E$13+1,1))-AVERAGE(OFFSET($H$3,0,0,'Données projet'!$E$13+1,1))</f>
        <v>210.03861149060413</v>
      </c>
      <c r="CZ108" s="59">
        <f t="shared" si="96"/>
        <v>298.74602928001929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37.148011258734478</v>
      </c>
      <c r="DG108" s="21">
        <f>EXP(-LN(2)/25)*DG107+(1-EXP(-LN(2)/25))/(LN(2)/25)*Calculateur!DB108*Calculateur!DD108*VLOOKUP('Données projet'!$B$13,Paramètres!$A$1:$I$89,3,0)*0.475*44/12</f>
        <v>12.178902067174114</v>
      </c>
      <c r="DH108" s="21">
        <f>EXP(-LN(2)/2)*DH107+(1-EXP(-LN(2)/2))/(LN(2)/2)*DB108*DE108*VLOOKUP('Données projet'!$B$13,Paramètres!$A$1:$I$89,3,0)*0.475*44/12</f>
        <v>1.9022477626615449E-7</v>
      </c>
      <c r="DI108" s="22">
        <f t="shared" si="69"/>
        <v>49.326913516133366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-3.4106051316484809E-13</v>
      </c>
      <c r="DP108" s="17">
        <f>DO108*VLOOKUP('Données projet'!$B$14,Paramètres!$A$1:$I$89,3,0)*VLOOKUP('Données projet'!$B$14,Paramètres!$A$1:$I$89,5,0)</f>
        <v>-2.0395418687257919E-13</v>
      </c>
      <c r="DQ108" s="13" t="e">
        <f t="shared" si="97"/>
        <v>#NUM!</v>
      </c>
      <c r="DR108" s="20" t="e">
        <f t="shared" si="70"/>
        <v>#NUM!</v>
      </c>
      <c r="DS108" s="59" t="e">
        <f t="shared" si="71"/>
        <v>#NUM!</v>
      </c>
      <c r="DT108" s="59">
        <f ca="1">AVERAGE(OFFSET($DS$3,0,0,'Données projet'!$E$14+1,1))-AVERAGE(OFFSET($H$3,0,0,'Données projet'!$E$14+1,1))</f>
        <v>402.28353929315114</v>
      </c>
      <c r="DU108" s="59">
        <f t="shared" si="98"/>
        <v>376.94419168335463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103.81013696428941</v>
      </c>
      <c r="EB108" s="21">
        <f>EXP(-LN(2)/25)*EB107+(1-EXP(-LN(2)/25))/(LN(2)/25)*Calculateur!DW108*Calculateur!DY108*VLOOKUP('Données projet'!$B$14,Paramètres!$A$1:$I$89,3,0)*0.475*44/12</f>
        <v>18.478295320845223</v>
      </c>
      <c r="EC108" s="21">
        <f>EXP(-LN(2)/2)*EC107+(1-EXP(-LN(2)/2))/(LN(2)/2)*DW108*DZ108*VLOOKUP('Données projet'!$B$14,Paramètres!$A$1:$I$89,3,0)*0.475*44/12</f>
        <v>1.9770998809914598E-4</v>
      </c>
      <c r="ED108" s="22">
        <f t="shared" si="72"/>
        <v>122.28862999512273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>
        <f>EJ108*VLOOKUP('Données projet'!$B$15,Paramètres!$A$1:$I$89,3,0)*VLOOKUP('Données projet'!$B$15,Paramètres!$A$1:$I$89,5,0)</f>
        <v>0</v>
      </c>
      <c r="EL108" s="13" t="e">
        <f t="shared" si="99"/>
        <v>#NUM!</v>
      </c>
      <c r="EM108" s="20" t="e">
        <f t="shared" si="73"/>
        <v>#NUM!</v>
      </c>
      <c r="EN108" s="59" t="e">
        <f t="shared" si="74"/>
        <v>#NUM!</v>
      </c>
      <c r="EO108" s="59">
        <f ca="1">AVERAGE(OFFSET($EN$3,0,0,'Données projet'!$E$15+1,1))-AVERAGE(OFFSET($H$3,0,0,'Données projet'!$E$15+1,1))</f>
        <v>273.3012268683454</v>
      </c>
      <c r="EP108" s="59">
        <f t="shared" si="100"/>
        <v>254.08208375594052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63.626372246587401</v>
      </c>
      <c r="EW108" s="21">
        <f>EXP(-LN(2)/25)*EW107+(1-EXP(-LN(2)/25))/(LN(2)/25)*Calculateur!ER108*Calculateur!ET108*VLOOKUP('Données projet'!$B$15,Paramètres!$A$1:$I$89,3,0)*0.475*44/12</f>
        <v>20.71882294980858</v>
      </c>
      <c r="EX108" s="21">
        <f>EXP(-LN(2)/2)*EX107+(1-EXP(-LN(2)/2))/(LN(2)/2)*ER108*EU108*VLOOKUP('Données projet'!$B$15,Paramètres!$A$1:$I$89,3,0)*0.475*44/12</f>
        <v>2.8382721930067203E-4</v>
      </c>
      <c r="EY108" s="22">
        <f t="shared" si="75"/>
        <v>84.345479023615283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5.2</v>
      </c>
      <c r="N109" s="13">
        <f>IF('Données projet'!$A$36&gt;35,N108+M109-V108,IF(A109&lt;'Données projet'!$A$36,$K$205^A109,IF(A109='Données projet'!$A$36,'Données projet'!$B$36,N108+M109-V108)))</f>
        <v>337.19999999999987</v>
      </c>
      <c r="O109" s="13">
        <f>N109*VLOOKUP('Données projet'!$B$9,Paramètres!$A$1:$I$89,3,0)*VLOOKUP('Données projet'!$B$9,Paramètres!$A$1:$I$89,5,0)</f>
        <v>305.09855999999985</v>
      </c>
      <c r="P109" s="13">
        <f t="shared" si="87"/>
        <v>72.244266890878791</v>
      </c>
      <c r="Q109" s="20">
        <f t="shared" si="107"/>
        <v>657.20542350161361</v>
      </c>
      <c r="R109" s="59">
        <f t="shared" si="55"/>
        <v>950.53875683494698</v>
      </c>
      <c r="S109" s="59">
        <f ca="1">AVERAGE(OFFSET($R$3,0,0,'Données projet'!$E$9+1,1))-AVERAGE(OFFSET($H$3,0,0,'Données projet'!$E$9+1,1))</f>
        <v>453.52760163325451</v>
      </c>
      <c r="T109" s="59">
        <f t="shared" si="88"/>
        <v>344.23959526427001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44.4198958820499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44.4198958820499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-1.1368683772161603E-13</v>
      </c>
      <c r="AJ109" s="13">
        <f>AI109*VLOOKUP('Données projet'!$B$10,Paramètres!$A$1:$I$89,3,0)*VLOOKUP('Données projet'!$B$10,Paramètres!$A$1:$I$89,5,0)</f>
        <v>-9.7543306765146564E-14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397.45670821030774</v>
      </c>
      <c r="AO109" s="59">
        <f t="shared" si="90"/>
        <v>256.77417912163997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183.55744207725598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183.55744207725598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293.20194140252903</v>
      </c>
      <c r="BJ109" s="59">
        <f t="shared" si="92"/>
        <v>280.69048279989266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47.523222465739146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47.523222465739146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-1.1368683772161603E-13</v>
      </c>
      <c r="BZ109" s="13">
        <f>BY109*VLOOKUP('Données projet'!$B$12,Paramètres!$A$1:$I$89,3,0)*VLOOKUP('Données projet'!$B$12,Paramètres!$A$1:$I$89,5,0)</f>
        <v>-9.0449248091317723E-14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271.25628946149067</v>
      </c>
      <c r="CE109" s="59">
        <f t="shared" si="94"/>
        <v>292.57799203101769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60.846768488255414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60.846768488255414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5.6843418860808015E-14</v>
      </c>
      <c r="CU109" s="17">
        <f>CT109*VLOOKUP('Données projet'!$B$13,Paramètres!$A$1:$I$89,3,0)*VLOOKUP('Données projet'!$B$13,Paramètres!$A$1:$I$89,5,0)</f>
        <v>3.1036506698001178E-14</v>
      </c>
      <c r="CV109" s="13">
        <f t="shared" si="95"/>
        <v>5.3428243983771088E-13</v>
      </c>
      <c r="CW109" s="20">
        <f t="shared" si="67"/>
        <v>9.8459716521636505E-13</v>
      </c>
      <c r="CX109" s="59">
        <f t="shared" si="68"/>
        <v>293.33333333333428</v>
      </c>
      <c r="CY109" s="59">
        <f ca="1">AVERAGE(OFFSET($CX$3,0,0,'Données projet'!$E$13+1,1))-AVERAGE(OFFSET($H$3,0,0,'Données projet'!$E$13+1,1))</f>
        <v>210.03861149060413</v>
      </c>
      <c r="CZ109" s="59">
        <f t="shared" si="96"/>
        <v>298.74602928001929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36.419561416000263</v>
      </c>
      <c r="DG109" s="21">
        <f>EXP(-LN(2)/25)*DG108+(1-EXP(-LN(2)/25))/(LN(2)/25)*Calculateur!DB109*Calculateur!DD109*VLOOKUP('Données projet'!$B$13,Paramètres!$A$1:$I$89,3,0)*0.475*44/12</f>
        <v>11.845869349686614</v>
      </c>
      <c r="DH109" s="21">
        <f>EXP(-LN(2)/2)*DH108+(1-EXP(-LN(2)/2))/(LN(2)/2)*DB109*DE109*VLOOKUP('Données projet'!$B$13,Paramètres!$A$1:$I$89,3,0)*0.475*44/12</f>
        <v>1.3450922924749166E-7</v>
      </c>
      <c r="DI109" s="22">
        <f t="shared" si="69"/>
        <v>48.265430900196108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-3.4106051316484809E-13</v>
      </c>
      <c r="DP109" s="17">
        <f>DO109*VLOOKUP('Données projet'!$B$14,Paramètres!$A$1:$I$89,3,0)*VLOOKUP('Données projet'!$B$14,Paramètres!$A$1:$I$89,5,0)</f>
        <v>-2.0395418687257919E-13</v>
      </c>
      <c r="DQ109" s="13" t="e">
        <f t="shared" si="97"/>
        <v>#NUM!</v>
      </c>
      <c r="DR109" s="20" t="e">
        <f t="shared" si="70"/>
        <v>#NUM!</v>
      </c>
      <c r="DS109" s="59" t="e">
        <f t="shared" si="71"/>
        <v>#NUM!</v>
      </c>
      <c r="DT109" s="59">
        <f ca="1">AVERAGE(OFFSET($DS$3,0,0,'Données projet'!$E$14+1,1))-AVERAGE(OFFSET($H$3,0,0,'Données projet'!$E$14+1,1))</f>
        <v>402.28353929315114</v>
      </c>
      <c r="DU109" s="59">
        <f t="shared" si="98"/>
        <v>376.94419168335463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101.77448349635112</v>
      </c>
      <c r="EB109" s="21">
        <f>EXP(-LN(2)/25)*EB108+(1-EXP(-LN(2)/25))/(LN(2)/25)*Calculateur!DW109*Calculateur!DY109*VLOOKUP('Données projet'!$B$14,Paramètres!$A$1:$I$89,3,0)*0.475*44/12</f>
        <v>17.973005363565392</v>
      </c>
      <c r="EC109" s="21">
        <f>EXP(-LN(2)/2)*EC108+(1-EXP(-LN(2)/2))/(LN(2)/2)*DW109*DZ109*VLOOKUP('Données projet'!$B$14,Paramètres!$A$1:$I$89,3,0)*0.475*44/12</f>
        <v>1.3980207329321773E-4</v>
      </c>
      <c r="ED109" s="22">
        <f t="shared" si="72"/>
        <v>119.74762866198981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>
        <f>EJ109*VLOOKUP('Données projet'!$B$15,Paramètres!$A$1:$I$89,3,0)*VLOOKUP('Données projet'!$B$15,Paramètres!$A$1:$I$89,5,0)</f>
        <v>0</v>
      </c>
      <c r="EL109" s="13" t="e">
        <f t="shared" si="99"/>
        <v>#NUM!</v>
      </c>
      <c r="EM109" s="20" t="e">
        <f t="shared" si="73"/>
        <v>#NUM!</v>
      </c>
      <c r="EN109" s="59" t="e">
        <f t="shared" si="74"/>
        <v>#NUM!</v>
      </c>
      <c r="EO109" s="59">
        <f ca="1">AVERAGE(OFFSET($EN$3,0,0,'Données projet'!$E$15+1,1))-AVERAGE(OFFSET($H$3,0,0,'Données projet'!$E$15+1,1))</f>
        <v>273.3012268683454</v>
      </c>
      <c r="EP109" s="59">
        <f t="shared" si="100"/>
        <v>254.08208375594052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62.378697895086894</v>
      </c>
      <c r="EW109" s="21">
        <f>EXP(-LN(2)/25)*EW108+(1-EXP(-LN(2)/25))/(LN(2)/25)*Calculateur!ER109*Calculateur!ET109*VLOOKUP('Données projet'!$B$15,Paramètres!$A$1:$I$89,3,0)*0.475*44/12</f>
        <v>20.15226564669052</v>
      </c>
      <c r="EX109" s="21">
        <f>EXP(-LN(2)/2)*EX108+(1-EXP(-LN(2)/2))/(LN(2)/2)*ER109*EU109*VLOOKUP('Données projet'!$B$15,Paramètres!$A$1:$I$89,3,0)*0.475*44/12</f>
        <v>2.0069615145282653E-4</v>
      </c>
      <c r="EY109" s="22">
        <f t="shared" si="75"/>
        <v>82.531164237928863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5.2</v>
      </c>
      <c r="N110" s="13">
        <f>IF('Données projet'!$A$36&gt;35,N109+M110-V109,IF(A110&lt;'Données projet'!$A$36,$K$205^A110,IF(A110='Données projet'!$A$36,'Données projet'!$B$36,N109+M110-V109)))</f>
        <v>342.39999999999986</v>
      </c>
      <c r="O110" s="13">
        <f>N110*VLOOKUP('Données projet'!$B$9,Paramètres!$A$1:$I$89,3,0)*VLOOKUP('Données projet'!$B$9,Paramètres!$A$1:$I$89,5,0)</f>
        <v>309.80351999999988</v>
      </c>
      <c r="P110" s="13">
        <f t="shared" si="87"/>
        <v>73.227795813703764</v>
      </c>
      <c r="Q110" s="20">
        <f t="shared" si="107"/>
        <v>667.11287504220047</v>
      </c>
      <c r="R110" s="59">
        <f t="shared" si="55"/>
        <v>960.44620837553384</v>
      </c>
      <c r="S110" s="59">
        <f ca="1">AVERAGE(OFFSET($R$3,0,0,'Données projet'!$E$9+1,1))-AVERAGE(OFFSET($H$3,0,0,'Données projet'!$E$9+1,1))</f>
        <v>453.52760163325451</v>
      </c>
      <c r="T110" s="59">
        <f t="shared" si="88"/>
        <v>344.23959526427001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43.54884881726413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43.54884881726413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-1.1368683772161603E-13</v>
      </c>
      <c r="AJ110" s="13">
        <f>AI110*VLOOKUP('Données projet'!$B$10,Paramètres!$A$1:$I$89,3,0)*VLOOKUP('Données projet'!$B$10,Paramètres!$A$1:$I$89,5,0)</f>
        <v>-9.7543306765146564E-14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397.45670821030774</v>
      </c>
      <c r="AO110" s="59">
        <f t="shared" si="90"/>
        <v>256.77417912163997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179.95799259710563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179.95799259710563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293.20194140252903</v>
      </c>
      <c r="BJ110" s="59">
        <f t="shared" si="92"/>
        <v>280.69048279989266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46.591321059489545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46.591321059489545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-1.1368683772161603E-13</v>
      </c>
      <c r="BZ110" s="13">
        <f>BY110*VLOOKUP('Données projet'!$B$12,Paramètres!$A$1:$I$89,3,0)*VLOOKUP('Données projet'!$B$12,Paramètres!$A$1:$I$89,5,0)</f>
        <v>-9.0449248091317723E-14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271.25628946149067</v>
      </c>
      <c r="CE110" s="59">
        <f t="shared" si="94"/>
        <v>292.57799203101769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59.653600471064912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59.653600471064912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5.6843418860808015E-14</v>
      </c>
      <c r="CU110" s="17">
        <f>CT110*VLOOKUP('Données projet'!$B$13,Paramètres!$A$1:$I$89,3,0)*VLOOKUP('Données projet'!$B$13,Paramètres!$A$1:$I$89,5,0)</f>
        <v>3.1036506698001178E-14</v>
      </c>
      <c r="CV110" s="13">
        <f t="shared" si="95"/>
        <v>5.3428243983771088E-13</v>
      </c>
      <c r="CW110" s="20">
        <f t="shared" si="67"/>
        <v>9.8459716521636505E-13</v>
      </c>
      <c r="CX110" s="59">
        <f t="shared" si="68"/>
        <v>293.33333333333428</v>
      </c>
      <c r="CY110" s="59">
        <f ca="1">AVERAGE(OFFSET($CX$3,0,0,'Données projet'!$E$13+1,1))-AVERAGE(OFFSET($H$3,0,0,'Données projet'!$E$13+1,1))</f>
        <v>210.03861149060413</v>
      </c>
      <c r="CZ110" s="59">
        <f t="shared" si="96"/>
        <v>298.74602928001929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35.705396030371539</v>
      </c>
      <c r="DG110" s="21">
        <f>EXP(-LN(2)/25)*DG109+(1-EXP(-LN(2)/25))/(LN(2)/25)*Calculateur!DB110*Calculateur!DD110*VLOOKUP('Données projet'!$B$13,Paramètres!$A$1:$I$89,3,0)*0.475*44/12</f>
        <v>11.521943429372239</v>
      </c>
      <c r="DH110" s="21">
        <f>EXP(-LN(2)/2)*DH109+(1-EXP(-LN(2)/2))/(LN(2)/2)*DB110*DE110*VLOOKUP('Données projet'!$B$13,Paramètres!$A$1:$I$89,3,0)*0.475*44/12</f>
        <v>9.5112388133077243E-8</v>
      </c>
      <c r="DI110" s="22">
        <f t="shared" si="69"/>
        <v>47.227339554856165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-3.4106051316484809E-13</v>
      </c>
      <c r="DP110" s="17">
        <f>DO110*VLOOKUP('Données projet'!$B$14,Paramètres!$A$1:$I$89,3,0)*VLOOKUP('Données projet'!$B$14,Paramètres!$A$1:$I$89,5,0)</f>
        <v>-2.0395418687257919E-13</v>
      </c>
      <c r="DQ110" s="13" t="e">
        <f t="shared" si="97"/>
        <v>#NUM!</v>
      </c>
      <c r="DR110" s="20" t="e">
        <f t="shared" si="70"/>
        <v>#NUM!</v>
      </c>
      <c r="DS110" s="59" t="e">
        <f t="shared" si="71"/>
        <v>#NUM!</v>
      </c>
      <c r="DT110" s="59">
        <f ca="1">AVERAGE(OFFSET($DS$3,0,0,'Données projet'!$E$14+1,1))-AVERAGE(OFFSET($H$3,0,0,'Données projet'!$E$14+1,1))</f>
        <v>402.28353929315114</v>
      </c>
      <c r="DU110" s="59">
        <f t="shared" si="98"/>
        <v>376.94419168335463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99.778747951293084</v>
      </c>
      <c r="EB110" s="21">
        <f>EXP(-LN(2)/25)*EB109+(1-EXP(-LN(2)/25))/(LN(2)/25)*Calculateur!DW110*Calculateur!DY110*VLOOKUP('Données projet'!$B$14,Paramètres!$A$1:$I$89,3,0)*0.475*44/12</f>
        <v>17.481532586739423</v>
      </c>
      <c r="EC110" s="21">
        <f>EXP(-LN(2)/2)*EC109+(1-EXP(-LN(2)/2))/(LN(2)/2)*DW110*DZ110*VLOOKUP('Données projet'!$B$14,Paramètres!$A$1:$I$89,3,0)*0.475*44/12</f>
        <v>9.8854994049572988E-5</v>
      </c>
      <c r="ED110" s="22">
        <f t="shared" si="72"/>
        <v>117.26037939302655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>
        <f>EJ110*VLOOKUP('Données projet'!$B$15,Paramètres!$A$1:$I$89,3,0)*VLOOKUP('Données projet'!$B$15,Paramètres!$A$1:$I$89,5,0)</f>
        <v>0</v>
      </c>
      <c r="EL110" s="13" t="e">
        <f t="shared" si="99"/>
        <v>#NUM!</v>
      </c>
      <c r="EM110" s="20" t="e">
        <f t="shared" si="73"/>
        <v>#NUM!</v>
      </c>
      <c r="EN110" s="59" t="e">
        <f t="shared" si="74"/>
        <v>#NUM!</v>
      </c>
      <c r="EO110" s="59">
        <f ca="1">AVERAGE(OFFSET($EN$3,0,0,'Données projet'!$E$15+1,1))-AVERAGE(OFFSET($H$3,0,0,'Données projet'!$E$15+1,1))</f>
        <v>273.3012268683454</v>
      </c>
      <c r="EP110" s="59">
        <f t="shared" si="100"/>
        <v>254.08208375594052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61.155489676613101</v>
      </c>
      <c r="EW110" s="21">
        <f>EXP(-LN(2)/25)*EW109+(1-EXP(-LN(2)/25))/(LN(2)/25)*Calculateur!ER110*Calculateur!ET110*VLOOKUP('Données projet'!$B$15,Paramètres!$A$1:$I$89,3,0)*0.475*44/12</f>
        <v>19.601200882820176</v>
      </c>
      <c r="EX110" s="21">
        <f>EXP(-LN(2)/2)*EX109+(1-EXP(-LN(2)/2))/(LN(2)/2)*ER110*EU110*VLOOKUP('Données projet'!$B$15,Paramètres!$A$1:$I$89,3,0)*0.475*44/12</f>
        <v>1.4191360965033601E-4</v>
      </c>
      <c r="EY110" s="22">
        <f t="shared" si="75"/>
        <v>80.756832473042934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5.2</v>
      </c>
      <c r="N111" s="13">
        <f>IF('Données projet'!$A$36&gt;35,N110+M111-V110,IF(A111&lt;'Données projet'!$A$36,$K$205^A111,IF(A111='Données projet'!$A$36,'Données projet'!$B$36,N110+M111-V110)))</f>
        <v>347.59999999999985</v>
      </c>
      <c r="O111" s="13">
        <f>N111*VLOOKUP('Données projet'!$B$9,Paramètres!$A$1:$I$89,3,0)*VLOOKUP('Données projet'!$B$9,Paramètres!$A$1:$I$89,5,0)</f>
        <v>314.50847999999985</v>
      </c>
      <c r="P111" s="13">
        <f t="shared" si="87"/>
        <v>74.20958756161744</v>
      </c>
      <c r="Q111" s="20">
        <f t="shared" si="107"/>
        <v>677.01730100315024</v>
      </c>
      <c r="R111" s="59">
        <f t="shared" si="55"/>
        <v>970.35063433648361</v>
      </c>
      <c r="S111" s="59">
        <f ca="1">AVERAGE(OFFSET($R$3,0,0,'Données projet'!$E$9+1,1))-AVERAGE(OFFSET($H$3,0,0,'Données projet'!$E$9+1,1))</f>
        <v>453.52760163325451</v>
      </c>
      <c r="T111" s="59">
        <f t="shared" si="88"/>
        <v>344.23959526427001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42.694882454132561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42.694882454132561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-1.1368683772161603E-13</v>
      </c>
      <c r="AJ111" s="13">
        <f>AI111*VLOOKUP('Données projet'!$B$10,Paramètres!$A$1:$I$89,3,0)*VLOOKUP('Données projet'!$B$10,Paramètres!$A$1:$I$89,5,0)</f>
        <v>-9.7543306765146564E-14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397.45670821030774</v>
      </c>
      <c r="AO111" s="59">
        <f t="shared" si="90"/>
        <v>256.77417912163997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176.42912612581361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176.42912612581361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293.20194140252903</v>
      </c>
      <c r="BJ111" s="59">
        <f t="shared" si="92"/>
        <v>280.69048279989266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45.677693671412769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45.677693671412769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-1.1368683772161603E-13</v>
      </c>
      <c r="BZ111" s="13">
        <f>BY111*VLOOKUP('Données projet'!$B$12,Paramètres!$A$1:$I$89,3,0)*VLOOKUP('Données projet'!$B$12,Paramètres!$A$1:$I$89,5,0)</f>
        <v>-9.0449248091317723E-14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271.25628946149067</v>
      </c>
      <c r="CE111" s="59">
        <f t="shared" si="94"/>
        <v>292.57799203101769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58.483829750930887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58.483829750930887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5.6843418860808015E-14</v>
      </c>
      <c r="CU111" s="17">
        <f>CT111*VLOOKUP('Données projet'!$B$13,Paramètres!$A$1:$I$89,3,0)*VLOOKUP('Données projet'!$B$13,Paramètres!$A$1:$I$89,5,0)</f>
        <v>3.1036506698001178E-14</v>
      </c>
      <c r="CV111" s="13">
        <f t="shared" si="95"/>
        <v>5.3428243983771088E-13</v>
      </c>
      <c r="CW111" s="20">
        <f t="shared" si="67"/>
        <v>9.8459716521636505E-13</v>
      </c>
      <c r="CX111" s="59">
        <f t="shared" si="68"/>
        <v>293.33333333333428</v>
      </c>
      <c r="CY111" s="59">
        <f ca="1">AVERAGE(OFFSET($CX$3,0,0,'Données projet'!$E$13+1,1))-AVERAGE(OFFSET($H$3,0,0,'Données projet'!$E$13+1,1))</f>
        <v>210.03861149060413</v>
      </c>
      <c r="CZ111" s="59">
        <f t="shared" si="96"/>
        <v>298.74602928001929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35.005234992357117</v>
      </c>
      <c r="DG111" s="21">
        <f>EXP(-LN(2)/25)*DG110+(1-EXP(-LN(2)/25))/(LN(2)/25)*Calculateur!DB111*Calculateur!DD111*VLOOKUP('Données projet'!$B$13,Paramètres!$A$1:$I$89,3,0)*0.475*44/12</f>
        <v>11.206875280383384</v>
      </c>
      <c r="DH111" s="21">
        <f>EXP(-LN(2)/2)*DH110+(1-EXP(-LN(2)/2))/(LN(2)/2)*DB111*DE111*VLOOKUP('Données projet'!$B$13,Paramètres!$A$1:$I$89,3,0)*0.475*44/12</f>
        <v>6.7254614623745829E-8</v>
      </c>
      <c r="DI111" s="22">
        <f t="shared" si="69"/>
        <v>46.212110339995121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-3.4106051316484809E-13</v>
      </c>
      <c r="DP111" s="17">
        <f>DO111*VLOOKUP('Données projet'!$B$14,Paramètres!$A$1:$I$89,3,0)*VLOOKUP('Données projet'!$B$14,Paramètres!$A$1:$I$89,5,0)</f>
        <v>-2.0395418687257919E-13</v>
      </c>
      <c r="DQ111" s="13" t="e">
        <f t="shared" si="97"/>
        <v>#NUM!</v>
      </c>
      <c r="DR111" s="20" t="e">
        <f t="shared" si="70"/>
        <v>#NUM!</v>
      </c>
      <c r="DS111" s="59" t="e">
        <f t="shared" si="71"/>
        <v>#NUM!</v>
      </c>
      <c r="DT111" s="59">
        <f ca="1">AVERAGE(OFFSET($DS$3,0,0,'Données projet'!$E$14+1,1))-AVERAGE(OFFSET($H$3,0,0,'Données projet'!$E$14+1,1))</f>
        <v>402.28353929315114</v>
      </c>
      <c r="DU111" s="59">
        <f t="shared" si="98"/>
        <v>376.94419168335463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97.822147562995141</v>
      </c>
      <c r="EB111" s="21">
        <f>EXP(-LN(2)/25)*EB110+(1-EXP(-LN(2)/25))/(LN(2)/25)*Calculateur!DW111*Calculateur!DY111*VLOOKUP('Données projet'!$B$14,Paramètres!$A$1:$I$89,3,0)*0.475*44/12</f>
        <v>17.003499158841191</v>
      </c>
      <c r="EC111" s="21">
        <f>EXP(-LN(2)/2)*EC110+(1-EXP(-LN(2)/2))/(LN(2)/2)*DW111*DZ111*VLOOKUP('Données projet'!$B$14,Paramètres!$A$1:$I$89,3,0)*0.475*44/12</f>
        <v>6.9901036646608864E-5</v>
      </c>
      <c r="ED111" s="22">
        <f t="shared" si="72"/>
        <v>114.82571662287299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>
        <f>EJ111*VLOOKUP('Données projet'!$B$15,Paramètres!$A$1:$I$89,3,0)*VLOOKUP('Données projet'!$B$15,Paramètres!$A$1:$I$89,5,0)</f>
        <v>0</v>
      </c>
      <c r="EL111" s="13" t="e">
        <f t="shared" si="99"/>
        <v>#NUM!</v>
      </c>
      <c r="EM111" s="20" t="e">
        <f t="shared" si="73"/>
        <v>#NUM!</v>
      </c>
      <c r="EN111" s="59" t="e">
        <f t="shared" si="74"/>
        <v>#NUM!</v>
      </c>
      <c r="EO111" s="59">
        <f ca="1">AVERAGE(OFFSET($EN$3,0,0,'Données projet'!$E$15+1,1))-AVERAGE(OFFSET($H$3,0,0,'Données projet'!$E$15+1,1))</f>
        <v>273.3012268683454</v>
      </c>
      <c r="EP111" s="59">
        <f t="shared" si="100"/>
        <v>254.08208375594052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59.956267825220237</v>
      </c>
      <c r="EW111" s="21">
        <f>EXP(-LN(2)/25)*EW110+(1-EXP(-LN(2)/25))/(LN(2)/25)*Calculateur!ER111*Calculateur!ET111*VLOOKUP('Données projet'!$B$15,Paramètres!$A$1:$I$89,3,0)*0.475*44/12</f>
        <v>19.065205013897103</v>
      </c>
      <c r="EX111" s="21">
        <f>EXP(-LN(2)/2)*EX110+(1-EXP(-LN(2)/2))/(LN(2)/2)*ER111*EU111*VLOOKUP('Données projet'!$B$15,Paramètres!$A$1:$I$89,3,0)*0.475*44/12</f>
        <v>1.0034807572641327E-4</v>
      </c>
      <c r="EY111" s="22">
        <f t="shared" si="75"/>
        <v>79.02157318719307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5.2</v>
      </c>
      <c r="N112" s="13">
        <f>IF('Données projet'!$A$36&gt;35,N111+M112-V111,IF(A112&lt;'Données projet'!$A$36,$K$205^A112,IF(A112='Données projet'!$A$36,'Données projet'!$B$36,N111+M112-V111)))</f>
        <v>352.79999999999984</v>
      </c>
      <c r="O112" s="13">
        <f>N112*VLOOKUP('Données projet'!$B$9,Paramètres!$A$1:$I$89,3,0)*VLOOKUP('Données projet'!$B$9,Paramètres!$A$1:$I$89,5,0)</f>
        <v>319.21343999999982</v>
      </c>
      <c r="P112" s="13">
        <f t="shared" si="87"/>
        <v>75.189671124171639</v>
      </c>
      <c r="Q112" s="20">
        <f t="shared" si="107"/>
        <v>686.91875187459857</v>
      </c>
      <c r="R112" s="59">
        <f t="shared" si="55"/>
        <v>980.25208520793194</v>
      </c>
      <c r="S112" s="59">
        <f ca="1">AVERAGE(OFFSET($R$3,0,0,'Données projet'!$E$9+1,1))-AVERAGE(OFFSET($H$3,0,0,'Données projet'!$E$9+1,1))</f>
        <v>453.52760163325451</v>
      </c>
      <c r="T112" s="59">
        <f t="shared" si="88"/>
        <v>344.23959526427001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41.857661850513949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41.857661850513949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-1.1368683772161603E-13</v>
      </c>
      <c r="AJ112" s="13">
        <f>AI112*VLOOKUP('Données projet'!$B$10,Paramètres!$A$1:$I$89,3,0)*VLOOKUP('Données projet'!$B$10,Paramètres!$A$1:$I$89,5,0)</f>
        <v>-9.7543306765146564E-14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397.45670821030774</v>
      </c>
      <c r="AO112" s="59">
        <f t="shared" si="90"/>
        <v>256.77417912163997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172.96945857362763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172.96945857362763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293.20194140252903</v>
      </c>
      <c r="BJ112" s="59">
        <f t="shared" si="92"/>
        <v>280.69048279989266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44.781981959158493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44.781981959158493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-1.1368683772161603E-13</v>
      </c>
      <c r="BZ112" s="13">
        <f>BY112*VLOOKUP('Données projet'!$B$12,Paramètres!$A$1:$I$89,3,0)*VLOOKUP('Données projet'!$B$12,Paramètres!$A$1:$I$89,5,0)</f>
        <v>-9.0449248091317723E-14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271.25628946149067</v>
      </c>
      <c r="CE112" s="59">
        <f t="shared" si="94"/>
        <v>292.57799203101769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57.336997521129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57.336997521129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5.6843418860808015E-14</v>
      </c>
      <c r="CU112" s="17">
        <f>CT112*VLOOKUP('Données projet'!$B$13,Paramètres!$A$1:$I$89,3,0)*VLOOKUP('Données projet'!$B$13,Paramètres!$A$1:$I$89,5,0)</f>
        <v>3.1036506698001178E-14</v>
      </c>
      <c r="CV112" s="13">
        <f t="shared" si="95"/>
        <v>5.3428243983771088E-13</v>
      </c>
      <c r="CW112" s="20">
        <f t="shared" si="67"/>
        <v>9.8459716521636505E-13</v>
      </c>
      <c r="CX112" s="59">
        <f t="shared" si="68"/>
        <v>293.33333333333428</v>
      </c>
      <c r="CY112" s="59">
        <f ca="1">AVERAGE(OFFSET($CX$3,0,0,'Données projet'!$E$13+1,1))-AVERAGE(OFFSET($H$3,0,0,'Données projet'!$E$13+1,1))</f>
        <v>210.03861149060413</v>
      </c>
      <c r="CZ112" s="59">
        <f t="shared" si="96"/>
        <v>298.74602928001929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34.318803685242095</v>
      </c>
      <c r="DG112" s="21">
        <f>EXP(-LN(2)/25)*DG111+(1-EXP(-LN(2)/25))/(LN(2)/25)*Calculateur!DB112*Calculateur!DD112*VLOOKUP('Données projet'!$B$13,Paramètres!$A$1:$I$89,3,0)*0.475*44/12</f>
        <v>10.900422686497343</v>
      </c>
      <c r="DH112" s="21">
        <f>EXP(-LN(2)/2)*DH111+(1-EXP(-LN(2)/2))/(LN(2)/2)*DB112*DE112*VLOOKUP('Données projet'!$B$13,Paramètres!$A$1:$I$89,3,0)*0.475*44/12</f>
        <v>4.7556194066538622E-8</v>
      </c>
      <c r="DI112" s="22">
        <f t="shared" si="69"/>
        <v>45.21922641929563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-3.4106051316484809E-13</v>
      </c>
      <c r="DP112" s="17">
        <f>DO112*VLOOKUP('Données projet'!$B$14,Paramètres!$A$1:$I$89,3,0)*VLOOKUP('Données projet'!$B$14,Paramètres!$A$1:$I$89,5,0)</f>
        <v>-2.0395418687257919E-13</v>
      </c>
      <c r="DQ112" s="13" t="e">
        <f t="shared" si="97"/>
        <v>#NUM!</v>
      </c>
      <c r="DR112" s="20" t="e">
        <f t="shared" si="70"/>
        <v>#NUM!</v>
      </c>
      <c r="DS112" s="59" t="e">
        <f t="shared" si="71"/>
        <v>#NUM!</v>
      </c>
      <c r="DT112" s="59">
        <f ca="1">AVERAGE(OFFSET($DS$3,0,0,'Données projet'!$E$14+1,1))-AVERAGE(OFFSET($H$3,0,0,'Données projet'!$E$14+1,1))</f>
        <v>402.28353929315114</v>
      </c>
      <c r="DU112" s="59">
        <f t="shared" si="98"/>
        <v>376.94419168335463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95.903914914903325</v>
      </c>
      <c r="EB112" s="21">
        <f>EXP(-LN(2)/25)*EB111+(1-EXP(-LN(2)/25))/(LN(2)/25)*Calculateur!DW112*Calculateur!DY112*VLOOKUP('Données projet'!$B$14,Paramètres!$A$1:$I$89,3,0)*0.475*44/12</f>
        <v>16.538537580167521</v>
      </c>
      <c r="EC112" s="21">
        <f>EXP(-LN(2)/2)*EC111+(1-EXP(-LN(2)/2))/(LN(2)/2)*DW112*DZ112*VLOOKUP('Données projet'!$B$14,Paramètres!$A$1:$I$89,3,0)*0.475*44/12</f>
        <v>4.9427497024786494E-5</v>
      </c>
      <c r="ED112" s="22">
        <f t="shared" si="72"/>
        <v>112.44250192256787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>
        <f>EJ112*VLOOKUP('Données projet'!$B$15,Paramètres!$A$1:$I$89,3,0)*VLOOKUP('Données projet'!$B$15,Paramètres!$A$1:$I$89,5,0)</f>
        <v>0</v>
      </c>
      <c r="EL112" s="13" t="e">
        <f t="shared" si="99"/>
        <v>#NUM!</v>
      </c>
      <c r="EM112" s="20" t="e">
        <f t="shared" si="73"/>
        <v>#NUM!</v>
      </c>
      <c r="EN112" s="59" t="e">
        <f t="shared" si="74"/>
        <v>#NUM!</v>
      </c>
      <c r="EO112" s="59">
        <f ca="1">AVERAGE(OFFSET($EN$3,0,0,'Données projet'!$E$15+1,1))-AVERAGE(OFFSET($H$3,0,0,'Données projet'!$E$15+1,1))</f>
        <v>273.3012268683454</v>
      </c>
      <c r="EP112" s="59">
        <f t="shared" si="100"/>
        <v>254.08208375594052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58.78056198288008</v>
      </c>
      <c r="EW112" s="21">
        <f>EXP(-LN(2)/25)*EW111+(1-EXP(-LN(2)/25))/(LN(2)/25)*Calculateur!ER112*Calculateur!ET112*VLOOKUP('Données projet'!$B$15,Paramètres!$A$1:$I$89,3,0)*0.475*44/12</f>
        <v>18.543865980196529</v>
      </c>
      <c r="EX112" s="21">
        <f>EXP(-LN(2)/2)*EX111+(1-EXP(-LN(2)/2))/(LN(2)/2)*ER112*EU112*VLOOKUP('Données projet'!$B$15,Paramètres!$A$1:$I$89,3,0)*0.475*44/12</f>
        <v>7.0956804825168007E-5</v>
      </c>
      <c r="EY112" s="22">
        <f t="shared" si="75"/>
        <v>77.324498919881421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358</v>
      </c>
      <c r="L113" s="12">
        <f>VLOOKUP(A113,'Données projet'!$A$35:$I$55,9,0)</f>
        <v>5.2</v>
      </c>
      <c r="M113" s="12">
        <f t="array" ref="M113">INDEX(L:L,MIN(IF(ISNUMBER(L113:L309),ROW(L113:L309),"")))</f>
        <v>5.2</v>
      </c>
      <c r="N113" s="13">
        <f>IF('Données projet'!$A$36&gt;35,N112+M113-V112,IF(A113&lt;'Données projet'!$A$36,$K$205^A113,IF(A113='Données projet'!$A$36,'Données projet'!$B$36,N112+M113-V112)))</f>
        <v>357.99999999999983</v>
      </c>
      <c r="O113" s="13">
        <f>N113*VLOOKUP('Données projet'!$B$9,Paramètres!$A$1:$I$89,3,0)*VLOOKUP('Données projet'!$B$9,Paramètres!$A$1:$I$89,5,0)</f>
        <v>323.91839999999979</v>
      </c>
      <c r="P113" s="13">
        <f t="shared" si="87"/>
        <v>76.168074587293034</v>
      </c>
      <c r="Q113" s="20">
        <f t="shared" si="107"/>
        <v>696.81727657286831</v>
      </c>
      <c r="R113" s="59">
        <f t="shared" si="55"/>
        <v>990.15060990620168</v>
      </c>
      <c r="S113" s="59">
        <f ca="1">AVERAGE(OFFSET($R$3,0,0,'Données projet'!$E$9+1,1))-AVERAGE(OFFSET($H$3,0,0,'Données projet'!$E$9+1,1))</f>
        <v>453.52760163325451</v>
      </c>
      <c r="T113" s="59">
        <f t="shared" si="88"/>
        <v>344.23959526427001</v>
      </c>
      <c r="U113" s="15">
        <f>IF(ISNA(VLOOKUP(A113,'Données projet'!$A$35:$I$55,3,0)),0,VLOOKUP(A113,'Données projet'!$A$35:$I$55,3,0))</f>
        <v>19</v>
      </c>
      <c r="V113" s="15">
        <f>IF(ISNA(VLOOKUP(A113,'Données projet'!$A$35:$I$55,4,0)),0,VLOOKUP(A113,'Données projet'!$A$35:$I$55,4,0))</f>
        <v>51</v>
      </c>
      <c r="W113" s="16">
        <f>IF(ISNA(VLOOKUP(A113,'Données projet'!$A$35:$I$55,5,0)),0%,VLOOKUP(A113,'Données projet'!$A$35:$I$55,5,0)*VLOOKUP('Données projet'!$B$9,Paramètres!$A$1:$I$89,7,0))</f>
        <v>0.34400000000000003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58.584886724176549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58.584886724176549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-1.1368683772161603E-13</v>
      </c>
      <c r="AJ113" s="13">
        <f>AI113*VLOOKUP('Données projet'!$B$10,Paramètres!$A$1:$I$89,3,0)*VLOOKUP('Données projet'!$B$10,Paramètres!$A$1:$I$89,5,0)</f>
        <v>-9.7543306765146564E-14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397.45670821030774</v>
      </c>
      <c r="AO113" s="59">
        <f t="shared" si="90"/>
        <v>256.77417912163997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169.57763299195116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169.57763299195116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293.20194140252903</v>
      </c>
      <c r="BJ113" s="59">
        <f t="shared" si="92"/>
        <v>280.69048279989266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43.903834607251326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43.903834607251326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-1.1368683772161603E-13</v>
      </c>
      <c r="BZ113" s="13">
        <f>BY113*VLOOKUP('Données projet'!$B$12,Paramètres!$A$1:$I$89,3,0)*VLOOKUP('Données projet'!$B$12,Paramètres!$A$1:$I$89,5,0)</f>
        <v>-9.0449248091317723E-14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271.25628946149067</v>
      </c>
      <c r="CE113" s="59">
        <f t="shared" si="94"/>
        <v>292.57799203101769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56.212653971854941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56.212653971854941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5.6843418860808015E-14</v>
      </c>
      <c r="CU113" s="17">
        <f>CT113*VLOOKUP('Données projet'!$B$13,Paramètres!$A$1:$I$89,3,0)*VLOOKUP('Données projet'!$B$13,Paramètres!$A$1:$I$89,5,0)</f>
        <v>3.1036506698001178E-14</v>
      </c>
      <c r="CV113" s="13">
        <f t="shared" si="95"/>
        <v>5.3428243983771088E-13</v>
      </c>
      <c r="CW113" s="20">
        <f t="shared" si="67"/>
        <v>9.8459716521636505E-13</v>
      </c>
      <c r="CX113" s="59">
        <f t="shared" si="68"/>
        <v>293.33333333333428</v>
      </c>
      <c r="CY113" s="59">
        <f ca="1">AVERAGE(OFFSET($CX$3,0,0,'Données projet'!$E$13+1,1))-AVERAGE(OFFSET($H$3,0,0,'Données projet'!$E$13+1,1))</f>
        <v>210.03861149060413</v>
      </c>
      <c r="CZ113" s="59">
        <f t="shared" si="96"/>
        <v>298.74602928001929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33.645832877377842</v>
      </c>
      <c r="DG113" s="21">
        <f>EXP(-LN(2)/25)*DG112+(1-EXP(-LN(2)/25))/(LN(2)/25)*Calculateur!DB113*Calculateur!DD113*VLOOKUP('Données projet'!$B$13,Paramètres!$A$1:$I$89,3,0)*0.475*44/12</f>
        <v>10.602350054906758</v>
      </c>
      <c r="DH113" s="21">
        <f>EXP(-LN(2)/2)*DH112+(1-EXP(-LN(2)/2))/(LN(2)/2)*DB113*DE113*VLOOKUP('Données projet'!$B$13,Paramètres!$A$1:$I$89,3,0)*0.475*44/12</f>
        <v>3.3627307311872915E-8</v>
      </c>
      <c r="DI113" s="22">
        <f t="shared" si="69"/>
        <v>44.248182965911909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-3.4106051316484809E-13</v>
      </c>
      <c r="DP113" s="17">
        <f>DO113*VLOOKUP('Données projet'!$B$14,Paramètres!$A$1:$I$89,3,0)*VLOOKUP('Données projet'!$B$14,Paramètres!$A$1:$I$89,5,0)</f>
        <v>-2.0395418687257919E-13</v>
      </c>
      <c r="DQ113" s="13" t="e">
        <f t="shared" si="97"/>
        <v>#NUM!</v>
      </c>
      <c r="DR113" s="20" t="e">
        <f t="shared" si="70"/>
        <v>#NUM!</v>
      </c>
      <c r="DS113" s="59" t="e">
        <f t="shared" si="71"/>
        <v>#NUM!</v>
      </c>
      <c r="DT113" s="59">
        <f ca="1">AVERAGE(OFFSET($DS$3,0,0,'Données projet'!$E$14+1,1))-AVERAGE(OFFSET($H$3,0,0,'Données projet'!$E$14+1,1))</f>
        <v>402.28353929315114</v>
      </c>
      <c r="DU113" s="59">
        <f t="shared" si="98"/>
        <v>376.94419168335463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94.023297639034212</v>
      </c>
      <c r="EB113" s="21">
        <f>EXP(-LN(2)/25)*EB112+(1-EXP(-LN(2)/25))/(LN(2)/25)*Calculateur!DW113*Calculateur!DY113*VLOOKUP('Données projet'!$B$14,Paramètres!$A$1:$I$89,3,0)*0.475*44/12</f>
        <v>16.086290400313949</v>
      </c>
      <c r="EC113" s="21">
        <f>EXP(-LN(2)/2)*EC112+(1-EXP(-LN(2)/2))/(LN(2)/2)*DW113*DZ113*VLOOKUP('Données projet'!$B$14,Paramètres!$A$1:$I$89,3,0)*0.475*44/12</f>
        <v>3.4950518323304432E-5</v>
      </c>
      <c r="ED113" s="22">
        <f t="shared" si="72"/>
        <v>110.10962298986648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>
        <f>EJ113*VLOOKUP('Données projet'!$B$15,Paramètres!$A$1:$I$89,3,0)*VLOOKUP('Données projet'!$B$15,Paramètres!$A$1:$I$89,5,0)</f>
        <v>0</v>
      </c>
      <c r="EL113" s="13" t="e">
        <f t="shared" si="99"/>
        <v>#NUM!</v>
      </c>
      <c r="EM113" s="20" t="e">
        <f t="shared" si="73"/>
        <v>#NUM!</v>
      </c>
      <c r="EN113" s="59" t="e">
        <f t="shared" si="74"/>
        <v>#NUM!</v>
      </c>
      <c r="EO113" s="59">
        <f ca="1">AVERAGE(OFFSET($EN$3,0,0,'Données projet'!$E$15+1,1))-AVERAGE(OFFSET($H$3,0,0,'Données projet'!$E$15+1,1))</f>
        <v>273.3012268683454</v>
      </c>
      <c r="EP113" s="59">
        <f t="shared" si="100"/>
        <v>254.08208375594052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57.62791101499846</v>
      </c>
      <c r="EW113" s="21">
        <f>EXP(-LN(2)/25)*EW112+(1-EXP(-LN(2)/25))/(LN(2)/25)*Calculateur!ER113*Calculateur!ET113*VLOOKUP('Données projet'!$B$15,Paramètres!$A$1:$I$89,3,0)*0.475*44/12</f>
        <v>18.036782989788524</v>
      </c>
      <c r="EX113" s="21">
        <f>EXP(-LN(2)/2)*EX112+(1-EXP(-LN(2)/2))/(LN(2)/2)*ER113*EU113*VLOOKUP('Données projet'!$B$15,Paramètres!$A$1:$I$89,3,0)*0.475*44/12</f>
        <v>5.0174037863206634E-5</v>
      </c>
      <c r="EY113" s="22">
        <f t="shared" si="75"/>
        <v>75.664744178824847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4.8</v>
      </c>
      <c r="N114" s="13">
        <f>IF('Données projet'!$A$36&gt;35,N113+M114-V113,IF(A114&lt;'Données projet'!$A$36,$K$205^A114,IF(A114='Données projet'!$A$36,'Données projet'!$B$36,N113+M114-V113)))</f>
        <v>311.79999999999984</v>
      </c>
      <c r="O114" s="13">
        <f>N114*VLOOKUP('Données projet'!$B$9,Paramètres!$A$1:$I$89,3,0)*VLOOKUP('Données projet'!$B$9,Paramètres!$A$1:$I$89,5,0)</f>
        <v>282.11663999999985</v>
      </c>
      <c r="P114" s="13">
        <f t="shared" si="87"/>
        <v>67.414119514142243</v>
      </c>
      <c r="Q114" s="20">
        <f t="shared" si="107"/>
        <v>608.76607282046416</v>
      </c>
      <c r="R114" s="59">
        <f t="shared" si="55"/>
        <v>902.09940615379742</v>
      </c>
      <c r="S114" s="59">
        <f ca="1">AVERAGE(OFFSET($R$3,0,0,'Données projet'!$E$9+1,1))-AVERAGE(OFFSET($H$3,0,0,'Données projet'!$E$9+1,1))</f>
        <v>453.52760163325451</v>
      </c>
      <c r="T114" s="59">
        <f t="shared" si="88"/>
        <v>344.23959526427001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57.436072828767983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57.436072828767983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-1.1368683772161603E-13</v>
      </c>
      <c r="AJ114" s="13">
        <f>AI114*VLOOKUP('Données projet'!$B$10,Paramètres!$A$1:$I$89,3,0)*VLOOKUP('Données projet'!$B$10,Paramètres!$A$1:$I$89,5,0)</f>
        <v>-9.7543306765146564E-14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397.45670821030774</v>
      </c>
      <c r="AO114" s="59">
        <f t="shared" si="90"/>
        <v>256.77417912163997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166.25231904112204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166.25231904112204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293.20194140252903</v>
      </c>
      <c r="BJ114" s="59">
        <f t="shared" si="92"/>
        <v>280.69048279989266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43.042907189298063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43.042907189298063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-1.1368683772161603E-13</v>
      </c>
      <c r="BZ114" s="13">
        <f>BY114*VLOOKUP('Données projet'!$B$12,Paramètres!$A$1:$I$89,3,0)*VLOOKUP('Données projet'!$B$12,Paramètres!$A$1:$I$89,5,0)</f>
        <v>-9.0449248091317723E-14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271.25628946149067</v>
      </c>
      <c r="CE114" s="59">
        <f t="shared" si="94"/>
        <v>292.57799203101769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55.110358113800295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55.110358113800295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5.6843418860808015E-14</v>
      </c>
      <c r="CU114" s="17">
        <f>CT114*VLOOKUP('Données projet'!$B$13,Paramètres!$A$1:$I$89,3,0)*VLOOKUP('Données projet'!$B$13,Paramètres!$A$1:$I$89,5,0)</f>
        <v>3.1036506698001178E-14</v>
      </c>
      <c r="CV114" s="13">
        <f t="shared" si="95"/>
        <v>5.3428243983771088E-13</v>
      </c>
      <c r="CW114" s="20">
        <f t="shared" si="67"/>
        <v>9.8459716521636505E-13</v>
      </c>
      <c r="CX114" s="59">
        <f t="shared" si="68"/>
        <v>293.33333333333428</v>
      </c>
      <c r="CY114" s="59">
        <f ca="1">AVERAGE(OFFSET($CX$3,0,0,'Données projet'!$E$13+1,1))-AVERAGE(OFFSET($H$3,0,0,'Données projet'!$E$13+1,1))</f>
        <v>210.03861149060413</v>
      </c>
      <c r="CZ114" s="59">
        <f t="shared" si="96"/>
        <v>298.74602928001929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32.986058616584145</v>
      </c>
      <c r="DG114" s="21">
        <f>EXP(-LN(2)/25)*DG113+(1-EXP(-LN(2)/25))/(LN(2)/25)*Calculateur!DB114*Calculateur!DD114*VLOOKUP('Données projet'!$B$13,Paramètres!$A$1:$I$89,3,0)*0.475*44/12</f>
        <v>10.312428235101976</v>
      </c>
      <c r="DH114" s="21">
        <f>EXP(-LN(2)/2)*DH113+(1-EXP(-LN(2)/2))/(LN(2)/2)*DB114*DE114*VLOOKUP('Données projet'!$B$13,Paramètres!$A$1:$I$89,3,0)*0.475*44/12</f>
        <v>2.3778097033269311E-8</v>
      </c>
      <c r="DI114" s="22">
        <f t="shared" si="69"/>
        <v>43.298486875464221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-3.4106051316484809E-13</v>
      </c>
      <c r="DP114" s="17">
        <f>DO114*VLOOKUP('Données projet'!$B$14,Paramètres!$A$1:$I$89,3,0)*VLOOKUP('Données projet'!$B$14,Paramètres!$A$1:$I$89,5,0)</f>
        <v>-2.0395418687257919E-13</v>
      </c>
      <c r="DQ114" s="13" t="e">
        <f t="shared" si="97"/>
        <v>#NUM!</v>
      </c>
      <c r="DR114" s="20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402.28353929315114</v>
      </c>
      <c r="DU114" s="59">
        <f t="shared" si="98"/>
        <v>376.94419168335463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92.179558120881609</v>
      </c>
      <c r="EB114" s="21">
        <f>EXP(-LN(2)/25)*EB113+(1-EXP(-LN(2)/25))/(LN(2)/25)*Calculateur!DW114*Calculateur!DY114*VLOOKUP('Données projet'!$B$14,Paramètres!$A$1:$I$89,3,0)*0.475*44/12</f>
        <v>15.646409943376117</v>
      </c>
      <c r="EC114" s="21">
        <f>EXP(-LN(2)/2)*EC113+(1-EXP(-LN(2)/2))/(LN(2)/2)*DW114*DZ114*VLOOKUP('Données projet'!$B$14,Paramètres!$A$1:$I$89,3,0)*0.475*44/12</f>
        <v>2.4713748512393247E-5</v>
      </c>
      <c r="ED114" s="22">
        <f t="shared" si="72"/>
        <v>107.82599277800624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>
        <f>EJ114*VLOOKUP('Données projet'!$B$15,Paramètres!$A$1:$I$89,3,0)*VLOOKUP('Données projet'!$B$15,Paramètres!$A$1:$I$89,5,0)</f>
        <v>0</v>
      </c>
      <c r="EL114" s="13" t="e">
        <f t="shared" si="99"/>
        <v>#NUM!</v>
      </c>
      <c r="EM114" s="20" t="e">
        <f t="shared" si="73"/>
        <v>#NUM!</v>
      </c>
      <c r="EN114" s="59" t="e">
        <f t="shared" si="74"/>
        <v>#NUM!</v>
      </c>
      <c r="EO114" s="59">
        <f ca="1">AVERAGE(OFFSET($EN$3,0,0,'Données projet'!$E$15+1,1))-AVERAGE(OFFSET($H$3,0,0,'Données projet'!$E$15+1,1))</f>
        <v>273.3012268683454</v>
      </c>
      <c r="EP114" s="59">
        <f t="shared" si="100"/>
        <v>254.08208375594052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56.497862829549327</v>
      </c>
      <c r="EW114" s="21">
        <f>EXP(-LN(2)/25)*EW113+(1-EXP(-LN(2)/25))/(LN(2)/25)*Calculateur!ER114*Calculateur!ET114*VLOOKUP('Données projet'!$B$15,Paramètres!$A$1:$I$89,3,0)*0.475*44/12</f>
        <v>17.543566210419563</v>
      </c>
      <c r="EX114" s="21">
        <f>EXP(-LN(2)/2)*EX113+(1-EXP(-LN(2)/2))/(LN(2)/2)*ER114*EU114*VLOOKUP('Données projet'!$B$15,Paramètres!$A$1:$I$89,3,0)*0.475*44/12</f>
        <v>3.5478402412584004E-5</v>
      </c>
      <c r="EY114" s="22">
        <f t="shared" si="75"/>
        <v>74.041464518371299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4.8</v>
      </c>
      <c r="N115" s="13">
        <f>IF('Données projet'!$A$36&gt;35,N114+M115-V114,IF(A115&lt;'Données projet'!$A$36,$K$205^A115,IF(A115='Données projet'!$A$36,'Données projet'!$B$36,N114+M115-V114)))</f>
        <v>316.59999999999985</v>
      </c>
      <c r="O115" s="13">
        <f>N115*VLOOKUP('Données projet'!$B$9,Paramètres!$A$1:$I$89,3,0)*VLOOKUP('Données projet'!$B$9,Paramètres!$A$1:$I$89,5,0)</f>
        <v>286.45967999999988</v>
      </c>
      <c r="P115" s="13">
        <f t="shared" si="87"/>
        <v>68.330307577101138</v>
      </c>
      <c r="Q115" s="20">
        <f t="shared" si="107"/>
        <v>617.92589503011754</v>
      </c>
      <c r="R115" s="59">
        <f t="shared" si="55"/>
        <v>911.2592283634508</v>
      </c>
      <c r="S115" s="59">
        <f ca="1">AVERAGE(OFFSET($R$3,0,0,'Données projet'!$E$9+1,1))-AVERAGE(OFFSET($H$3,0,0,'Données projet'!$E$9+1,1))</f>
        <v>453.52760163325451</v>
      </c>
      <c r="T115" s="59">
        <f t="shared" si="88"/>
        <v>344.23959526427001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56.309786473141095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56.309786473141095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-1.1368683772161603E-13</v>
      </c>
      <c r="AJ115" s="13">
        <f>AI115*VLOOKUP('Données projet'!$B$10,Paramètres!$A$1:$I$89,3,0)*VLOOKUP('Données projet'!$B$10,Paramètres!$A$1:$I$89,5,0)</f>
        <v>-9.7543306765146564E-14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397.45670821030774</v>
      </c>
      <c r="AO115" s="59">
        <f t="shared" si="90"/>
        <v>256.77417912163997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162.99221246862746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162.99221246862746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293.20194140252903</v>
      </c>
      <c r="BJ115" s="59">
        <f t="shared" si="92"/>
        <v>280.69048279989266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42.19886203289699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42.19886203289699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-1.1368683772161603E-13</v>
      </c>
      <c r="BZ115" s="13">
        <f>BY115*VLOOKUP('Données projet'!$B$12,Paramètres!$A$1:$I$89,3,0)*VLOOKUP('Données projet'!$B$12,Paramètres!$A$1:$I$89,5,0)</f>
        <v>-9.0449248091317723E-14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271.25628946149067</v>
      </c>
      <c r="CE115" s="59">
        <f t="shared" si="94"/>
        <v>292.57799203101769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54.029677605188013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54.029677605188013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5.6843418860808015E-14</v>
      </c>
      <c r="CU115" s="17">
        <f>CT115*VLOOKUP('Données projet'!$B$13,Paramètres!$A$1:$I$89,3,0)*VLOOKUP('Données projet'!$B$13,Paramètres!$A$1:$I$89,5,0)</f>
        <v>3.1036506698001178E-14</v>
      </c>
      <c r="CV115" s="13">
        <f t="shared" si="95"/>
        <v>5.3428243983771088E-13</v>
      </c>
      <c r="CW115" s="20">
        <f t="shared" si="67"/>
        <v>9.8459716521636505E-13</v>
      </c>
      <c r="CX115" s="59">
        <f t="shared" si="68"/>
        <v>293.33333333333428</v>
      </c>
      <c r="CY115" s="59">
        <f ca="1">AVERAGE(OFFSET($CX$3,0,0,'Données projet'!$E$13+1,1))-AVERAGE(OFFSET($H$3,0,0,'Données projet'!$E$13+1,1))</f>
        <v>210.03861149060413</v>
      </c>
      <c r="CZ115" s="59">
        <f t="shared" si="96"/>
        <v>298.74602928001929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32.339222126622047</v>
      </c>
      <c r="DG115" s="21">
        <f>EXP(-LN(2)/25)*DG114+(1-EXP(-LN(2)/25))/(LN(2)/25)*Calculateur!DB115*Calculateur!DD115*VLOOKUP('Données projet'!$B$13,Paramètres!$A$1:$I$89,3,0)*0.475*44/12</f>
        <v>10.03043434270608</v>
      </c>
      <c r="DH115" s="21">
        <f>EXP(-LN(2)/2)*DH114+(1-EXP(-LN(2)/2))/(LN(2)/2)*DB115*DE115*VLOOKUP('Données projet'!$B$13,Paramètres!$A$1:$I$89,3,0)*0.475*44/12</f>
        <v>1.6813653655936457E-8</v>
      </c>
      <c r="DI115" s="22">
        <f t="shared" si="69"/>
        <v>42.369656486141778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-3.4106051316484809E-13</v>
      </c>
      <c r="DP115" s="17">
        <f>DO115*VLOOKUP('Données projet'!$B$14,Paramètres!$A$1:$I$89,3,0)*VLOOKUP('Données projet'!$B$14,Paramètres!$A$1:$I$89,5,0)</f>
        <v>-2.0395418687257919E-13</v>
      </c>
      <c r="DQ115" s="13" t="e">
        <f t="shared" si="97"/>
        <v>#NUM!</v>
      </c>
      <c r="DR115" s="20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402.28353929315114</v>
      </c>
      <c r="DU115" s="59">
        <f t="shared" si="98"/>
        <v>376.94419168335463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90.371973210109914</v>
      </c>
      <c r="EB115" s="21">
        <f>EXP(-LN(2)/25)*EB114+(1-EXP(-LN(2)/25))/(LN(2)/25)*Calculateur!DW115*Calculateur!DY115*VLOOKUP('Données projet'!$B$14,Paramètres!$A$1:$I$89,3,0)*0.475*44/12</f>
        <v>15.218558040665558</v>
      </c>
      <c r="EC115" s="21">
        <f>EXP(-LN(2)/2)*EC114+(1-EXP(-LN(2)/2))/(LN(2)/2)*DW115*DZ115*VLOOKUP('Données projet'!$B$14,Paramètres!$A$1:$I$89,3,0)*0.475*44/12</f>
        <v>1.7475259161652216E-5</v>
      </c>
      <c r="ED115" s="22">
        <f t="shared" si="72"/>
        <v>105.59054872603463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>
        <f>EJ115*VLOOKUP('Données projet'!$B$15,Paramètres!$A$1:$I$89,3,0)*VLOOKUP('Données projet'!$B$15,Paramètres!$A$1:$I$89,5,0)</f>
        <v>0</v>
      </c>
      <c r="EL115" s="13" t="e">
        <f t="shared" si="99"/>
        <v>#NUM!</v>
      </c>
      <c r="EM115" s="20" t="e">
        <f t="shared" si="73"/>
        <v>#NUM!</v>
      </c>
      <c r="EN115" s="59" t="e">
        <f t="shared" si="74"/>
        <v>#NUM!</v>
      </c>
      <c r="EO115" s="59">
        <f ca="1">AVERAGE(OFFSET($EN$3,0,0,'Données projet'!$E$15+1,1))-AVERAGE(OFFSET($H$3,0,0,'Données projet'!$E$15+1,1))</f>
        <v>273.3012268683454</v>
      </c>
      <c r="EP115" s="59">
        <f t="shared" si="100"/>
        <v>254.08208375594052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55.389974199755521</v>
      </c>
      <c r="EW115" s="21">
        <f>EXP(-LN(2)/25)*EW114+(1-EXP(-LN(2)/25))/(LN(2)/25)*Calculateur!ER115*Calculateur!ET115*VLOOKUP('Données projet'!$B$15,Paramètres!$A$1:$I$89,3,0)*0.475*44/12</f>
        <v>17.063836469819588</v>
      </c>
      <c r="EX115" s="21">
        <f>EXP(-LN(2)/2)*EX114+(1-EXP(-LN(2)/2))/(LN(2)/2)*ER115*EU115*VLOOKUP('Données projet'!$B$15,Paramètres!$A$1:$I$89,3,0)*0.475*44/12</f>
        <v>2.5087018931603317E-5</v>
      </c>
      <c r="EY115" s="22">
        <f t="shared" si="75"/>
        <v>72.453835756594032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4.8</v>
      </c>
      <c r="N116" s="13">
        <f>IF('Données projet'!$A$36&gt;35,N115+M116-V115,IF(A116&lt;'Données projet'!$A$36,$K$205^A116,IF(A116='Données projet'!$A$36,'Données projet'!$B$36,N115+M116-V115)))</f>
        <v>321.39999999999986</v>
      </c>
      <c r="O116" s="13">
        <f>N116*VLOOKUP('Données projet'!$B$9,Paramètres!$A$1:$I$89,3,0)*VLOOKUP('Données projet'!$B$9,Paramètres!$A$1:$I$89,5,0)</f>
        <v>290.80271999999991</v>
      </c>
      <c r="P116" s="13">
        <f t="shared" si="87"/>
        <v>69.244880157128961</v>
      </c>
      <c r="Q116" s="20">
        <f t="shared" si="107"/>
        <v>627.08290360699937</v>
      </c>
      <c r="R116" s="59">
        <f t="shared" si="55"/>
        <v>920.41623694033274</v>
      </c>
      <c r="S116" s="59">
        <f ca="1">AVERAGE(OFFSET($R$3,0,0,'Données projet'!$E$9+1,1))-AVERAGE(OFFSET($H$3,0,0,'Données projet'!$E$9+1,1))</f>
        <v>453.52760163325451</v>
      </c>
      <c r="T116" s="59">
        <f t="shared" si="88"/>
        <v>344.23959526427001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55.205585905981202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55.205585905981202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-1.1368683772161603E-13</v>
      </c>
      <c r="AJ116" s="13">
        <f>AI116*VLOOKUP('Données projet'!$B$10,Paramètres!$A$1:$I$89,3,0)*VLOOKUP('Données projet'!$B$10,Paramètres!$A$1:$I$89,5,0)</f>
        <v>-9.7543306765146564E-14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397.45670821030774</v>
      </c>
      <c r="AO116" s="59">
        <f t="shared" si="90"/>
        <v>256.77417912163997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159.79603459755083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159.79603459755083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293.20194140252903</v>
      </c>
      <c r="BJ116" s="59">
        <f t="shared" si="92"/>
        <v>280.69048279989266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41.371368087196231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41.371368087196231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-1.1368683772161603E-13</v>
      </c>
      <c r="BZ116" s="13">
        <f>BY116*VLOOKUP('Données projet'!$B$12,Paramètres!$A$1:$I$89,3,0)*VLOOKUP('Données projet'!$B$12,Paramètres!$A$1:$I$89,5,0)</f>
        <v>-9.0449248091317723E-14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271.25628946149067</v>
      </c>
      <c r="CE116" s="59">
        <f t="shared" si="94"/>
        <v>292.57799203101769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52.970188582199597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52.970188582199597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5.6843418860808015E-14</v>
      </c>
      <c r="CU116" s="17">
        <f>CT116*VLOOKUP('Données projet'!$B$13,Paramètres!$A$1:$I$89,3,0)*VLOOKUP('Données projet'!$B$13,Paramètres!$A$1:$I$89,5,0)</f>
        <v>3.1036506698001178E-14</v>
      </c>
      <c r="CV116" s="13">
        <f t="shared" si="95"/>
        <v>5.3428243983771088E-13</v>
      </c>
      <c r="CW116" s="20">
        <f t="shared" si="67"/>
        <v>9.8459716521636505E-13</v>
      </c>
      <c r="CX116" s="59">
        <f t="shared" si="68"/>
        <v>293.33333333333428</v>
      </c>
      <c r="CY116" s="59">
        <f ca="1">AVERAGE(OFFSET($CX$3,0,0,'Données projet'!$E$13+1,1))-AVERAGE(OFFSET($H$3,0,0,'Données projet'!$E$13+1,1))</f>
        <v>210.03861149060413</v>
      </c>
      <c r="CZ116" s="59">
        <f t="shared" si="96"/>
        <v>298.74602928001929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31.705069705696808</v>
      </c>
      <c r="DG116" s="21">
        <f>EXP(-LN(2)/25)*DG115+(1-EXP(-LN(2)/25))/(LN(2)/25)*Calculateur!DB116*Calculateur!DD116*VLOOKUP('Données projet'!$B$13,Paramètres!$A$1:$I$89,3,0)*0.475*44/12</f>
        <v>9.7561515881271657</v>
      </c>
      <c r="DH116" s="21">
        <f>EXP(-LN(2)/2)*DH115+(1-EXP(-LN(2)/2))/(LN(2)/2)*DB116*DE116*VLOOKUP('Données projet'!$B$13,Paramètres!$A$1:$I$89,3,0)*0.475*44/12</f>
        <v>1.1889048516634655E-8</v>
      </c>
      <c r="DI116" s="22">
        <f t="shared" si="69"/>
        <v>41.461221305713025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-3.4106051316484809E-13</v>
      </c>
      <c r="DP116" s="17">
        <f>DO116*VLOOKUP('Données projet'!$B$14,Paramètres!$A$1:$I$89,3,0)*VLOOKUP('Données projet'!$B$14,Paramètres!$A$1:$I$89,5,0)</f>
        <v>-2.0395418687257919E-13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402.28353929315114</v>
      </c>
      <c r="DU116" s="59">
        <f t="shared" si="98"/>
        <v>376.94419168335463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88.599833936920518</v>
      </c>
      <c r="EB116" s="21">
        <f>EXP(-LN(2)/25)*EB115+(1-EXP(-LN(2)/25))/(LN(2)/25)*Calculateur!DW116*Calculateur!DY116*VLOOKUP('Données projet'!$B$14,Paramètres!$A$1:$I$89,3,0)*0.475*44/12</f>
        <v>14.802405770734373</v>
      </c>
      <c r="EC116" s="21">
        <f>EXP(-LN(2)/2)*EC115+(1-EXP(-LN(2)/2))/(LN(2)/2)*DW116*DZ116*VLOOKUP('Données projet'!$B$14,Paramètres!$A$1:$I$89,3,0)*0.475*44/12</f>
        <v>1.2356874256196623E-5</v>
      </c>
      <c r="ED116" s="22">
        <f t="shared" si="72"/>
        <v>103.40225206452914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>
        <f>EJ116*VLOOKUP('Données projet'!$B$15,Paramètres!$A$1:$I$89,3,0)*VLOOKUP('Données projet'!$B$15,Paramètres!$A$1:$I$89,5,0)</f>
        <v>0</v>
      </c>
      <c r="EL116" s="13" t="e">
        <f t="shared" si="99"/>
        <v>#NUM!</v>
      </c>
      <c r="EM116" s="20" t="e">
        <f t="shared" si="73"/>
        <v>#NUM!</v>
      </c>
      <c r="EN116" s="59" t="e">
        <f t="shared" si="74"/>
        <v>#NUM!</v>
      </c>
      <c r="EO116" s="59">
        <f ca="1">AVERAGE(OFFSET($EN$3,0,0,'Données projet'!$E$15+1,1))-AVERAGE(OFFSET($H$3,0,0,'Données projet'!$E$15+1,1))</f>
        <v>273.3012268683454</v>
      </c>
      <c r="EP116" s="59">
        <f t="shared" si="100"/>
        <v>254.08208375594052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54.303810590246627</v>
      </c>
      <c r="EW116" s="21">
        <f>EXP(-LN(2)/25)*EW115+(1-EXP(-LN(2)/25))/(LN(2)/25)*Calculateur!ER116*Calculateur!ET116*VLOOKUP('Données projet'!$B$15,Paramètres!$A$1:$I$89,3,0)*0.475*44/12</f>
        <v>16.597224964204212</v>
      </c>
      <c r="EX116" s="21">
        <f>EXP(-LN(2)/2)*EX115+(1-EXP(-LN(2)/2))/(LN(2)/2)*ER116*EU116*VLOOKUP('Données projet'!$B$15,Paramètres!$A$1:$I$89,3,0)*0.475*44/12</f>
        <v>1.7739201206292002E-5</v>
      </c>
      <c r="EY116" s="22">
        <f t="shared" si="75"/>
        <v>70.901053293652055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4.8</v>
      </c>
      <c r="N117" s="13">
        <f>IF('Données projet'!$A$36&gt;35,N116+M117-V116,IF(A117&lt;'Données projet'!$A$36,$K$205^A117,IF(A117='Données projet'!$A$36,'Données projet'!$B$36,N116+M117-V116)))</f>
        <v>326.19999999999987</v>
      </c>
      <c r="O117" s="13">
        <f>N117*VLOOKUP('Données projet'!$B$9,Paramètres!$A$1:$I$89,3,0)*VLOOKUP('Données projet'!$B$9,Paramètres!$A$1:$I$89,5,0)</f>
        <v>295.14575999999988</v>
      </c>
      <c r="P117" s="13">
        <f t="shared" si="87"/>
        <v>70.157864167878188</v>
      </c>
      <c r="Q117" s="20">
        <f t="shared" si="107"/>
        <v>636.237145425721</v>
      </c>
      <c r="R117" s="59">
        <f t="shared" si="55"/>
        <v>929.57047875905437</v>
      </c>
      <c r="S117" s="59">
        <f ca="1">AVERAGE(OFFSET($R$3,0,0,'Données projet'!$E$9+1,1))-AVERAGE(OFFSET($H$3,0,0,'Données projet'!$E$9+1,1))</f>
        <v>453.52760163325451</v>
      </c>
      <c r="T117" s="59">
        <f t="shared" si="88"/>
        <v>344.23959526427001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54.123038038447469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54.123038038447469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-1.1368683772161603E-13</v>
      </c>
      <c r="AJ117" s="13">
        <f>AI117*VLOOKUP('Données projet'!$B$10,Paramètres!$A$1:$I$89,3,0)*VLOOKUP('Données projet'!$B$10,Paramètres!$A$1:$I$89,5,0)</f>
        <v>-9.7543306765146564E-14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397.45670821030774</v>
      </c>
      <c r="AO117" s="59">
        <f t="shared" si="90"/>
        <v>256.77417912163997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156.66253182505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156.66253182505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293.20194140252903</v>
      </c>
      <c r="BJ117" s="59">
        <f t="shared" si="92"/>
        <v>280.69048279989266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40.560100793049195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40.560100793049195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-1.1368683772161603E-13</v>
      </c>
      <c r="BZ117" s="13">
        <f>BY117*VLOOKUP('Données projet'!$B$12,Paramètres!$A$1:$I$89,3,0)*VLOOKUP('Données projet'!$B$12,Paramètres!$A$1:$I$89,5,0)</f>
        <v>-9.0449248091317723E-14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271.25628946149067</v>
      </c>
      <c r="CE117" s="59">
        <f t="shared" si="94"/>
        <v>292.57799203101769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51.931475492727486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51.931475492727486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5.6843418860808015E-14</v>
      </c>
      <c r="CU117" s="17">
        <f>CT117*VLOOKUP('Données projet'!$B$13,Paramètres!$A$1:$I$89,3,0)*VLOOKUP('Données projet'!$B$13,Paramètres!$A$1:$I$89,5,0)</f>
        <v>3.1036506698001178E-14</v>
      </c>
      <c r="CV117" s="13">
        <f t="shared" si="95"/>
        <v>5.3428243983771088E-13</v>
      </c>
      <c r="CW117" s="20">
        <f t="shared" si="67"/>
        <v>9.8459716521636505E-13</v>
      </c>
      <c r="CX117" s="59">
        <f t="shared" si="68"/>
        <v>293.33333333333428</v>
      </c>
      <c r="CY117" s="59">
        <f ca="1">AVERAGE(OFFSET($CX$3,0,0,'Données projet'!$E$13+1,1))-AVERAGE(OFFSET($H$3,0,0,'Données projet'!$E$13+1,1))</f>
        <v>210.03861149060413</v>
      </c>
      <c r="CZ117" s="59">
        <f t="shared" si="96"/>
        <v>298.74602928001929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31.083352626951125</v>
      </c>
      <c r="DG117" s="21">
        <f>EXP(-LN(2)/25)*DG116+(1-EXP(-LN(2)/25))/(LN(2)/25)*Calculateur!DB117*Calculateur!DD117*VLOOKUP('Données projet'!$B$13,Paramètres!$A$1:$I$89,3,0)*0.475*44/12</f>
        <v>9.4893691098961135</v>
      </c>
      <c r="DH117" s="21">
        <f>EXP(-LN(2)/2)*DH116+(1-EXP(-LN(2)/2))/(LN(2)/2)*DB117*DE117*VLOOKUP('Données projet'!$B$13,Paramètres!$A$1:$I$89,3,0)*0.475*44/12</f>
        <v>8.4068268279682287E-9</v>
      </c>
      <c r="DI117" s="22">
        <f t="shared" si="69"/>
        <v>40.572721745254071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-3.4106051316484809E-13</v>
      </c>
      <c r="DP117" s="17">
        <f>DO117*VLOOKUP('Données projet'!$B$14,Paramètres!$A$1:$I$89,3,0)*VLOOKUP('Données projet'!$B$14,Paramètres!$A$1:$I$89,5,0)</f>
        <v>-2.0395418687257919E-13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402.28353929315114</v>
      </c>
      <c r="DU117" s="59">
        <f t="shared" si="98"/>
        <v>376.94419168335463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86.862445233980139</v>
      </c>
      <c r="EB117" s="21">
        <f>EXP(-LN(2)/25)*EB116+(1-EXP(-LN(2)/25))/(LN(2)/25)*Calculateur!DW117*Calculateur!DY117*VLOOKUP('Données projet'!$B$14,Paramètres!$A$1:$I$89,3,0)*0.475*44/12</f>
        <v>14.397633206508953</v>
      </c>
      <c r="EC117" s="21">
        <f>EXP(-LN(2)/2)*EC116+(1-EXP(-LN(2)/2))/(LN(2)/2)*DW117*DZ117*VLOOKUP('Données projet'!$B$14,Paramètres!$A$1:$I$89,3,0)*0.475*44/12</f>
        <v>8.737629580826108E-6</v>
      </c>
      <c r="ED117" s="22">
        <f t="shared" si="72"/>
        <v>101.26008717811868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>
        <f>EJ117*VLOOKUP('Données projet'!$B$15,Paramètres!$A$1:$I$89,3,0)*VLOOKUP('Données projet'!$B$15,Paramètres!$A$1:$I$89,5,0)</f>
        <v>0</v>
      </c>
      <c r="EL117" s="13" t="e">
        <f t="shared" si="99"/>
        <v>#NUM!</v>
      </c>
      <c r="EM117" s="20" t="e">
        <f t="shared" si="73"/>
        <v>#NUM!</v>
      </c>
      <c r="EN117" s="59" t="e">
        <f t="shared" si="74"/>
        <v>#NUM!</v>
      </c>
      <c r="EO117" s="59">
        <f ca="1">AVERAGE(OFFSET($EN$3,0,0,'Données projet'!$E$15+1,1))-AVERAGE(OFFSET($H$3,0,0,'Données projet'!$E$15+1,1))</f>
        <v>273.3012268683454</v>
      </c>
      <c r="EP117" s="59">
        <f t="shared" si="100"/>
        <v>254.08208375594052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53.238945986625822</v>
      </c>
      <c r="EW117" s="21">
        <f>EXP(-LN(2)/25)*EW116+(1-EXP(-LN(2)/25))/(LN(2)/25)*Calculateur!ER117*Calculateur!ET117*VLOOKUP('Données projet'!$B$15,Paramètres!$A$1:$I$89,3,0)*0.475*44/12</f>
        <v>16.143372974747919</v>
      </c>
      <c r="EX117" s="21">
        <f>EXP(-LN(2)/2)*EX116+(1-EXP(-LN(2)/2))/(LN(2)/2)*ER117*EU117*VLOOKUP('Données projet'!$B$15,Paramètres!$A$1:$I$89,3,0)*0.475*44/12</f>
        <v>1.2543509465801658E-5</v>
      </c>
      <c r="EY117" s="22">
        <f t="shared" si="75"/>
        <v>69.382331504883211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>
        <f>VLOOKUP(A118,'Données projet'!$A$35:$I$55,2,0)</f>
        <v>331</v>
      </c>
      <c r="L118" s="12">
        <f>VLOOKUP(A118,'Données projet'!$A$35:$I$55,9,0)</f>
        <v>4.8</v>
      </c>
      <c r="M118" s="12">
        <f t="array" ref="M118">INDEX(L:L,MIN(IF(ISNUMBER(L118:L314),ROW(L118:L314),"")))</f>
        <v>4.8</v>
      </c>
      <c r="N118" s="13">
        <f>IF('Données projet'!$A$36&gt;35,N117+M118-V117,IF(A118&lt;'Données projet'!$A$36,$K$205^A118,IF(A118='Données projet'!$A$36,'Données projet'!$B$36,N117+M118-V117)))</f>
        <v>330.99999999999989</v>
      </c>
      <c r="O118" s="13">
        <f>N118*VLOOKUP('Données projet'!$B$9,Paramètres!$A$1:$I$89,3,0)*VLOOKUP('Données projet'!$B$9,Paramètres!$A$1:$I$89,5,0)</f>
        <v>299.48879999999991</v>
      </c>
      <c r="P118" s="13">
        <f t="shared" si="87"/>
        <v>71.069285685467293</v>
      </c>
      <c r="Q118" s="20">
        <f t="shared" si="107"/>
        <v>645.38866590218868</v>
      </c>
      <c r="R118" s="59">
        <f t="shared" si="55"/>
        <v>938.72199923552193</v>
      </c>
      <c r="S118" s="59">
        <f ca="1">AVERAGE(OFFSET($R$3,0,0,'Données projet'!$E$9+1,1))-AVERAGE(OFFSET($H$3,0,0,'Données projet'!$E$9+1,1))</f>
        <v>453.52760163325451</v>
      </c>
      <c r="T118" s="59">
        <f t="shared" si="88"/>
        <v>344.23959526427001</v>
      </c>
      <c r="U118" s="15">
        <f>IF(ISNA(VLOOKUP(A118,'Données projet'!$A$35:$I$55,3,0)),0,VLOOKUP(A118,'Données projet'!$A$35:$I$55,3,0))</f>
        <v>20</v>
      </c>
      <c r="V118" s="15">
        <f>IF(ISNA(VLOOKUP(A118,'Données projet'!$A$35:$I$55,4,0)),0,VLOOKUP(A118,'Données projet'!$A$35:$I$55,4,0))</f>
        <v>24</v>
      </c>
      <c r="W118" s="16">
        <f>IF(ISNA(VLOOKUP(A118,'Données projet'!$A$35:$I$55,5,0)),0%,VLOOKUP(A118,'Données projet'!$A$35:$I$55,5,0)*VLOOKUP('Données projet'!$B$9,Paramètres!$A$1:$I$89,7,0))</f>
        <v>0.34400000000000003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61.31961384696514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61.31961384696514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-1.1368683772161603E-13</v>
      </c>
      <c r="AJ118" s="13">
        <f>AI118*VLOOKUP('Données projet'!$B$10,Paramètres!$A$1:$I$89,3,0)*VLOOKUP('Données projet'!$B$10,Paramètres!$A$1:$I$89,5,0)</f>
        <v>-9.7543306765146564E-14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397.45670821030774</v>
      </c>
      <c r="AO118" s="59">
        <f t="shared" si="90"/>
        <v>256.77417912163997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153.59047513066994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153.59047513066994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293.20194140252903</v>
      </c>
      <c r="BJ118" s="59">
        <f t="shared" si="92"/>
        <v>280.69048279989266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39.76474195571619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39.76474195571619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-1.1368683772161603E-13</v>
      </c>
      <c r="BZ118" s="13">
        <f>BY118*VLOOKUP('Données projet'!$B$12,Paramètres!$A$1:$I$89,3,0)*VLOOKUP('Données projet'!$B$12,Paramètres!$A$1:$I$89,5,0)</f>
        <v>-9.0449248091317723E-14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271.25628946149067</v>
      </c>
      <c r="CE118" s="59">
        <f t="shared" si="94"/>
        <v>292.57799203101769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50.9131309333875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50.9131309333875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5.6843418860808015E-14</v>
      </c>
      <c r="CU118" s="17">
        <f>CT118*VLOOKUP('Données projet'!$B$13,Paramètres!$A$1:$I$89,3,0)*VLOOKUP('Données projet'!$B$13,Paramètres!$A$1:$I$89,5,0)</f>
        <v>3.1036506698001178E-14</v>
      </c>
      <c r="CV118" s="13">
        <f t="shared" si="95"/>
        <v>5.3428243983771088E-13</v>
      </c>
      <c r="CW118" s="20">
        <f t="shared" si="67"/>
        <v>9.8459716521636505E-13</v>
      </c>
      <c r="CX118" s="59">
        <f t="shared" si="68"/>
        <v>293.33333333333428</v>
      </c>
      <c r="CY118" s="59">
        <f ca="1">AVERAGE(OFFSET($CX$3,0,0,'Données projet'!$E$13+1,1))-AVERAGE(OFFSET($H$3,0,0,'Données projet'!$E$13+1,1))</f>
        <v>210.03861149060413</v>
      </c>
      <c r="CZ118" s="59">
        <f t="shared" si="96"/>
        <v>298.74602928001929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30.473827040909672</v>
      </c>
      <c r="DG118" s="21">
        <f>EXP(-LN(2)/25)*DG117+(1-EXP(-LN(2)/25))/(LN(2)/25)*Calculateur!DB118*Calculateur!DD118*VLOOKUP('Données projet'!$B$13,Paramètres!$A$1:$I$89,3,0)*0.475*44/12</f>
        <v>9.2298818125617714</v>
      </c>
      <c r="DH118" s="21">
        <f>EXP(-LN(2)/2)*DH117+(1-EXP(-LN(2)/2))/(LN(2)/2)*DB118*DE118*VLOOKUP('Données projet'!$B$13,Paramètres!$A$1:$I$89,3,0)*0.475*44/12</f>
        <v>5.9445242583173277E-9</v>
      </c>
      <c r="DI118" s="22">
        <f t="shared" si="69"/>
        <v>39.703708859415961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-3.4106051316484809E-13</v>
      </c>
      <c r="DP118" s="17">
        <f>DO118*VLOOKUP('Données projet'!$B$14,Paramètres!$A$1:$I$89,3,0)*VLOOKUP('Données projet'!$B$14,Paramètres!$A$1:$I$89,5,0)</f>
        <v>-2.0395418687257919E-13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402.28353929315114</v>
      </c>
      <c r="DU118" s="59">
        <f t="shared" si="98"/>
        <v>376.94419168335463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85.159125663801959</v>
      </c>
      <c r="EB118" s="21">
        <f>EXP(-LN(2)/25)*EB117+(1-EXP(-LN(2)/25))/(LN(2)/25)*Calculateur!DW118*Calculateur!DY118*VLOOKUP('Données projet'!$B$14,Paramètres!$A$1:$I$89,3,0)*0.475*44/12</f>
        <v>14.003929169338342</v>
      </c>
      <c r="EC118" s="21">
        <f>EXP(-LN(2)/2)*EC117+(1-EXP(-LN(2)/2))/(LN(2)/2)*DW118*DZ118*VLOOKUP('Données projet'!$B$14,Paramètres!$A$1:$I$89,3,0)*0.475*44/12</f>
        <v>6.1784371280983117E-6</v>
      </c>
      <c r="ED118" s="22">
        <f t="shared" si="72"/>
        <v>99.16306101157744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>
        <f>EJ118*VLOOKUP('Données projet'!$B$15,Paramètres!$A$1:$I$89,3,0)*VLOOKUP('Données projet'!$B$15,Paramètres!$A$1:$I$89,5,0)</f>
        <v>0</v>
      </c>
      <c r="EL118" s="13" t="e">
        <f t="shared" si="99"/>
        <v>#NUM!</v>
      </c>
      <c r="EM118" s="20" t="e">
        <f t="shared" si="73"/>
        <v>#NUM!</v>
      </c>
      <c r="EN118" s="59" t="e">
        <f t="shared" si="74"/>
        <v>#NUM!</v>
      </c>
      <c r="EO118" s="59">
        <f ca="1">AVERAGE(OFFSET($EN$3,0,0,'Données projet'!$E$15+1,1))-AVERAGE(OFFSET($H$3,0,0,'Données projet'!$E$15+1,1))</f>
        <v>273.3012268683454</v>
      </c>
      <c r="EP118" s="59">
        <f t="shared" si="100"/>
        <v>254.08208375594052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52.194962728378741</v>
      </c>
      <c r="EW118" s="21">
        <f>EXP(-LN(2)/25)*EW117+(1-EXP(-LN(2)/25))/(LN(2)/25)*Calculateur!ER118*Calculateur!ET118*VLOOKUP('Données projet'!$B$15,Paramètres!$A$1:$I$89,3,0)*0.475*44/12</f>
        <v>15.701931591810348</v>
      </c>
      <c r="EX118" s="21">
        <f>EXP(-LN(2)/2)*EX117+(1-EXP(-LN(2)/2))/(LN(2)/2)*ER118*EU118*VLOOKUP('Données projet'!$B$15,Paramètres!$A$1:$I$89,3,0)*0.475*44/12</f>
        <v>8.8696006031460009E-6</v>
      </c>
      <c r="EY118" s="22">
        <f t="shared" si="75"/>
        <v>67.896903189789697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4.2</v>
      </c>
      <c r="N119" s="13">
        <f>IF('Données projet'!$A$36&gt;35,N118+M119-V118,IF(A119&lt;'Données projet'!$A$36,$K$205^A119,IF(A119='Données projet'!$A$36,'Données projet'!$B$36,N118+M119-V118)))</f>
        <v>311.19999999999987</v>
      </c>
      <c r="O119" s="13">
        <f>N119*VLOOKUP('Données projet'!$B$9,Paramètres!$A$1:$I$89,3,0)*VLOOKUP('Données projet'!$B$9,Paramètres!$A$1:$I$89,5,0)</f>
        <v>281.57375999999988</v>
      </c>
      <c r="P119" s="13">
        <f t="shared" si="87"/>
        <v>67.299481043334993</v>
      </c>
      <c r="Q119" s="20">
        <f t="shared" si="107"/>
        <v>607.62089481714156</v>
      </c>
      <c r="R119" s="59">
        <f t="shared" si="55"/>
        <v>900.95422815047482</v>
      </c>
      <c r="S119" s="59">
        <f ca="1">AVERAGE(OFFSET($R$3,0,0,'Données projet'!$E$9+1,1))-AVERAGE(OFFSET($H$3,0,0,'Données projet'!$E$9+1,1))</f>
        <v>453.52760163325451</v>
      </c>
      <c r="T119" s="59">
        <f t="shared" si="88"/>
        <v>344.23959526427001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60.117173620697528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60.117173620697528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-1.1368683772161603E-13</v>
      </c>
      <c r="AJ119" s="13">
        <f>AI119*VLOOKUP('Données projet'!$B$10,Paramètres!$A$1:$I$89,3,0)*VLOOKUP('Données projet'!$B$10,Paramètres!$A$1:$I$89,5,0)</f>
        <v>-9.7543306765146564E-14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397.45670821030774</v>
      </c>
      <c r="AO119" s="59">
        <f t="shared" si="90"/>
        <v>256.77417912163997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150.57865959429711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150.57865959429711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293.20194140252903</v>
      </c>
      <c r="BJ119" s="59">
        <f t="shared" si="92"/>
        <v>280.69048279989266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38.984979620062298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38.984979620062298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-1.1368683772161603E-13</v>
      </c>
      <c r="BZ119" s="13">
        <f>BY119*VLOOKUP('Données projet'!$B$12,Paramètres!$A$1:$I$89,3,0)*VLOOKUP('Données projet'!$B$12,Paramètres!$A$1:$I$89,5,0)</f>
        <v>-9.0449248091317723E-14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271.25628946149067</v>
      </c>
      <c r="CE119" s="59">
        <f t="shared" si="94"/>
        <v>292.57799203101769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49.91475548972732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49.91475548972732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5.6843418860808015E-14</v>
      </c>
      <c r="CU119" s="17">
        <f>CT119*VLOOKUP('Données projet'!$B$13,Paramètres!$A$1:$I$89,3,0)*VLOOKUP('Données projet'!$B$13,Paramètres!$A$1:$I$89,5,0)</f>
        <v>3.1036506698001178E-14</v>
      </c>
      <c r="CV119" s="13">
        <f t="shared" si="95"/>
        <v>5.3428243983771088E-13</v>
      </c>
      <c r="CW119" s="20">
        <f t="shared" si="67"/>
        <v>9.8459716521636505E-13</v>
      </c>
      <c r="CX119" s="59">
        <f t="shared" si="68"/>
        <v>293.33333333333428</v>
      </c>
      <c r="CY119" s="59">
        <f ca="1">AVERAGE(OFFSET($CX$3,0,0,'Données projet'!$E$13+1,1))-AVERAGE(OFFSET($H$3,0,0,'Données projet'!$E$13+1,1))</f>
        <v>210.03861149060413</v>
      </c>
      <c r="CZ119" s="59">
        <f t="shared" si="96"/>
        <v>298.74602928001929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29.876253879836597</v>
      </c>
      <c r="DG119" s="21">
        <f>EXP(-LN(2)/25)*DG118+(1-EXP(-LN(2)/25))/(LN(2)/25)*Calculateur!DB119*Calculateur!DD119*VLOOKUP('Données projet'!$B$13,Paramètres!$A$1:$I$89,3,0)*0.475*44/12</f>
        <v>8.97749020901888</v>
      </c>
      <c r="DH119" s="21">
        <f>EXP(-LN(2)/2)*DH118+(1-EXP(-LN(2)/2))/(LN(2)/2)*DB119*DE119*VLOOKUP('Données projet'!$B$13,Paramètres!$A$1:$I$89,3,0)*0.475*44/12</f>
        <v>4.2034134139841143E-9</v>
      </c>
      <c r="DI119" s="22">
        <f t="shared" si="69"/>
        <v>38.853744093058893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-3.4106051316484809E-13</v>
      </c>
      <c r="DP119" s="17">
        <f>DO119*VLOOKUP('Données projet'!$B$14,Paramètres!$A$1:$I$89,3,0)*VLOOKUP('Données projet'!$B$14,Paramètres!$A$1:$I$89,5,0)</f>
        <v>-2.0395418687257919E-13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402.28353929315114</v>
      </c>
      <c r="DU119" s="59">
        <f t="shared" si="98"/>
        <v>376.94419168335463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83.489207151472613</v>
      </c>
      <c r="EB119" s="21">
        <f>EXP(-LN(2)/25)*EB118+(1-EXP(-LN(2)/25))/(LN(2)/25)*Calculateur!DW119*Calculateur!DY119*VLOOKUP('Données projet'!$B$14,Paramètres!$A$1:$I$89,3,0)*0.475*44/12</f>
        <v>13.620990989768156</v>
      </c>
      <c r="EC119" s="21">
        <f>EXP(-LN(2)/2)*EC118+(1-EXP(-LN(2)/2))/(LN(2)/2)*DW119*DZ119*VLOOKUP('Données projet'!$B$14,Paramètres!$A$1:$I$89,3,0)*0.475*44/12</f>
        <v>4.368814790413054E-6</v>
      </c>
      <c r="ED119" s="22">
        <f t="shared" si="72"/>
        <v>97.110202510055558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>
        <f>EJ119*VLOOKUP('Données projet'!$B$15,Paramètres!$A$1:$I$89,3,0)*VLOOKUP('Données projet'!$B$15,Paramètres!$A$1:$I$89,5,0)</f>
        <v>0</v>
      </c>
      <c r="EL119" s="13" t="e">
        <f t="shared" si="99"/>
        <v>#NUM!</v>
      </c>
      <c r="EM119" s="20" t="e">
        <f t="shared" si="73"/>
        <v>#NUM!</v>
      </c>
      <c r="EN119" s="59" t="e">
        <f t="shared" si="74"/>
        <v>#NUM!</v>
      </c>
      <c r="EO119" s="59">
        <f ca="1">AVERAGE(OFFSET($EN$3,0,0,'Données projet'!$E$15+1,1))-AVERAGE(OFFSET($H$3,0,0,'Données projet'!$E$15+1,1))</f>
        <v>273.3012268683454</v>
      </c>
      <c r="EP119" s="59">
        <f t="shared" si="100"/>
        <v>254.08208375594052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51.171451345058976</v>
      </c>
      <c r="EW119" s="21">
        <f>EXP(-LN(2)/25)*EW118+(1-EXP(-LN(2)/25))/(LN(2)/25)*Calculateur!ER119*Calculateur!ET119*VLOOKUP('Données projet'!$B$15,Paramètres!$A$1:$I$89,3,0)*0.475*44/12</f>
        <v>15.2725614467036</v>
      </c>
      <c r="EX119" s="21">
        <f>EXP(-LN(2)/2)*EX118+(1-EXP(-LN(2)/2))/(LN(2)/2)*ER119*EU119*VLOOKUP('Données projet'!$B$15,Paramètres!$A$1:$I$89,3,0)*0.475*44/12</f>
        <v>6.2717547329008292E-6</v>
      </c>
      <c r="EY119" s="22">
        <f t="shared" si="75"/>
        <v>66.444019063517302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4.2</v>
      </c>
      <c r="N120" s="13">
        <f>IF('Données projet'!$A$36&gt;35,N119+M120-V119,IF(A120&lt;'Données projet'!$A$36,$K$205^A120,IF(A120='Données projet'!$A$36,'Données projet'!$B$36,N119+M120-V119)))</f>
        <v>315.39999999999986</v>
      </c>
      <c r="O120" s="13">
        <f>N120*VLOOKUP('Données projet'!$B$9,Paramètres!$A$1:$I$89,3,0)*VLOOKUP('Données projet'!$B$9,Paramètres!$A$1:$I$89,5,0)</f>
        <v>285.37391999999988</v>
      </c>
      <c r="P120" s="13">
        <f t="shared" si="87"/>
        <v>68.101413083167643</v>
      </c>
      <c r="Q120" s="20">
        <f t="shared" si="107"/>
        <v>615.63620511985016</v>
      </c>
      <c r="R120" s="59">
        <f t="shared" si="55"/>
        <v>908.96953845318353</v>
      </c>
      <c r="S120" s="59">
        <f ca="1">AVERAGE(OFFSET($R$3,0,0,'Données projet'!$E$9+1,1))-AVERAGE(OFFSET($H$3,0,0,'Données projet'!$E$9+1,1))</f>
        <v>453.52760163325451</v>
      </c>
      <c r="T120" s="59">
        <f t="shared" si="88"/>
        <v>344.23959526427001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58.93831251385091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58.93831251385091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-1.1368683772161603E-13</v>
      </c>
      <c r="AJ120" s="13">
        <f>AI120*VLOOKUP('Données projet'!$B$10,Paramètres!$A$1:$I$89,3,0)*VLOOKUP('Données projet'!$B$10,Paramètres!$A$1:$I$89,5,0)</f>
        <v>-9.7543306765146564E-14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397.45670821030774</v>
      </c>
      <c r="AO120" s="59">
        <f t="shared" si="90"/>
        <v>256.77417912163997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147.62590392356645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147.62590392356645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293.20194140252903</v>
      </c>
      <c r="BJ120" s="59">
        <f t="shared" si="92"/>
        <v>280.69048279989266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38.22050794820251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38.22050794820251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-1.1368683772161603E-13</v>
      </c>
      <c r="BZ120" s="13">
        <f>BY120*VLOOKUP('Données projet'!$B$12,Paramètres!$A$1:$I$89,3,0)*VLOOKUP('Données projet'!$B$12,Paramètres!$A$1:$I$89,5,0)</f>
        <v>-9.0449248091317723E-14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271.25628946149067</v>
      </c>
      <c r="CE120" s="59">
        <f t="shared" si="94"/>
        <v>292.57799203101769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48.935957579568424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48.935957579568424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5.6843418860808015E-14</v>
      </c>
      <c r="CU120" s="17">
        <f>CT120*VLOOKUP('Données projet'!$B$13,Paramètres!$A$1:$I$89,3,0)*VLOOKUP('Données projet'!$B$13,Paramètres!$A$1:$I$89,5,0)</f>
        <v>3.1036506698001178E-14</v>
      </c>
      <c r="CV120" s="13">
        <f t="shared" si="95"/>
        <v>5.3428243983771088E-13</v>
      </c>
      <c r="CW120" s="20">
        <f t="shared" si="67"/>
        <v>9.8459716521636505E-13</v>
      </c>
      <c r="CX120" s="59">
        <f t="shared" si="68"/>
        <v>293.33333333333428</v>
      </c>
      <c r="CY120" s="59">
        <f ca="1">AVERAGE(OFFSET($CX$3,0,0,'Données projet'!$E$13+1,1))-AVERAGE(OFFSET($H$3,0,0,'Données projet'!$E$13+1,1))</f>
        <v>210.03861149060413</v>
      </c>
      <c r="CZ120" s="59">
        <f t="shared" si="96"/>
        <v>298.74602928001929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29.290398763968525</v>
      </c>
      <c r="DG120" s="21">
        <f>EXP(-LN(2)/25)*DG119+(1-EXP(-LN(2)/25))/(LN(2)/25)*Calculateur!DB120*Calculateur!DD120*VLOOKUP('Données projet'!$B$13,Paramètres!$A$1:$I$89,3,0)*0.475*44/12</f>
        <v>8.7320002671475674</v>
      </c>
      <c r="DH120" s="21">
        <f>EXP(-LN(2)/2)*DH119+(1-EXP(-LN(2)/2))/(LN(2)/2)*DB120*DE120*VLOOKUP('Données projet'!$B$13,Paramètres!$A$1:$I$89,3,0)*0.475*44/12</f>
        <v>2.9722621291586639E-9</v>
      </c>
      <c r="DI120" s="22">
        <f t="shared" si="69"/>
        <v>38.022399034088359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-3.4106051316484809E-13</v>
      </c>
      <c r="DP120" s="17">
        <f>DO120*VLOOKUP('Données projet'!$B$14,Paramètres!$A$1:$I$89,3,0)*VLOOKUP('Données projet'!$B$14,Paramètres!$A$1:$I$89,5,0)</f>
        <v>-2.0395418687257919E-13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402.28353929315114</v>
      </c>
      <c r="DU120" s="59">
        <f t="shared" si="98"/>
        <v>376.94419168335463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81.852034722620331</v>
      </c>
      <c r="EB120" s="21">
        <f>EXP(-LN(2)/25)*EB119+(1-EXP(-LN(2)/25))/(LN(2)/25)*Calculateur!DW120*Calculateur!DY120*VLOOKUP('Données projet'!$B$14,Paramètres!$A$1:$I$89,3,0)*0.475*44/12</f>
        <v>13.248524274856161</v>
      </c>
      <c r="EC120" s="21">
        <f>EXP(-LN(2)/2)*EC119+(1-EXP(-LN(2)/2))/(LN(2)/2)*DW120*DZ120*VLOOKUP('Données projet'!$B$14,Paramètres!$A$1:$I$89,3,0)*0.475*44/12</f>
        <v>3.0892185640491559E-6</v>
      </c>
      <c r="ED120" s="22">
        <f t="shared" si="72"/>
        <v>95.100562086695064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>
        <f>EJ120*VLOOKUP('Données projet'!$B$15,Paramètres!$A$1:$I$89,3,0)*VLOOKUP('Données projet'!$B$15,Paramètres!$A$1:$I$89,5,0)</f>
        <v>0</v>
      </c>
      <c r="EL120" s="13" t="e">
        <f t="shared" si="99"/>
        <v>#NUM!</v>
      </c>
      <c r="EM120" s="20" t="e">
        <f t="shared" si="73"/>
        <v>#NUM!</v>
      </c>
      <c r="EN120" s="59" t="e">
        <f t="shared" si="74"/>
        <v>#NUM!</v>
      </c>
      <c r="EO120" s="59">
        <f ca="1">AVERAGE(OFFSET($EN$3,0,0,'Données projet'!$E$15+1,1))-AVERAGE(OFFSET($H$3,0,0,'Données projet'!$E$15+1,1))</f>
        <v>273.3012268683454</v>
      </c>
      <c r="EP120" s="59">
        <f t="shared" si="100"/>
        <v>254.08208375594052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50.168010395685812</v>
      </c>
      <c r="EW120" s="21">
        <f>EXP(-LN(2)/25)*EW119+(1-EXP(-LN(2)/25))/(LN(2)/25)*Calculateur!ER120*Calculateur!ET120*VLOOKUP('Données projet'!$B$15,Paramètres!$A$1:$I$89,3,0)*0.475*44/12</f>
        <v>14.85493245079439</v>
      </c>
      <c r="EX120" s="21">
        <f>EXP(-LN(2)/2)*EX119+(1-EXP(-LN(2)/2))/(LN(2)/2)*ER120*EU120*VLOOKUP('Données projet'!$B$15,Paramètres!$A$1:$I$89,3,0)*0.475*44/12</f>
        <v>4.4348003015730004E-6</v>
      </c>
      <c r="EY120" s="22">
        <f t="shared" si="75"/>
        <v>65.022947281280508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4.2</v>
      </c>
      <c r="N121" s="13">
        <f>IF('Données projet'!$A$36&gt;35,N120+M121-V120,IF(A121&lt;'Données projet'!$A$36,$K$205^A121,IF(A121='Données projet'!$A$36,'Données projet'!$B$36,N120+M121-V120)))</f>
        <v>319.59999999999985</v>
      </c>
      <c r="O121" s="13">
        <f>N121*VLOOKUP('Données projet'!$B$9,Paramètres!$A$1:$I$89,3,0)*VLOOKUP('Données projet'!$B$9,Paramètres!$A$1:$I$89,5,0)</f>
        <v>289.17407999999989</v>
      </c>
      <c r="P121" s="13">
        <f t="shared" si="87"/>
        <v>68.902103026957676</v>
      </c>
      <c r="Q121" s="20">
        <f t="shared" si="107"/>
        <v>623.64935210528438</v>
      </c>
      <c r="R121" s="59">
        <f t="shared" si="55"/>
        <v>916.98268543861764</v>
      </c>
      <c r="S121" s="59">
        <f ca="1">AVERAGE(OFFSET($R$3,0,0,'Données projet'!$E$9+1,1))-AVERAGE(OFFSET($H$3,0,0,'Données projet'!$E$9+1,1))</f>
        <v>453.52760163325451</v>
      </c>
      <c r="T121" s="59">
        <f t="shared" si="88"/>
        <v>344.23959526427001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57.782568154275275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57.782568154275275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-1.1368683772161603E-13</v>
      </c>
      <c r="AJ121" s="13">
        <f>AI121*VLOOKUP('Données projet'!$B$10,Paramètres!$A$1:$I$89,3,0)*VLOOKUP('Données projet'!$B$10,Paramètres!$A$1:$I$89,5,0)</f>
        <v>-9.7543306765146564E-14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397.45670821030774</v>
      </c>
      <c r="AO121" s="59">
        <f t="shared" si="90"/>
        <v>256.77417912163997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144.73104999053572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144.73104999053572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293.20194140252903</v>
      </c>
      <c r="BJ121" s="59">
        <f t="shared" si="92"/>
        <v>280.69048279989266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37.47102709954622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37.47102709954622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-1.1368683772161603E-13</v>
      </c>
      <c r="BZ121" s="13">
        <f>BY121*VLOOKUP('Données projet'!$B$12,Paramètres!$A$1:$I$89,3,0)*VLOOKUP('Données projet'!$B$12,Paramètres!$A$1:$I$89,5,0)</f>
        <v>-9.0449248091317723E-14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271.25628946149067</v>
      </c>
      <c r="CE121" s="59">
        <f t="shared" si="94"/>
        <v>292.57799203101769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47.976353299419969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47.976353299419969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5.6843418860808015E-14</v>
      </c>
      <c r="CU121" s="17">
        <f>CT121*VLOOKUP('Données projet'!$B$13,Paramètres!$A$1:$I$89,3,0)*VLOOKUP('Données projet'!$B$13,Paramètres!$A$1:$I$89,5,0)</f>
        <v>3.1036506698001178E-14</v>
      </c>
      <c r="CV121" s="13">
        <f t="shared" si="95"/>
        <v>5.3428243983771088E-13</v>
      </c>
      <c r="CW121" s="20">
        <f t="shared" si="67"/>
        <v>9.8459716521636505E-13</v>
      </c>
      <c r="CX121" s="59">
        <f t="shared" si="68"/>
        <v>293.33333333333428</v>
      </c>
      <c r="CY121" s="59">
        <f ca="1">AVERAGE(OFFSET($CX$3,0,0,'Données projet'!$E$13+1,1))-AVERAGE(OFFSET($H$3,0,0,'Données projet'!$E$13+1,1))</f>
        <v>210.03861149060413</v>
      </c>
      <c r="CZ121" s="59">
        <f t="shared" si="96"/>
        <v>298.74602928001929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28.716031909586288</v>
      </c>
      <c r="DG121" s="21">
        <f>EXP(-LN(2)/25)*DG120+(1-EXP(-LN(2)/25))/(LN(2)/25)*Calculateur!DB121*Calculateur!DD121*VLOOKUP('Données projet'!$B$13,Paramètres!$A$1:$I$89,3,0)*0.475*44/12</f>
        <v>8.4932232606464808</v>
      </c>
      <c r="DH121" s="21">
        <f>EXP(-LN(2)/2)*DH120+(1-EXP(-LN(2)/2))/(LN(2)/2)*DB121*DE121*VLOOKUP('Données projet'!$B$13,Paramètres!$A$1:$I$89,3,0)*0.475*44/12</f>
        <v>2.1017067069920572E-9</v>
      </c>
      <c r="DI121" s="22">
        <f t="shared" si="69"/>
        <v>37.209255172334473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-3.4106051316484809E-13</v>
      </c>
      <c r="DP121" s="17">
        <f>DO121*VLOOKUP('Données projet'!$B$14,Paramètres!$A$1:$I$89,3,0)*VLOOKUP('Données projet'!$B$14,Paramètres!$A$1:$I$89,5,0)</f>
        <v>-2.0395418687257919E-13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402.28353929315114</v>
      </c>
      <c r="DU121" s="59">
        <f t="shared" si="98"/>
        <v>376.94419168335463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80.246966246521268</v>
      </c>
      <c r="EB121" s="21">
        <f>EXP(-LN(2)/25)*EB120+(1-EXP(-LN(2)/25))/(LN(2)/25)*Calculateur!DW121*Calculateur!DY121*VLOOKUP('Données projet'!$B$14,Paramètres!$A$1:$I$89,3,0)*0.475*44/12</f>
        <v>12.886242681850607</v>
      </c>
      <c r="EC121" s="21">
        <f>EXP(-LN(2)/2)*EC120+(1-EXP(-LN(2)/2))/(LN(2)/2)*DW121*DZ121*VLOOKUP('Données projet'!$B$14,Paramètres!$A$1:$I$89,3,0)*0.475*44/12</f>
        <v>2.184407395206527E-6</v>
      </c>
      <c r="ED121" s="22">
        <f t="shared" si="72"/>
        <v>93.133211112779264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>
        <f>EJ121*VLOOKUP('Données projet'!$B$15,Paramètres!$A$1:$I$89,3,0)*VLOOKUP('Données projet'!$B$15,Paramètres!$A$1:$I$89,5,0)</f>
        <v>0</v>
      </c>
      <c r="EL121" s="13" t="e">
        <f t="shared" si="99"/>
        <v>#NUM!</v>
      </c>
      <c r="EM121" s="20" t="e">
        <f t="shared" si="73"/>
        <v>#NUM!</v>
      </c>
      <c r="EN121" s="59" t="e">
        <f t="shared" si="74"/>
        <v>#NUM!</v>
      </c>
      <c r="EO121" s="59">
        <f ca="1">AVERAGE(OFFSET($EN$3,0,0,'Données projet'!$E$15+1,1))-AVERAGE(OFFSET($H$3,0,0,'Données projet'!$E$15+1,1))</f>
        <v>273.3012268683454</v>
      </c>
      <c r="EP121" s="59">
        <f t="shared" si="100"/>
        <v>254.08208375594052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49.184246311291311</v>
      </c>
      <c r="EW121" s="21">
        <f>EXP(-LN(2)/25)*EW120+(1-EXP(-LN(2)/25))/(LN(2)/25)*Calculateur!ER121*Calculateur!ET121*VLOOKUP('Données projet'!$B$15,Paramètres!$A$1:$I$89,3,0)*0.475*44/12</f>
        <v>14.44872354174047</v>
      </c>
      <c r="EX121" s="21">
        <f>EXP(-LN(2)/2)*EX120+(1-EXP(-LN(2)/2))/(LN(2)/2)*ER121*EU121*VLOOKUP('Données projet'!$B$15,Paramètres!$A$1:$I$89,3,0)*0.475*44/12</f>
        <v>3.1358773664504146E-6</v>
      </c>
      <c r="EY121" s="22">
        <f t="shared" si="75"/>
        <v>63.632972988909145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4.2</v>
      </c>
      <c r="N122" s="13">
        <f>IF('Données projet'!$A$36&gt;35,N121+M122-V121,IF(A122&lt;'Données projet'!$A$36,$K$205^A122,IF(A122='Données projet'!$A$36,'Données projet'!$B$36,N121+M122-V121)))</f>
        <v>323.79999999999984</v>
      </c>
      <c r="O122" s="13">
        <f>N122*VLOOKUP('Données projet'!$B$9,Paramètres!$A$1:$I$89,3,0)*VLOOKUP('Données projet'!$B$9,Paramètres!$A$1:$I$89,5,0)</f>
        <v>292.97423999999984</v>
      </c>
      <c r="P122" s="13">
        <f t="shared" si="87"/>
        <v>69.70156908473075</v>
      </c>
      <c r="Q122" s="20">
        <f t="shared" si="107"/>
        <v>631.66036748923909</v>
      </c>
      <c r="R122" s="59">
        <f t="shared" si="55"/>
        <v>924.99370082257246</v>
      </c>
      <c r="S122" s="59">
        <f ca="1">AVERAGE(OFFSET($R$3,0,0,'Données projet'!$E$9+1,1))-AVERAGE(OFFSET($H$3,0,0,'Données projet'!$E$9+1,1))</f>
        <v>453.52760163325451</v>
      </c>
      <c r="T122" s="59">
        <f t="shared" si="88"/>
        <v>344.23959526427001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56.649487236656469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56.649487236656469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-1.1368683772161603E-13</v>
      </c>
      <c r="AJ122" s="13">
        <f>AI122*VLOOKUP('Données projet'!$B$10,Paramètres!$A$1:$I$89,3,0)*VLOOKUP('Données projet'!$B$10,Paramètres!$A$1:$I$89,5,0)</f>
        <v>-9.7543306765146564E-14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397.45670821030774</v>
      </c>
      <c r="AO122" s="59">
        <f t="shared" si="90"/>
        <v>256.77417912163997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141.89296237744517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141.89296237744517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293.20194140252903</v>
      </c>
      <c r="BJ122" s="59">
        <f t="shared" si="92"/>
        <v>280.69048279989266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36.7362431131939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36.7362431131939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-1.1368683772161603E-13</v>
      </c>
      <c r="BZ122" s="13">
        <f>BY122*VLOOKUP('Données projet'!$B$12,Paramètres!$A$1:$I$89,3,0)*VLOOKUP('Données projet'!$B$12,Paramètres!$A$1:$I$89,5,0)</f>
        <v>-9.0449248091317723E-14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271.25628946149067</v>
      </c>
      <c r="CE122" s="59">
        <f t="shared" si="94"/>
        <v>292.57799203101769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47.035566273904408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47.035566273904408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5.6843418860808015E-14</v>
      </c>
      <c r="CU122" s="17">
        <f>CT122*VLOOKUP('Données projet'!$B$13,Paramètres!$A$1:$I$89,3,0)*VLOOKUP('Données projet'!$B$13,Paramètres!$A$1:$I$89,5,0)</f>
        <v>3.1036506698001178E-14</v>
      </c>
      <c r="CV122" s="13">
        <f t="shared" si="95"/>
        <v>5.3428243983771088E-13</v>
      </c>
      <c r="CW122" s="20">
        <f t="shared" si="67"/>
        <v>9.8459716521636505E-13</v>
      </c>
      <c r="CX122" s="59">
        <f t="shared" si="68"/>
        <v>293.33333333333428</v>
      </c>
      <c r="CY122" s="59">
        <f ca="1">AVERAGE(OFFSET($CX$3,0,0,'Données projet'!$E$13+1,1))-AVERAGE(OFFSET($H$3,0,0,'Données projet'!$E$13+1,1))</f>
        <v>210.03861149060413</v>
      </c>
      <c r="CZ122" s="59">
        <f t="shared" si="96"/>
        <v>298.74602928001929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28.1529280388893</v>
      </c>
      <c r="DG122" s="21">
        <f>EXP(-LN(2)/25)*DG121+(1-EXP(-LN(2)/25))/(LN(2)/25)*Calculateur!DB122*Calculateur!DD122*VLOOKUP('Données projet'!$B$13,Paramètres!$A$1:$I$89,3,0)*0.475*44/12</f>
        <v>8.260975623944903</v>
      </c>
      <c r="DH122" s="21">
        <f>EXP(-LN(2)/2)*DH121+(1-EXP(-LN(2)/2))/(LN(2)/2)*DB122*DE122*VLOOKUP('Données projet'!$B$13,Paramètres!$A$1:$I$89,3,0)*0.475*44/12</f>
        <v>1.4861310645793319E-9</v>
      </c>
      <c r="DI122" s="22">
        <f t="shared" si="69"/>
        <v>36.41390366432033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-3.4106051316484809E-13</v>
      </c>
      <c r="DP122" s="17">
        <f>DO122*VLOOKUP('Données projet'!$B$14,Paramètres!$A$1:$I$89,3,0)*VLOOKUP('Données projet'!$B$14,Paramètres!$A$1:$I$89,5,0)</f>
        <v>-2.0395418687257919E-13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402.28353929315114</v>
      </c>
      <c r="DU122" s="59">
        <f t="shared" si="98"/>
        <v>376.94419168335463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78.673372184243405</v>
      </c>
      <c r="EB122" s="21">
        <f>EXP(-LN(2)/25)*EB121+(1-EXP(-LN(2)/25))/(LN(2)/25)*Calculateur!DW122*Calculateur!DY122*VLOOKUP('Données projet'!$B$14,Paramètres!$A$1:$I$89,3,0)*0.475*44/12</f>
        <v>12.533867698057351</v>
      </c>
      <c r="EC122" s="21">
        <f>EXP(-LN(2)/2)*EC121+(1-EXP(-LN(2)/2))/(LN(2)/2)*DW122*DZ122*VLOOKUP('Données projet'!$B$14,Paramètres!$A$1:$I$89,3,0)*0.475*44/12</f>
        <v>1.5446092820245779E-6</v>
      </c>
      <c r="ED122" s="22">
        <f t="shared" si="72"/>
        <v>91.207241426910031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>
        <f>EJ122*VLOOKUP('Données projet'!$B$15,Paramètres!$A$1:$I$89,3,0)*VLOOKUP('Données projet'!$B$15,Paramètres!$A$1:$I$89,5,0)</f>
        <v>0</v>
      </c>
      <c r="EL122" s="13" t="e">
        <f t="shared" si="99"/>
        <v>#NUM!</v>
      </c>
      <c r="EM122" s="20" t="e">
        <f t="shared" si="73"/>
        <v>#NUM!</v>
      </c>
      <c r="EN122" s="59" t="e">
        <f t="shared" si="74"/>
        <v>#NUM!</v>
      </c>
      <c r="EO122" s="59">
        <f ca="1">AVERAGE(OFFSET($EN$3,0,0,'Données projet'!$E$15+1,1))-AVERAGE(OFFSET($H$3,0,0,'Données projet'!$E$15+1,1))</f>
        <v>273.3012268683454</v>
      </c>
      <c r="EP122" s="59">
        <f t="shared" si="100"/>
        <v>254.08208375594052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48.219773240554943</v>
      </c>
      <c r="EW122" s="21">
        <f>EXP(-LN(2)/25)*EW121+(1-EXP(-LN(2)/25))/(LN(2)/25)*Calculateur!ER122*Calculateur!ET122*VLOOKUP('Données projet'!$B$15,Paramètres!$A$1:$I$89,3,0)*0.475*44/12</f>
        <v>14.053622436666229</v>
      </c>
      <c r="EX122" s="21">
        <f>EXP(-LN(2)/2)*EX121+(1-EXP(-LN(2)/2))/(LN(2)/2)*ER122*EU122*VLOOKUP('Données projet'!$B$15,Paramètres!$A$1:$I$89,3,0)*0.475*44/12</f>
        <v>2.2174001507865002E-6</v>
      </c>
      <c r="EY122" s="22">
        <f t="shared" si="75"/>
        <v>62.273397894621326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>
        <f>VLOOKUP(A123,'Données projet'!$A$35:$I$55,2,0)</f>
        <v>328</v>
      </c>
      <c r="L123" s="12">
        <f>VLOOKUP(A123,'Données projet'!$A$35:$I$55,9,0)</f>
        <v>4.2</v>
      </c>
      <c r="M123" s="12">
        <f t="array" ref="M123">INDEX(L:L,MIN(IF(ISNUMBER(L123:L319),ROW(L123:L319),"")))</f>
        <v>4.2</v>
      </c>
      <c r="N123" s="13">
        <f>IF('Données projet'!$A$36&gt;35,N122+M123-V122,IF(A123&lt;'Données projet'!$A$36,$K$205^A123,IF(A123='Données projet'!$A$36,'Données projet'!$B$36,N122+M123-V122)))</f>
        <v>327.99999999999983</v>
      </c>
      <c r="O123" s="13">
        <f>N123*VLOOKUP('Données projet'!$B$9,Paramètres!$A$1:$I$89,3,0)*VLOOKUP('Données projet'!$B$9,Paramètres!$A$1:$I$89,5,0)</f>
        <v>296.77439999999984</v>
      </c>
      <c r="P123" s="13">
        <f t="shared" si="87"/>
        <v>70.499828966950673</v>
      </c>
      <c r="Q123" s="20">
        <f t="shared" si="107"/>
        <v>639.6692821174388</v>
      </c>
      <c r="R123" s="59">
        <f t="shared" si="55"/>
        <v>933.00261545077205</v>
      </c>
      <c r="S123" s="59">
        <f ca="1">AVERAGE(OFFSET($R$3,0,0,'Données projet'!$E$9+1,1))-AVERAGE(OFFSET($H$3,0,0,'Données projet'!$E$9+1,1))</f>
        <v>453.52760163325451</v>
      </c>
      <c r="T123" s="59">
        <f t="shared" si="88"/>
        <v>344.23959526427001</v>
      </c>
      <c r="U123" s="15">
        <f>IF(ISNA(VLOOKUP(A123,'Données projet'!$A$35:$I$55,3,0)),0,VLOOKUP(A123,'Données projet'!$A$35:$I$55,3,0))</f>
        <v>21</v>
      </c>
      <c r="V123" s="15">
        <f>IF(ISNA(VLOOKUP(A123,'Données projet'!$A$35:$I$55,4,0)),0,VLOOKUP(A123,'Données projet'!$A$35:$I$55,4,0))</f>
        <v>328</v>
      </c>
      <c r="W123" s="16">
        <f>IF(ISNA(VLOOKUP(A123,'Données projet'!$A$35:$I$55,5,0)),0%,VLOOKUP(A123,'Données projet'!$A$35:$I$55,5,0)*VLOOKUP('Données projet'!$B$9,Paramètres!$A$1:$I$89,7,0))</f>
        <v>0.38700000000000001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182.50376977433885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182.50376977433885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-1.1368683772161603E-13</v>
      </c>
      <c r="AJ123" s="13">
        <f>AI123*VLOOKUP('Données projet'!$B$10,Paramètres!$A$1:$I$89,3,0)*VLOOKUP('Données projet'!$B$10,Paramètres!$A$1:$I$89,5,0)</f>
        <v>-9.7543306765146564E-14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397.45670821030774</v>
      </c>
      <c r="AO123" s="59">
        <f t="shared" si="90"/>
        <v>256.77417912163997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139.11052793138481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139.11052793138481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293.20194140252903</v>
      </c>
      <c r="BJ123" s="59">
        <f t="shared" si="92"/>
        <v>280.69048279989266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36.015867792639973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36.015867792639973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-1.1368683772161603E-13</v>
      </c>
      <c r="BZ123" s="13">
        <f>BY123*VLOOKUP('Données projet'!$B$12,Paramètres!$A$1:$I$89,3,0)*VLOOKUP('Données projet'!$B$12,Paramètres!$A$1:$I$89,5,0)</f>
        <v>-9.0449248091317723E-14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271.25628946149067</v>
      </c>
      <c r="CE123" s="59">
        <f t="shared" si="94"/>
        <v>292.57799203101769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46.113227508135779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46.113227508135779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5.6843418860808015E-14</v>
      </c>
      <c r="CU123" s="17">
        <f>CT123*VLOOKUP('Données projet'!$B$13,Paramètres!$A$1:$I$89,3,0)*VLOOKUP('Données projet'!$B$13,Paramètres!$A$1:$I$89,5,0)</f>
        <v>3.1036506698001178E-14</v>
      </c>
      <c r="CV123" s="13">
        <f t="shared" si="95"/>
        <v>5.3428243983771088E-13</v>
      </c>
      <c r="CW123" s="20">
        <f t="shared" si="67"/>
        <v>9.8459716521636505E-13</v>
      </c>
      <c r="CX123" s="59">
        <f t="shared" si="68"/>
        <v>293.33333333333428</v>
      </c>
      <c r="CY123" s="59">
        <f ca="1">AVERAGE(OFFSET($CX$3,0,0,'Données projet'!$E$13+1,1))-AVERAGE(OFFSET($H$3,0,0,'Données projet'!$E$13+1,1))</f>
        <v>210.03861149060413</v>
      </c>
      <c r="CZ123" s="59">
        <f t="shared" si="96"/>
        <v>298.74602928001929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27.600866291637232</v>
      </c>
      <c r="DG123" s="21">
        <f>EXP(-LN(2)/25)*DG122+(1-EXP(-LN(2)/25))/(LN(2)/25)*Calculateur!DB123*Calculateur!DD123*VLOOKUP('Données projet'!$B$13,Paramètres!$A$1:$I$89,3,0)*0.475*44/12</f>
        <v>8.0350788110823022</v>
      </c>
      <c r="DH123" s="21">
        <f>EXP(-LN(2)/2)*DH122+(1-EXP(-LN(2)/2))/(LN(2)/2)*DB123*DE123*VLOOKUP('Données projet'!$B$13,Paramètres!$A$1:$I$89,3,0)*0.475*44/12</f>
        <v>1.0508533534960286E-9</v>
      </c>
      <c r="DI123" s="22">
        <f t="shared" si="69"/>
        <v>35.635945103770382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-3.4106051316484809E-13</v>
      </c>
      <c r="DP123" s="17">
        <f>DO123*VLOOKUP('Données projet'!$B$14,Paramètres!$A$1:$I$89,3,0)*VLOOKUP('Données projet'!$B$14,Paramètres!$A$1:$I$89,5,0)</f>
        <v>-2.0395418687257919E-13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402.28353929315114</v>
      </c>
      <c r="DU123" s="59">
        <f t="shared" si="98"/>
        <v>376.94419168335463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77.130635341729203</v>
      </c>
      <c r="EB123" s="21">
        <f>EXP(-LN(2)/25)*EB122+(1-EXP(-LN(2)/25))/(LN(2)/25)*Calculateur!DW123*Calculateur!DY123*VLOOKUP('Données projet'!$B$14,Paramètres!$A$1:$I$89,3,0)*0.475*44/12</f>
        <v>12.191128426726518</v>
      </c>
      <c r="EC123" s="21">
        <f>EXP(-LN(2)/2)*EC122+(1-EXP(-LN(2)/2))/(LN(2)/2)*DW123*DZ123*VLOOKUP('Données projet'!$B$14,Paramètres!$A$1:$I$89,3,0)*0.475*44/12</f>
        <v>1.0922036976032635E-6</v>
      </c>
      <c r="ED123" s="22">
        <f t="shared" si="72"/>
        <v>89.321764860659428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>
        <f>EJ123*VLOOKUP('Données projet'!$B$15,Paramètres!$A$1:$I$89,3,0)*VLOOKUP('Données projet'!$B$15,Paramètres!$A$1:$I$89,5,0)</f>
        <v>0</v>
      </c>
      <c r="EL123" s="13" t="e">
        <f t="shared" si="99"/>
        <v>#NUM!</v>
      </c>
      <c r="EM123" s="20" t="e">
        <f t="shared" si="73"/>
        <v>#NUM!</v>
      </c>
      <c r="EN123" s="59" t="e">
        <f t="shared" si="74"/>
        <v>#NUM!</v>
      </c>
      <c r="EO123" s="59">
        <f ca="1">AVERAGE(OFFSET($EN$3,0,0,'Données projet'!$E$15+1,1))-AVERAGE(OFFSET($H$3,0,0,'Données projet'!$E$15+1,1))</f>
        <v>273.3012268683454</v>
      </c>
      <c r="EP123" s="59">
        <f t="shared" si="100"/>
        <v>254.08208375594052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47.27421289846523</v>
      </c>
      <c r="EW123" s="21">
        <f>EXP(-LN(2)/25)*EW122+(1-EXP(-LN(2)/25))/(LN(2)/25)*Calculateur!ER123*Calculateur!ET123*VLOOKUP('Données projet'!$B$15,Paramètres!$A$1:$I$89,3,0)*0.475*44/12</f>
        <v>13.669325392087707</v>
      </c>
      <c r="EX123" s="21">
        <f>EXP(-LN(2)/2)*EX122+(1-EXP(-LN(2)/2))/(LN(2)/2)*ER123*EU123*VLOOKUP('Données projet'!$B$15,Paramètres!$A$1:$I$89,3,0)*0.475*44/12</f>
        <v>1.5679386832252073E-6</v>
      </c>
      <c r="EY123" s="22">
        <f t="shared" si="75"/>
        <v>60.943539858491619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-1.7053025658242404E-13</v>
      </c>
      <c r="O124" s="13">
        <f>N124*VLOOKUP('Données projet'!$B$9,Paramètres!$A$1:$I$89,3,0)*VLOOKUP('Données projet'!$B$9,Paramètres!$A$1:$I$89,5,0)</f>
        <v>-1.5429577615577727E-13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453.52760163325451</v>
      </c>
      <c r="T124" s="59">
        <f t="shared" si="88"/>
        <v>344.23959526427001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178.92498216537206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178.92498216537206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-1.1368683772161603E-13</v>
      </c>
      <c r="AJ124" s="13">
        <f>AI124*VLOOKUP('Données projet'!$B$10,Paramètres!$A$1:$I$89,3,0)*VLOOKUP('Données projet'!$B$10,Paramètres!$A$1:$I$89,5,0)</f>
        <v>-9.7543306765146564E-14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397.45670821030774</v>
      </c>
      <c r="AO124" s="59">
        <f t="shared" si="90"/>
        <v>256.77417912163997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136.38265532769424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136.38265532769424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293.20194140252903</v>
      </c>
      <c r="BJ124" s="59">
        <f t="shared" si="92"/>
        <v>280.69048279989266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35.309618592736548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35.309618592736548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-1.1368683772161603E-13</v>
      </c>
      <c r="BZ124" s="13">
        <f>BY124*VLOOKUP('Données projet'!$B$12,Paramètres!$A$1:$I$89,3,0)*VLOOKUP('Données projet'!$B$12,Paramètres!$A$1:$I$89,5,0)</f>
        <v>-9.0449248091317723E-14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271.25628946149067</v>
      </c>
      <c r="CE124" s="59">
        <f t="shared" si="94"/>
        <v>292.57799203101769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45.208975242992778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45.208975242992778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5.6843418860808015E-14</v>
      </c>
      <c r="CU124" s="17">
        <f>CT124*VLOOKUP('Données projet'!$B$13,Paramètres!$A$1:$I$89,3,0)*VLOOKUP('Données projet'!$B$13,Paramètres!$A$1:$I$89,5,0)</f>
        <v>3.1036506698001178E-14</v>
      </c>
      <c r="CV124" s="13">
        <f t="shared" si="95"/>
        <v>5.3428243983771088E-13</v>
      </c>
      <c r="CW124" s="20">
        <f t="shared" si="67"/>
        <v>9.8459716521636505E-13</v>
      </c>
      <c r="CX124" s="59">
        <f t="shared" si="68"/>
        <v>293.33333333333428</v>
      </c>
      <c r="CY124" s="59">
        <f ca="1">AVERAGE(OFFSET($CX$3,0,0,'Données projet'!$E$13+1,1))-AVERAGE(OFFSET($H$3,0,0,'Données projet'!$E$13+1,1))</f>
        <v>210.03861149060413</v>
      </c>
      <c r="CZ124" s="59">
        <f t="shared" si="96"/>
        <v>298.74602928001929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27.059630138524359</v>
      </c>
      <c r="DG124" s="21">
        <f>EXP(-LN(2)/25)*DG123+(1-EXP(-LN(2)/25))/(LN(2)/25)*Calculateur!DB124*Calculateur!DD124*VLOOKUP('Données projet'!$B$13,Paramètres!$A$1:$I$89,3,0)*0.475*44/12</f>
        <v>7.8153591584468263</v>
      </c>
      <c r="DH124" s="21">
        <f>EXP(-LN(2)/2)*DH123+(1-EXP(-LN(2)/2))/(LN(2)/2)*DB124*DE124*VLOOKUP('Données projet'!$B$13,Paramètres!$A$1:$I$89,3,0)*0.475*44/12</f>
        <v>7.4306553228966596E-10</v>
      </c>
      <c r="DI124" s="22">
        <f t="shared" si="69"/>
        <v>34.874989297714251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-3.4106051316484809E-13</v>
      </c>
      <c r="DP124" s="17">
        <f>DO124*VLOOKUP('Données projet'!$B$14,Paramètres!$A$1:$I$89,3,0)*VLOOKUP('Données projet'!$B$14,Paramètres!$A$1:$I$89,5,0)</f>
        <v>-2.0395418687257919E-13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402.28353929315114</v>
      </c>
      <c r="DU124" s="59">
        <f t="shared" si="98"/>
        <v>376.94419168335463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75.618150627720141</v>
      </c>
      <c r="EB124" s="21">
        <f>EXP(-LN(2)/25)*EB123+(1-EXP(-LN(2)/25))/(LN(2)/25)*Calculateur!DW124*Calculateur!DY124*VLOOKUP('Données projet'!$B$14,Paramètres!$A$1:$I$89,3,0)*0.475*44/12</f>
        <v>11.8577613787941</v>
      </c>
      <c r="EC124" s="21">
        <f>EXP(-LN(2)/2)*EC123+(1-EXP(-LN(2)/2))/(LN(2)/2)*DW124*DZ124*VLOOKUP('Données projet'!$B$14,Paramètres!$A$1:$I$89,3,0)*0.475*44/12</f>
        <v>7.7230464101228897E-7</v>
      </c>
      <c r="ED124" s="22">
        <f t="shared" si="72"/>
        <v>87.475912778818881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>
        <f>EJ124*VLOOKUP('Données projet'!$B$15,Paramètres!$A$1:$I$89,3,0)*VLOOKUP('Données projet'!$B$15,Paramètres!$A$1:$I$89,5,0)</f>
        <v>0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273.3012268683454</v>
      </c>
      <c r="EP124" s="59">
        <f t="shared" si="100"/>
        <v>254.08208375594052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46.347194417949034</v>
      </c>
      <c r="EW124" s="21">
        <f>EXP(-LN(2)/25)*EW123+(1-EXP(-LN(2)/25))/(LN(2)/25)*Calculateur!ER124*Calculateur!ET124*VLOOKUP('Données projet'!$B$15,Paramètres!$A$1:$I$89,3,0)*0.475*44/12</f>
        <v>13.295536970402487</v>
      </c>
      <c r="EX124" s="21">
        <f>EXP(-LN(2)/2)*EX123+(1-EXP(-LN(2)/2))/(LN(2)/2)*ER124*EU124*VLOOKUP('Données projet'!$B$15,Paramètres!$A$1:$I$89,3,0)*0.475*44/12</f>
        <v>1.1087000753932501E-6</v>
      </c>
      <c r="EY124" s="22">
        <f t="shared" si="75"/>
        <v>59.642732497051597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-1.7053025658242404E-13</v>
      </c>
      <c r="O125" s="13">
        <f>N125*VLOOKUP('Données projet'!$B$9,Paramètres!$A$1:$I$89,3,0)*VLOOKUP('Données projet'!$B$9,Paramètres!$A$1:$I$89,5,0)</f>
        <v>-1.5429577615577727E-13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453.52760163325451</v>
      </c>
      <c r="T125" s="59">
        <f t="shared" si="88"/>
        <v>344.23959526427001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175.41637239857221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175.41637239857221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-1.1368683772161603E-13</v>
      </c>
      <c r="AJ125" s="13">
        <f>AI125*VLOOKUP('Données projet'!$B$10,Paramètres!$A$1:$I$89,3,0)*VLOOKUP('Données projet'!$B$10,Paramètres!$A$1:$I$89,5,0)</f>
        <v>-9.7543306765146564E-14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397.45670821030774</v>
      </c>
      <c r="AO125" s="59">
        <f t="shared" si="90"/>
        <v>256.77417912163997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133.70827464192405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133.70827464192405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293.20194140252903</v>
      </c>
      <c r="BJ125" s="59">
        <f t="shared" si="92"/>
        <v>280.69048279989266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34.617218508873748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34.617218508873748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-1.1368683772161603E-13</v>
      </c>
      <c r="BZ125" s="13">
        <f>BY125*VLOOKUP('Données projet'!$B$12,Paramètres!$A$1:$I$89,3,0)*VLOOKUP('Données projet'!$B$12,Paramètres!$A$1:$I$89,5,0)</f>
        <v>-9.0449248091317723E-14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271.25628946149067</v>
      </c>
      <c r="CE125" s="59">
        <f t="shared" si="94"/>
        <v>292.57799203101769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44.322454813229811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44.322454813229811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5.6843418860808015E-14</v>
      </c>
      <c r="CU125" s="17">
        <f>CT125*VLOOKUP('Données projet'!$B$13,Paramètres!$A$1:$I$89,3,0)*VLOOKUP('Données projet'!$B$13,Paramètres!$A$1:$I$89,5,0)</f>
        <v>3.1036506698001178E-14</v>
      </c>
      <c r="CV125" s="13">
        <f t="shared" si="95"/>
        <v>5.3428243983771088E-13</v>
      </c>
      <c r="CW125" s="20">
        <f t="shared" si="67"/>
        <v>9.8459716521636505E-13</v>
      </c>
      <c r="CX125" s="59">
        <f t="shared" si="68"/>
        <v>293.33333333333428</v>
      </c>
      <c r="CY125" s="59">
        <f ca="1">AVERAGE(OFFSET($CX$3,0,0,'Données projet'!$E$13+1,1))-AVERAGE(OFFSET($H$3,0,0,'Données projet'!$E$13+1,1))</f>
        <v>210.03861149060413</v>
      </c>
      <c r="CZ125" s="59">
        <f t="shared" si="96"/>
        <v>298.74602928001929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26.529007296252573</v>
      </c>
      <c r="DG125" s="21">
        <f>EXP(-LN(2)/25)*DG124+(1-EXP(-LN(2)/25))/(LN(2)/25)*Calculateur!DB125*Calculateur!DD125*VLOOKUP('Données projet'!$B$13,Paramètres!$A$1:$I$89,3,0)*0.475*44/12</f>
        <v>7.6016477512672216</v>
      </c>
      <c r="DH125" s="21">
        <f>EXP(-LN(2)/2)*DH124+(1-EXP(-LN(2)/2))/(LN(2)/2)*DB125*DE125*VLOOKUP('Données projet'!$B$13,Paramètres!$A$1:$I$89,3,0)*0.475*44/12</f>
        <v>5.2542667674801429E-10</v>
      </c>
      <c r="DI125" s="22">
        <f t="shared" si="69"/>
        <v>34.13065504804522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-3.4106051316484809E-13</v>
      </c>
      <c r="DP125" s="17">
        <f>DO125*VLOOKUP('Données projet'!$B$14,Paramètres!$A$1:$I$89,3,0)*VLOOKUP('Données projet'!$B$14,Paramètres!$A$1:$I$89,5,0)</f>
        <v>-2.0395418687257919E-13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402.28353929315114</v>
      </c>
      <c r="DU125" s="59">
        <f t="shared" si="98"/>
        <v>376.94419168335463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74.135324816428209</v>
      </c>
      <c r="EB125" s="21">
        <f>EXP(-LN(2)/25)*EB124+(1-EXP(-LN(2)/25))/(LN(2)/25)*Calculateur!DW125*Calculateur!DY125*VLOOKUP('Données projet'!$B$14,Paramètres!$A$1:$I$89,3,0)*0.475*44/12</f>
        <v>11.533510270318406</v>
      </c>
      <c r="EC125" s="21">
        <f>EXP(-LN(2)/2)*EC124+(1-EXP(-LN(2)/2))/(LN(2)/2)*DW125*DZ125*VLOOKUP('Données projet'!$B$14,Paramètres!$A$1:$I$89,3,0)*0.475*44/12</f>
        <v>5.4610184880163175E-7</v>
      </c>
      <c r="ED125" s="22">
        <f t="shared" si="72"/>
        <v>85.668835632848456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>
        <f>EJ125*VLOOKUP('Données projet'!$B$15,Paramètres!$A$1:$I$89,3,0)*VLOOKUP('Données projet'!$B$15,Paramètres!$A$1:$I$89,5,0)</f>
        <v>0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273.3012268683454</v>
      </c>
      <c r="EP125" s="59">
        <f t="shared" si="100"/>
        <v>254.08208375594052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45.438354204410317</v>
      </c>
      <c r="EW125" s="21">
        <f>EXP(-LN(2)/25)*EW124+(1-EXP(-LN(2)/25))/(LN(2)/25)*Calculateur!ER125*Calculateur!ET125*VLOOKUP('Données projet'!$B$15,Paramètres!$A$1:$I$89,3,0)*0.475*44/12</f>
        <v>12.93196981276493</v>
      </c>
      <c r="EX125" s="21">
        <f>EXP(-LN(2)/2)*EX124+(1-EXP(-LN(2)/2))/(LN(2)/2)*ER125*EU125*VLOOKUP('Données projet'!$B$15,Paramètres!$A$1:$I$89,3,0)*0.475*44/12</f>
        <v>7.8396934161260365E-7</v>
      </c>
      <c r="EY125" s="22">
        <f t="shared" si="75"/>
        <v>58.370324801144591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-1.7053025658242404E-13</v>
      </c>
      <c r="O126" s="13">
        <f>N126*VLOOKUP('Données projet'!$B$9,Paramètres!$A$1:$I$89,3,0)*VLOOKUP('Données projet'!$B$9,Paramètres!$A$1:$I$89,5,0)</f>
        <v>-1.5429577615577727E-13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453.52760163325451</v>
      </c>
      <c r="T126" s="59">
        <f t="shared" si="88"/>
        <v>344.23959526427001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171.97656432925865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171.97656432925865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-1.1368683772161603E-13</v>
      </c>
      <c r="AJ126" s="13">
        <f>AI126*VLOOKUP('Données projet'!$B$10,Paramètres!$A$1:$I$89,3,0)*VLOOKUP('Données projet'!$B$10,Paramètres!$A$1:$I$89,5,0)</f>
        <v>-9.7543306765146564E-14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397.45670821030774</v>
      </c>
      <c r="AO126" s="59">
        <f t="shared" si="90"/>
        <v>256.77417912163997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131.08633693019067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131.08633693019067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293.20194140252903</v>
      </c>
      <c r="BJ126" s="59">
        <f t="shared" si="92"/>
        <v>280.69048279989266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33.938395968333147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33.938395968333147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-1.1368683772161603E-13</v>
      </c>
      <c r="BZ126" s="13">
        <f>BY126*VLOOKUP('Données projet'!$B$12,Paramètres!$A$1:$I$89,3,0)*VLOOKUP('Données projet'!$B$12,Paramètres!$A$1:$I$89,5,0)</f>
        <v>-9.0449248091317723E-14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271.25628946149067</v>
      </c>
      <c r="CE126" s="59">
        <f t="shared" si="94"/>
        <v>292.57799203101769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43.453318508370423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43.453318508370423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5.6843418860808015E-14</v>
      </c>
      <c r="CU126" s="17">
        <f>CT126*VLOOKUP('Données projet'!$B$13,Paramètres!$A$1:$I$89,3,0)*VLOOKUP('Données projet'!$B$13,Paramètres!$A$1:$I$89,5,0)</f>
        <v>3.1036506698001178E-14</v>
      </c>
      <c r="CV126" s="13">
        <f t="shared" si="95"/>
        <v>5.3428243983771088E-13</v>
      </c>
      <c r="CW126" s="20">
        <f t="shared" si="67"/>
        <v>9.8459716521636505E-13</v>
      </c>
      <c r="CX126" s="59">
        <f t="shared" si="68"/>
        <v>293.33333333333428</v>
      </c>
      <c r="CY126" s="59">
        <f ca="1">AVERAGE(OFFSET($CX$3,0,0,'Données projet'!$E$13+1,1))-AVERAGE(OFFSET($H$3,0,0,'Données projet'!$E$13+1,1))</f>
        <v>210.03861149060413</v>
      </c>
      <c r="CZ126" s="59">
        <f t="shared" si="96"/>
        <v>298.74602928001929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26.008789644269761</v>
      </c>
      <c r="DG126" s="21">
        <f>EXP(-LN(2)/25)*DG125+(1-EXP(-LN(2)/25))/(LN(2)/25)*Calculateur!DB126*Calculateur!DD126*VLOOKUP('Données projet'!$B$13,Paramètres!$A$1:$I$89,3,0)*0.475*44/12</f>
        <v>7.3937802937555377</v>
      </c>
      <c r="DH126" s="21">
        <f>EXP(-LN(2)/2)*DH125+(1-EXP(-LN(2)/2))/(LN(2)/2)*DB126*DE126*VLOOKUP('Données projet'!$B$13,Paramètres!$A$1:$I$89,3,0)*0.475*44/12</f>
        <v>3.7153276614483298E-10</v>
      </c>
      <c r="DI126" s="22">
        <f t="shared" si="69"/>
        <v>33.402569938396837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-3.4106051316484809E-13</v>
      </c>
      <c r="DP126" s="17">
        <f>DO126*VLOOKUP('Données projet'!$B$14,Paramètres!$A$1:$I$89,3,0)*VLOOKUP('Données projet'!$B$14,Paramètres!$A$1:$I$89,5,0)</f>
        <v>-2.0395418687257919E-13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402.28353929315114</v>
      </c>
      <c r="DU126" s="59">
        <f t="shared" si="98"/>
        <v>376.94419168335463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72.681576314861275</v>
      </c>
      <c r="EB126" s="21">
        <f>EXP(-LN(2)/25)*EB125+(1-EXP(-LN(2)/25))/(LN(2)/25)*Calculateur!DW126*Calculateur!DY126*VLOOKUP('Données projet'!$B$14,Paramètres!$A$1:$I$89,3,0)*0.475*44/12</f>
        <v>11.218125825455603</v>
      </c>
      <c r="EC126" s="21">
        <f>EXP(-LN(2)/2)*EC125+(1-EXP(-LN(2)/2))/(LN(2)/2)*DW126*DZ126*VLOOKUP('Données projet'!$B$14,Paramètres!$A$1:$I$89,3,0)*0.475*44/12</f>
        <v>3.8615232050614448E-7</v>
      </c>
      <c r="ED126" s="22">
        <f t="shared" si="72"/>
        <v>83.899702526469198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>
        <f>EJ126*VLOOKUP('Données projet'!$B$15,Paramètres!$A$1:$I$89,3,0)*VLOOKUP('Données projet'!$B$15,Paramètres!$A$1:$I$89,5,0)</f>
        <v>0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273.3012268683454</v>
      </c>
      <c r="EP126" s="59">
        <f t="shared" si="100"/>
        <v>254.08208375594052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44.547335793121299</v>
      </c>
      <c r="EW126" s="21">
        <f>EXP(-LN(2)/25)*EW125+(1-EXP(-LN(2)/25))/(LN(2)/25)*Calculateur!ER126*Calculateur!ET126*VLOOKUP('Données projet'!$B$15,Paramètres!$A$1:$I$89,3,0)*0.475*44/12</f>
        <v>12.578344418172136</v>
      </c>
      <c r="EX126" s="21">
        <f>EXP(-LN(2)/2)*EX125+(1-EXP(-LN(2)/2))/(LN(2)/2)*ER126*EU126*VLOOKUP('Données projet'!$B$15,Paramètres!$A$1:$I$89,3,0)*0.475*44/12</f>
        <v>5.5435003769662505E-7</v>
      </c>
      <c r="EY126" s="22">
        <f t="shared" si="75"/>
        <v>57.125680765643473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-1.7053025658242404E-13</v>
      </c>
      <c r="O127" s="13">
        <f>N127*VLOOKUP('Données projet'!$B$9,Paramètres!$A$1:$I$89,3,0)*VLOOKUP('Données projet'!$B$9,Paramètres!$A$1:$I$89,5,0)</f>
        <v>-1.5429577615577727E-13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453.52760163325451</v>
      </c>
      <c r="T127" s="59">
        <f t="shared" si="88"/>
        <v>344.23959526427001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168.60420879810857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168.60420879810857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-1.1368683772161603E-13</v>
      </c>
      <c r="AJ127" s="13">
        <f>AI127*VLOOKUP('Données projet'!$B$10,Paramètres!$A$1:$I$89,3,0)*VLOOKUP('Données projet'!$B$10,Paramètres!$A$1:$I$89,5,0)</f>
        <v>-9.7543306765146564E-14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397.45670821030774</v>
      </c>
      <c r="AO127" s="59">
        <f t="shared" si="90"/>
        <v>256.77417912163997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128.51581381776029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128.51581381776029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293.20194140252903</v>
      </c>
      <c r="BJ127" s="59">
        <f t="shared" si="92"/>
        <v>280.69048279989266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33.272884723771682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33.272884723771682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-1.1368683772161603E-13</v>
      </c>
      <c r="BZ127" s="13">
        <f>BY127*VLOOKUP('Données projet'!$B$12,Paramètres!$A$1:$I$89,3,0)*VLOOKUP('Données projet'!$B$12,Paramètres!$A$1:$I$89,5,0)</f>
        <v>-9.0449248091317723E-14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271.25628946149067</v>
      </c>
      <c r="CE127" s="59">
        <f t="shared" si="94"/>
        <v>292.57799203101769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42.601225436328527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42.601225436328527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5.6843418860808015E-14</v>
      </c>
      <c r="CU127" s="17">
        <f>CT127*VLOOKUP('Données projet'!$B$13,Paramètres!$A$1:$I$89,3,0)*VLOOKUP('Données projet'!$B$13,Paramètres!$A$1:$I$89,5,0)</f>
        <v>3.1036506698001178E-14</v>
      </c>
      <c r="CV127" s="13">
        <f t="shared" si="95"/>
        <v>5.3428243983771088E-13</v>
      </c>
      <c r="CW127" s="20">
        <f t="shared" si="67"/>
        <v>9.8459716521636505E-13</v>
      </c>
      <c r="CX127" s="59">
        <f t="shared" si="68"/>
        <v>293.33333333333428</v>
      </c>
      <c r="CY127" s="59">
        <f ca="1">AVERAGE(OFFSET($CX$3,0,0,'Données projet'!$E$13+1,1))-AVERAGE(OFFSET($H$3,0,0,'Données projet'!$E$13+1,1))</f>
        <v>210.03861149060413</v>
      </c>
      <c r="CZ127" s="59">
        <f t="shared" si="96"/>
        <v>298.74602928001929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25.498773143140895</v>
      </c>
      <c r="DG127" s="21">
        <f>EXP(-LN(2)/25)*DG126+(1-EXP(-LN(2)/25))/(LN(2)/25)*Calculateur!DB127*Calculateur!DD127*VLOOKUP('Données projet'!$B$13,Paramètres!$A$1:$I$89,3,0)*0.475*44/12</f>
        <v>7.1915969828007853</v>
      </c>
      <c r="DH127" s="21">
        <f>EXP(-LN(2)/2)*DH126+(1-EXP(-LN(2)/2))/(LN(2)/2)*DB127*DE127*VLOOKUP('Données projet'!$B$13,Paramètres!$A$1:$I$89,3,0)*0.475*44/12</f>
        <v>2.6271333837400715E-10</v>
      </c>
      <c r="DI127" s="22">
        <f t="shared" si="69"/>
        <v>32.6903701262044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-3.4106051316484809E-13</v>
      </c>
      <c r="DP127" s="17">
        <f>DO127*VLOOKUP('Données projet'!$B$14,Paramètres!$A$1:$I$89,3,0)*VLOOKUP('Données projet'!$B$14,Paramètres!$A$1:$I$89,5,0)</f>
        <v>-2.0395418687257919E-13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402.28353929315114</v>
      </c>
      <c r="DU127" s="59">
        <f t="shared" si="98"/>
        <v>376.94419168335463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71.256334934711035</v>
      </c>
      <c r="EB127" s="21">
        <f>EXP(-LN(2)/25)*EB126+(1-EXP(-LN(2)/25))/(LN(2)/25)*Calculateur!DW127*Calculateur!DY127*VLOOKUP('Données projet'!$B$14,Paramètres!$A$1:$I$89,3,0)*0.475*44/12</f>
        <v>10.911365584822923</v>
      </c>
      <c r="EC127" s="21">
        <f>EXP(-LN(2)/2)*EC126+(1-EXP(-LN(2)/2))/(LN(2)/2)*DW127*DZ127*VLOOKUP('Données projet'!$B$14,Paramètres!$A$1:$I$89,3,0)*0.475*44/12</f>
        <v>2.7305092440081587E-7</v>
      </c>
      <c r="ED127" s="22">
        <f t="shared" si="72"/>
        <v>82.167700792584881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>
        <f>EJ127*VLOOKUP('Données projet'!$B$15,Paramètres!$A$1:$I$89,3,0)*VLOOKUP('Données projet'!$B$15,Paramètres!$A$1:$I$89,5,0)</f>
        <v>0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273.3012268683454</v>
      </c>
      <c r="EP127" s="59">
        <f t="shared" si="100"/>
        <v>254.08208375594052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43.673789709410094</v>
      </c>
      <c r="EW127" s="21">
        <f>EXP(-LN(2)/25)*EW126+(1-EXP(-LN(2)/25))/(LN(2)/25)*Calculateur!ER127*Calculateur!ET127*VLOOKUP('Données projet'!$B$15,Paramètres!$A$1:$I$89,3,0)*0.475*44/12</f>
        <v>12.234388928590835</v>
      </c>
      <c r="EX127" s="21">
        <f>EXP(-LN(2)/2)*EX126+(1-EXP(-LN(2)/2))/(LN(2)/2)*ER127*EU127*VLOOKUP('Données projet'!$B$15,Paramètres!$A$1:$I$89,3,0)*0.475*44/12</f>
        <v>3.9198467080630183E-7</v>
      </c>
      <c r="EY127" s="22">
        <f t="shared" si="75"/>
        <v>55.908179029985604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-1.7053025658242404E-13</v>
      </c>
      <c r="O128" s="13">
        <f>N128*VLOOKUP('Données projet'!$B$9,Paramètres!$A$1:$I$89,3,0)*VLOOKUP('Données projet'!$B$9,Paramètres!$A$1:$I$89,5,0)</f>
        <v>-1.5429577615577727E-13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453.52760163325451</v>
      </c>
      <c r="T128" s="59">
        <f t="shared" si="88"/>
        <v>344.23959526427001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165.29798310199058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165.29798310199058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-1.1368683772161603E-13</v>
      </c>
      <c r="AJ128" s="13">
        <f>AI128*VLOOKUP('Données projet'!$B$10,Paramètres!$A$1:$I$89,3,0)*VLOOKUP('Données projet'!$B$10,Paramètres!$A$1:$I$89,5,0)</f>
        <v>-9.7543306765146564E-14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397.45670821030774</v>
      </c>
      <c r="AO128" s="59">
        <f t="shared" si="90"/>
        <v>256.77417912163997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125.99569709570038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125.99569709570038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293.20194140252903</v>
      </c>
      <c r="BJ128" s="59">
        <f t="shared" si="92"/>
        <v>280.69048279989266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32.620423748794288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32.620423748794288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-1.1368683772161603E-13</v>
      </c>
      <c r="BZ128" s="13">
        <f>BY128*VLOOKUP('Données projet'!$B$12,Paramètres!$A$1:$I$89,3,0)*VLOOKUP('Données projet'!$B$12,Paramètres!$A$1:$I$89,5,0)</f>
        <v>-9.0449248091317723E-14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271.25628946149067</v>
      </c>
      <c r="CE128" s="59">
        <f t="shared" si="94"/>
        <v>292.57799203101769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41.765841389703915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41.765841389703915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5.6843418860808015E-14</v>
      </c>
      <c r="CU128" s="17">
        <f>CT128*VLOOKUP('Données projet'!$B$13,Paramètres!$A$1:$I$89,3,0)*VLOOKUP('Données projet'!$B$13,Paramètres!$A$1:$I$89,5,0)</f>
        <v>3.1036506698001178E-14</v>
      </c>
      <c r="CV128" s="13">
        <f t="shared" si="95"/>
        <v>5.3428243983771088E-13</v>
      </c>
      <c r="CW128" s="20">
        <f t="shared" si="67"/>
        <v>9.8459716521636505E-13</v>
      </c>
      <c r="CX128" s="59">
        <f t="shared" si="68"/>
        <v>293.33333333333428</v>
      </c>
      <c r="CY128" s="59">
        <f ca="1">AVERAGE(OFFSET($CX$3,0,0,'Données projet'!$E$13+1,1))-AVERAGE(OFFSET($H$3,0,0,'Données projet'!$E$13+1,1))</f>
        <v>210.03861149060413</v>
      </c>
      <c r="CZ128" s="59">
        <f t="shared" si="96"/>
        <v>298.74602928001929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24.998757754519815</v>
      </c>
      <c r="DG128" s="21">
        <f>EXP(-LN(2)/25)*DG127+(1-EXP(-LN(2)/25))/(LN(2)/25)*Calculateur!DB128*Calculateur!DD128*VLOOKUP('Données projet'!$B$13,Paramètres!$A$1:$I$89,3,0)*0.475*44/12</f>
        <v>6.9949423851164489</v>
      </c>
      <c r="DH128" s="21">
        <f>EXP(-LN(2)/2)*DH127+(1-EXP(-LN(2)/2))/(LN(2)/2)*DB128*DE128*VLOOKUP('Données projet'!$B$13,Paramètres!$A$1:$I$89,3,0)*0.475*44/12</f>
        <v>1.8576638307241649E-10</v>
      </c>
      <c r="DI128" s="22">
        <f t="shared" si="69"/>
        <v>31.993700139822032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-3.4106051316484809E-13</v>
      </c>
      <c r="DP128" s="17">
        <f>DO128*VLOOKUP('Données projet'!$B$14,Paramètres!$A$1:$I$89,3,0)*VLOOKUP('Données projet'!$B$14,Paramètres!$A$1:$I$89,5,0)</f>
        <v>-2.0395418687257919E-13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402.28353929315114</v>
      </c>
      <c r="DU128" s="59">
        <f t="shared" si="98"/>
        <v>376.94419168335463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69.859041668714141</v>
      </c>
      <c r="EB128" s="21">
        <f>EXP(-LN(2)/25)*EB127+(1-EXP(-LN(2)/25))/(LN(2)/25)*Calculateur!DW128*Calculateur!DY128*VLOOKUP('Données projet'!$B$14,Paramètres!$A$1:$I$89,3,0)*0.475*44/12</f>
        <v>10.612993719102162</v>
      </c>
      <c r="EC128" s="21">
        <f>EXP(-LN(2)/2)*EC127+(1-EXP(-LN(2)/2))/(LN(2)/2)*DW128*DZ128*VLOOKUP('Données projet'!$B$14,Paramètres!$A$1:$I$89,3,0)*0.475*44/12</f>
        <v>1.9307616025307224E-7</v>
      </c>
      <c r="ED128" s="22">
        <f t="shared" si="72"/>
        <v>80.472035580892467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>
        <f>EJ128*VLOOKUP('Données projet'!$B$15,Paramètres!$A$1:$I$89,3,0)*VLOOKUP('Données projet'!$B$15,Paramètres!$A$1:$I$89,5,0)</f>
        <v>0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273.3012268683454</v>
      </c>
      <c r="EP128" s="59">
        <f t="shared" si="100"/>
        <v>254.08208375594052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42.817373331589963</v>
      </c>
      <c r="EW128" s="21">
        <f>EXP(-LN(2)/25)*EW127+(1-EXP(-LN(2)/25))/(LN(2)/25)*Calculateur!ER128*Calculateur!ET128*VLOOKUP('Données projet'!$B$15,Paramètres!$A$1:$I$89,3,0)*0.475*44/12</f>
        <v>11.899838919959967</v>
      </c>
      <c r="EX128" s="21">
        <f>EXP(-LN(2)/2)*EX127+(1-EXP(-LN(2)/2))/(LN(2)/2)*ER128*EU128*VLOOKUP('Données projet'!$B$15,Paramètres!$A$1:$I$89,3,0)*0.475*44/12</f>
        <v>2.7717501884831253E-7</v>
      </c>
      <c r="EY128" s="22">
        <f t="shared" si="75"/>
        <v>54.71721252872495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-1.7053025658242404E-13</v>
      </c>
      <c r="O129" s="13">
        <f>N129*VLOOKUP('Données projet'!$B$9,Paramètres!$A$1:$I$89,3,0)*VLOOKUP('Données projet'!$B$9,Paramètres!$A$1:$I$89,5,0)</f>
        <v>-1.5429577615577727E-13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453.52760163325451</v>
      </c>
      <c r="T129" s="59">
        <f t="shared" si="88"/>
        <v>344.23959526427001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162.05659047517491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162.05659047517491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-1.1368683772161603E-13</v>
      </c>
      <c r="AJ129" s="13">
        <f>AI129*VLOOKUP('Données projet'!$B$10,Paramètres!$A$1:$I$89,3,0)*VLOOKUP('Données projet'!$B$10,Paramètres!$A$1:$I$89,5,0)</f>
        <v>-9.7543306765146564E-14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397.45670821030774</v>
      </c>
      <c r="AO129" s="59">
        <f t="shared" si="90"/>
        <v>256.77417912163997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123.52499832544063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123.52499832544063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293.20194140252903</v>
      </c>
      <c r="BJ129" s="59">
        <f t="shared" si="92"/>
        <v>280.69048279989266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31.980757135574304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31.980757135574304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-1.1368683772161603E-13</v>
      </c>
      <c r="BZ129" s="13">
        <f>BY129*VLOOKUP('Données projet'!$B$12,Paramètres!$A$1:$I$89,3,0)*VLOOKUP('Données projet'!$B$12,Paramètres!$A$1:$I$89,5,0)</f>
        <v>-9.0449248091317723E-14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271.25628946149067</v>
      </c>
      <c r="CE129" s="59">
        <f t="shared" si="94"/>
        <v>292.57799203101769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40.946838714699659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40.946838714699659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5.6843418860808015E-14</v>
      </c>
      <c r="CU129" s="17">
        <f>CT129*VLOOKUP('Données projet'!$B$13,Paramètres!$A$1:$I$89,3,0)*VLOOKUP('Données projet'!$B$13,Paramètres!$A$1:$I$89,5,0)</f>
        <v>3.1036506698001178E-14</v>
      </c>
      <c r="CV129" s="13">
        <f t="shared" si="95"/>
        <v>5.3428243983771088E-13</v>
      </c>
      <c r="CW129" s="20">
        <f t="shared" si="67"/>
        <v>9.8459716521636505E-13</v>
      </c>
      <c r="CX129" s="59">
        <f t="shared" si="68"/>
        <v>293.33333333333428</v>
      </c>
      <c r="CY129" s="59">
        <f ca="1">AVERAGE(OFFSET($CX$3,0,0,'Données projet'!$E$13+1,1))-AVERAGE(OFFSET($H$3,0,0,'Données projet'!$E$13+1,1))</f>
        <v>210.03861149060413</v>
      </c>
      <c r="CZ129" s="59">
        <f t="shared" si="96"/>
        <v>298.74602928001929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24.508547362690322</v>
      </c>
      <c r="DG129" s="21">
        <f>EXP(-LN(2)/25)*DG128+(1-EXP(-LN(2)/25))/(LN(2)/25)*Calculateur!DB129*Calculateur!DD129*VLOOKUP('Données projet'!$B$13,Paramètres!$A$1:$I$89,3,0)*0.475*44/12</f>
        <v>6.8036653177474067</v>
      </c>
      <c r="DH129" s="21">
        <f>EXP(-LN(2)/2)*DH128+(1-EXP(-LN(2)/2))/(LN(2)/2)*DB129*DE129*VLOOKUP('Données projet'!$B$13,Paramètres!$A$1:$I$89,3,0)*0.475*44/12</f>
        <v>1.3135666918700357E-10</v>
      </c>
      <c r="DI129" s="22">
        <f t="shared" si="69"/>
        <v>31.312212680569086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-3.4106051316484809E-13</v>
      </c>
      <c r="DP129" s="17">
        <f>DO129*VLOOKUP('Données projet'!$B$14,Paramètres!$A$1:$I$89,3,0)*VLOOKUP('Données projet'!$B$14,Paramètres!$A$1:$I$89,5,0)</f>
        <v>-2.0395418687257919E-13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402.28353929315114</v>
      </c>
      <c r="DU129" s="59">
        <f t="shared" si="98"/>
        <v>376.94419168335463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68.489148471398707</v>
      </c>
      <c r="EB129" s="21">
        <f>EXP(-LN(2)/25)*EB128+(1-EXP(-LN(2)/25))/(LN(2)/25)*Calculateur!DW129*Calculateur!DY129*VLOOKUP('Données projet'!$B$14,Paramètres!$A$1:$I$89,3,0)*0.475*44/12</f>
        <v>10.32278084774023</v>
      </c>
      <c r="EC129" s="21">
        <f>EXP(-LN(2)/2)*EC128+(1-EXP(-LN(2)/2))/(LN(2)/2)*DW129*DZ129*VLOOKUP('Données projet'!$B$14,Paramètres!$A$1:$I$89,3,0)*0.475*44/12</f>
        <v>1.3652546220040794E-7</v>
      </c>
      <c r="ED129" s="22">
        <f t="shared" si="72"/>
        <v>78.811929455664398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>
        <f>EJ129*VLOOKUP('Données projet'!$B$15,Paramètres!$A$1:$I$89,3,0)*VLOOKUP('Données projet'!$B$15,Paramètres!$A$1:$I$89,5,0)</f>
        <v>0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273.3012268683454</v>
      </c>
      <c r="EP129" s="59">
        <f t="shared" si="100"/>
        <v>254.08208375594052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41.977750756576469</v>
      </c>
      <c r="EW129" s="21">
        <f>EXP(-LN(2)/25)*EW128+(1-EXP(-LN(2)/25))/(LN(2)/25)*Calculateur!ER129*Calculateur!ET129*VLOOKUP('Données projet'!$B$15,Paramètres!$A$1:$I$89,3,0)*0.475*44/12</f>
        <v>11.574437198908329</v>
      </c>
      <c r="EX129" s="21">
        <f>EXP(-LN(2)/2)*EX128+(1-EXP(-LN(2)/2))/(LN(2)/2)*ER129*EU129*VLOOKUP('Données projet'!$B$15,Paramètres!$A$1:$I$89,3,0)*0.475*44/12</f>
        <v>1.9599233540315091E-7</v>
      </c>
      <c r="EY129" s="22">
        <f t="shared" si="75"/>
        <v>53.552188151477132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-1.7053025658242404E-13</v>
      </c>
      <c r="O130" s="13">
        <f>N130*VLOOKUP('Données projet'!$B$9,Paramètres!$A$1:$I$89,3,0)*VLOOKUP('Données projet'!$B$9,Paramètres!$A$1:$I$89,5,0)</f>
        <v>-1.5429577615577727E-13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453.52760163325451</v>
      </c>
      <c r="T130" s="59">
        <f t="shared" si="88"/>
        <v>344.23959526427001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158.8787595807168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158.8787595807168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-1.1368683772161603E-13</v>
      </c>
      <c r="AJ130" s="13">
        <f>AI130*VLOOKUP('Données projet'!$B$10,Paramètres!$A$1:$I$89,3,0)*VLOOKUP('Données projet'!$B$10,Paramètres!$A$1:$I$89,5,0)</f>
        <v>-9.7543306765146564E-14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397.45670821030774</v>
      </c>
      <c r="AO130" s="59">
        <f t="shared" si="90"/>
        <v>256.77417912163997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121.10274845108823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121.10274845108823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293.20194140252903</v>
      </c>
      <c r="BJ130" s="59">
        <f t="shared" si="92"/>
        <v>280.69048279989266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31.353633994481456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31.353633994481456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-1.1368683772161603E-13</v>
      </c>
      <c r="BZ130" s="13">
        <f>BY130*VLOOKUP('Données projet'!$B$12,Paramètres!$A$1:$I$89,3,0)*VLOOKUP('Données projet'!$B$12,Paramètres!$A$1:$I$89,5,0)</f>
        <v>-9.0449248091317723E-14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271.25628946149067</v>
      </c>
      <c r="CE130" s="59">
        <f t="shared" si="94"/>
        <v>292.57799203101769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40.143896182609929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40.143896182609929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5.6843418860808015E-14</v>
      </c>
      <c r="CU130" s="17">
        <f>CT130*VLOOKUP('Données projet'!$B$13,Paramètres!$A$1:$I$89,3,0)*VLOOKUP('Données projet'!$B$13,Paramètres!$A$1:$I$89,5,0)</f>
        <v>3.1036506698001178E-14</v>
      </c>
      <c r="CV130" s="13">
        <f t="shared" si="95"/>
        <v>5.3428243983771088E-13</v>
      </c>
      <c r="CW130" s="20">
        <f t="shared" si="67"/>
        <v>9.8459716521636505E-13</v>
      </c>
      <c r="CX130" s="59">
        <f t="shared" si="68"/>
        <v>293.33333333333428</v>
      </c>
      <c r="CY130" s="59">
        <f ca="1">AVERAGE(OFFSET($CX$3,0,0,'Données projet'!$E$13+1,1))-AVERAGE(OFFSET($H$3,0,0,'Données projet'!$E$13+1,1))</f>
        <v>210.03861149060413</v>
      </c>
      <c r="CZ130" s="59">
        <f t="shared" si="96"/>
        <v>298.74602928001929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24.027949697645791</v>
      </c>
      <c r="DG130" s="21">
        <f>EXP(-LN(2)/25)*DG129+(1-EXP(-LN(2)/25))/(LN(2)/25)*Calculateur!DB130*Calculateur!DD130*VLOOKUP('Données projet'!$B$13,Paramètres!$A$1:$I$89,3,0)*0.475*44/12</f>
        <v>6.6176187318443951</v>
      </c>
      <c r="DH130" s="21">
        <f>EXP(-LN(2)/2)*DH129+(1-EXP(-LN(2)/2))/(LN(2)/2)*DB130*DE130*VLOOKUP('Données projet'!$B$13,Paramètres!$A$1:$I$89,3,0)*0.475*44/12</f>
        <v>9.2883191536208245E-11</v>
      </c>
      <c r="DI130" s="22">
        <f t="shared" si="69"/>
        <v>30.645568429583069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-3.4106051316484809E-13</v>
      </c>
      <c r="DP130" s="17">
        <f>DO130*VLOOKUP('Données projet'!$B$14,Paramètres!$A$1:$I$89,3,0)*VLOOKUP('Données projet'!$B$14,Paramètres!$A$1:$I$89,5,0)</f>
        <v>-2.0395418687257919E-13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402.28353929315114</v>
      </c>
      <c r="DU130" s="59">
        <f t="shared" si="98"/>
        <v>376.94419168335463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67.146118044130276</v>
      </c>
      <c r="EB130" s="21">
        <f>EXP(-LN(2)/25)*EB129+(1-EXP(-LN(2)/25))/(LN(2)/25)*Calculateur!DW130*Calculateur!DY130*VLOOKUP('Données projet'!$B$14,Paramètres!$A$1:$I$89,3,0)*0.475*44/12</f>
        <v>10.040503862607322</v>
      </c>
      <c r="EC130" s="21">
        <f>EXP(-LN(2)/2)*EC129+(1-EXP(-LN(2)/2))/(LN(2)/2)*DW130*DZ130*VLOOKUP('Données projet'!$B$14,Paramètres!$A$1:$I$89,3,0)*0.475*44/12</f>
        <v>9.6538080126536121E-8</v>
      </c>
      <c r="ED130" s="22">
        <f t="shared" si="72"/>
        <v>77.186622003275673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>
        <f>EJ130*VLOOKUP('Données projet'!$B$15,Paramètres!$A$1:$I$89,3,0)*VLOOKUP('Données projet'!$B$15,Paramètres!$A$1:$I$89,5,0)</f>
        <v>0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273.3012268683454</v>
      </c>
      <c r="EP130" s="59">
        <f t="shared" si="100"/>
        <v>254.08208375594052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41.154592668139792</v>
      </c>
      <c r="EW130" s="21">
        <f>EXP(-LN(2)/25)*EW129+(1-EXP(-LN(2)/25))/(LN(2)/25)*Calculateur!ER130*Calculateur!ET130*VLOOKUP('Données projet'!$B$15,Paramètres!$A$1:$I$89,3,0)*0.475*44/12</f>
        <v>11.257933605030983</v>
      </c>
      <c r="EX130" s="21">
        <f>EXP(-LN(2)/2)*EX129+(1-EXP(-LN(2)/2))/(LN(2)/2)*ER130*EU130*VLOOKUP('Données projet'!$B$15,Paramètres!$A$1:$I$89,3,0)*0.475*44/12</f>
        <v>1.3858750942415626E-7</v>
      </c>
      <c r="EY130" s="22">
        <f t="shared" si="75"/>
        <v>52.412526411758286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-1.7053025658242404E-13</v>
      </c>
      <c r="O131" s="13">
        <f>N131*VLOOKUP('Données projet'!$B$9,Paramètres!$A$1:$I$89,3,0)*VLOOKUP('Données projet'!$B$9,Paramètres!$A$1:$I$89,5,0)</f>
        <v>-1.5429577615577727E-13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453.52760163325451</v>
      </c>
      <c r="T131" s="59">
        <f t="shared" si="88"/>
        <v>344.23959526427001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155.76324401181358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155.76324401181358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-1.1368683772161603E-13</v>
      </c>
      <c r="AJ131" s="13">
        <f>AI131*VLOOKUP('Données projet'!$B$10,Paramètres!$A$1:$I$89,3,0)*VLOOKUP('Données projet'!$B$10,Paramètres!$A$1:$I$89,5,0)</f>
        <v>-9.7543306765146564E-14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397.45670821030774</v>
      </c>
      <c r="AO131" s="59">
        <f t="shared" si="90"/>
        <v>256.77417912163997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118.72799741934534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118.72799741934534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293.20194140252903</v>
      </c>
      <c r="BJ131" s="59">
        <f t="shared" si="92"/>
        <v>280.69048279989266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30.738808355678088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30.738808355678088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-1.1368683772161603E-13</v>
      </c>
      <c r="BZ131" s="13">
        <f>BY131*VLOOKUP('Données projet'!$B$12,Paramètres!$A$1:$I$89,3,0)*VLOOKUP('Données projet'!$B$12,Paramètres!$A$1:$I$89,5,0)</f>
        <v>-9.0449248091317723E-14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271.25628946149067</v>
      </c>
      <c r="CE131" s="59">
        <f t="shared" si="94"/>
        <v>292.57799203101769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39.356698863827894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39.356698863827894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5.6843418860808015E-14</v>
      </c>
      <c r="CU131" s="17">
        <f>CT131*VLOOKUP('Données projet'!$B$13,Paramètres!$A$1:$I$89,3,0)*VLOOKUP('Données projet'!$B$13,Paramètres!$A$1:$I$89,5,0)</f>
        <v>3.1036506698001178E-14</v>
      </c>
      <c r="CV131" s="13">
        <f t="shared" si="95"/>
        <v>5.3428243983771088E-13</v>
      </c>
      <c r="CW131" s="20">
        <f t="shared" si="67"/>
        <v>9.8459716521636505E-13</v>
      </c>
      <c r="CX131" s="59">
        <f t="shared" si="68"/>
        <v>293.33333333333428</v>
      </c>
      <c r="CY131" s="59">
        <f ca="1">AVERAGE(OFFSET($CX$3,0,0,'Données projet'!$E$13+1,1))-AVERAGE(OFFSET($H$3,0,0,'Données projet'!$E$13+1,1))</f>
        <v>210.03861149060413</v>
      </c>
      <c r="CZ131" s="59">
        <f t="shared" si="96"/>
        <v>298.74602928001929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23.556776259677154</v>
      </c>
      <c r="DG131" s="21">
        <f>EXP(-LN(2)/25)*DG130+(1-EXP(-LN(2)/25))/(LN(2)/25)*Calculateur!DB131*Calculateur!DD131*VLOOKUP('Données projet'!$B$13,Paramètres!$A$1:$I$89,3,0)*0.475*44/12</f>
        <v>6.4366595996166653</v>
      </c>
      <c r="DH131" s="21">
        <f>EXP(-LN(2)/2)*DH130+(1-EXP(-LN(2)/2))/(LN(2)/2)*DB131*DE131*VLOOKUP('Données projet'!$B$13,Paramètres!$A$1:$I$89,3,0)*0.475*44/12</f>
        <v>6.5678334593501787E-11</v>
      </c>
      <c r="DI131" s="22">
        <f t="shared" si="69"/>
        <v>29.993435859359497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-3.4106051316484809E-13</v>
      </c>
      <c r="DP131" s="17">
        <f>DO131*VLOOKUP('Données projet'!$B$14,Paramètres!$A$1:$I$89,3,0)*VLOOKUP('Données projet'!$B$14,Paramètres!$A$1:$I$89,5,0)</f>
        <v>-2.0395418687257919E-13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402.28353929315114</v>
      </c>
      <c r="DU131" s="59">
        <f t="shared" si="98"/>
        <v>376.94419168335463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65.829423624372907</v>
      </c>
      <c r="EB131" s="21">
        <f>EXP(-LN(2)/25)*EB130+(1-EXP(-LN(2)/25))/(LN(2)/25)*Calculateur!DW131*Calculateur!DY131*VLOOKUP('Données projet'!$B$14,Paramètres!$A$1:$I$89,3,0)*0.475*44/12</f>
        <v>9.7659457564771746</v>
      </c>
      <c r="EC131" s="21">
        <f>EXP(-LN(2)/2)*EC130+(1-EXP(-LN(2)/2))/(LN(2)/2)*DW131*DZ131*VLOOKUP('Données projet'!$B$14,Paramètres!$A$1:$I$89,3,0)*0.475*44/12</f>
        <v>6.8262731100203969E-8</v>
      </c>
      <c r="ED131" s="22">
        <f t="shared" si="72"/>
        <v>75.595369449112823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>
        <f>EJ131*VLOOKUP('Données projet'!$B$15,Paramètres!$A$1:$I$89,3,0)*VLOOKUP('Données projet'!$B$15,Paramètres!$A$1:$I$89,5,0)</f>
        <v>0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273.3012268683454</v>
      </c>
      <c r="EP131" s="59">
        <f t="shared" si="100"/>
        <v>254.08208375594052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40.347576207740495</v>
      </c>
      <c r="EW131" s="21">
        <f>EXP(-LN(2)/25)*EW130+(1-EXP(-LN(2)/25))/(LN(2)/25)*Calculateur!ER131*Calculateur!ET131*VLOOKUP('Données projet'!$B$15,Paramètres!$A$1:$I$89,3,0)*0.475*44/12</f>
        <v>10.950084818572414</v>
      </c>
      <c r="EX131" s="21">
        <f>EXP(-LN(2)/2)*EX130+(1-EXP(-LN(2)/2))/(LN(2)/2)*ER131*EU131*VLOOKUP('Données projet'!$B$15,Paramètres!$A$1:$I$89,3,0)*0.475*44/12</f>
        <v>9.7996167701575456E-8</v>
      </c>
      <c r="EY131" s="22">
        <f t="shared" si="75"/>
        <v>51.29766112430908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-1.7053025658242404E-13</v>
      </c>
      <c r="O132" s="13">
        <f>N132*VLOOKUP('Données projet'!$B$9,Paramètres!$A$1:$I$89,3,0)*VLOOKUP('Données projet'!$B$9,Paramètres!$A$1:$I$89,5,0)</f>
        <v>-1.5429577615577727E-13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453.52760163325451</v>
      </c>
      <c r="T132" s="59">
        <f t="shared" si="88"/>
        <v>344.23959526427001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152.7088218029397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152.7088218029397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-1.1368683772161603E-13</v>
      </c>
      <c r="AJ132" s="13">
        <f>AI132*VLOOKUP('Données projet'!$B$10,Paramètres!$A$1:$I$89,3,0)*VLOOKUP('Données projet'!$B$10,Paramètres!$A$1:$I$89,5,0)</f>
        <v>-9.7543306765146564E-14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397.45670821030774</v>
      </c>
      <c r="AO132" s="59">
        <f t="shared" si="90"/>
        <v>256.77417912163997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116.39981380687983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116.39981380687983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293.20194140252903</v>
      </c>
      <c r="BJ132" s="59">
        <f t="shared" si="92"/>
        <v>280.69048279989266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30.136039072645044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30.136039072645044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-1.1368683772161603E-13</v>
      </c>
      <c r="BZ132" s="13">
        <f>BY132*VLOOKUP('Données projet'!$B$12,Paramètres!$A$1:$I$89,3,0)*VLOOKUP('Données projet'!$B$12,Paramètres!$A$1:$I$89,5,0)</f>
        <v>-9.0449248091317723E-14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271.25628946149067</v>
      </c>
      <c r="CE132" s="59">
        <f t="shared" si="94"/>
        <v>292.57799203101769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38.584938004324215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38.584938004324215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5.6843418860808015E-14</v>
      </c>
      <c r="CU132" s="17">
        <f>CT132*VLOOKUP('Données projet'!$B$13,Paramètres!$A$1:$I$89,3,0)*VLOOKUP('Données projet'!$B$13,Paramètres!$A$1:$I$89,5,0)</f>
        <v>3.1036506698001178E-14</v>
      </c>
      <c r="CV132" s="13">
        <f t="shared" si="95"/>
        <v>5.3428243983771088E-13</v>
      </c>
      <c r="CW132" s="20">
        <f t="shared" ref="CW132:CW153" si="121">(CU132+CV132)*0.475*44/12</f>
        <v>9.8459716521636505E-13</v>
      </c>
      <c r="CX132" s="59">
        <f t="shared" ref="CX132:CX195" si="122">CW132+(CO132+CP132)*44/12</f>
        <v>293.33333333333428</v>
      </c>
      <c r="CY132" s="59">
        <f ca="1">AVERAGE(OFFSET($CX$3,0,0,'Données projet'!$E$13+1,1))-AVERAGE(OFFSET($H$3,0,0,'Données projet'!$E$13+1,1))</f>
        <v>210.03861149060413</v>
      </c>
      <c r="CZ132" s="59">
        <f t="shared" si="96"/>
        <v>298.74602928001929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23.094842245439661</v>
      </c>
      <c r="DG132" s="21">
        <f>EXP(-LN(2)/25)*DG131+(1-EXP(-LN(2)/25))/(LN(2)/25)*Calculateur!DB132*Calculateur!DD132*VLOOKUP('Données projet'!$B$13,Paramètres!$A$1:$I$89,3,0)*0.475*44/12</f>
        <v>6.2606488043759301</v>
      </c>
      <c r="DH132" s="21">
        <f>EXP(-LN(2)/2)*DH131+(1-EXP(-LN(2)/2))/(LN(2)/2)*DB132*DE132*VLOOKUP('Données projet'!$B$13,Paramètres!$A$1:$I$89,3,0)*0.475*44/12</f>
        <v>4.6441595768104123E-11</v>
      </c>
      <c r="DI132" s="22">
        <f t="shared" ref="DI132:DI153" si="123">SUM(DF132:DH132)</f>
        <v>29.355491049862032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-3.4106051316484809E-13</v>
      </c>
      <c r="DP132" s="17">
        <f>DO132*VLOOKUP('Données projet'!$B$14,Paramètres!$A$1:$I$89,3,0)*VLOOKUP('Données projet'!$B$14,Paramètres!$A$1:$I$89,5,0)</f>
        <v>-2.0395418687257919E-13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402.28353929315114</v>
      </c>
      <c r="DU132" s="59">
        <f t="shared" si="98"/>
        <v>376.94419168335463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64.538548779082689</v>
      </c>
      <c r="EB132" s="21">
        <f>EXP(-LN(2)/25)*EB131+(1-EXP(-LN(2)/25))/(LN(2)/25)*Calculateur!DW132*Calculateur!DY132*VLOOKUP('Données projet'!$B$14,Paramètres!$A$1:$I$89,3,0)*0.475*44/12</f>
        <v>9.4988954561975394</v>
      </c>
      <c r="EC132" s="21">
        <f>EXP(-LN(2)/2)*EC131+(1-EXP(-LN(2)/2))/(LN(2)/2)*DW132*DZ132*VLOOKUP('Données projet'!$B$14,Paramètres!$A$1:$I$89,3,0)*0.475*44/12</f>
        <v>4.826904006326806E-8</v>
      </c>
      <c r="ED132" s="22">
        <f t="shared" ref="ED132:ED153" si="126">SUM(EA132:EC132)</f>
        <v>74.037444283549277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>
        <f>EJ132*VLOOKUP('Données projet'!$B$15,Paramètres!$A$1:$I$89,3,0)*VLOOKUP('Données projet'!$B$15,Paramètres!$A$1:$I$89,5,0)</f>
        <v>0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273.3012268683454</v>
      </c>
      <c r="EP132" s="59">
        <f t="shared" si="100"/>
        <v>254.08208375594052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39.556384847898194</v>
      </c>
      <c r="EW132" s="21">
        <f>EXP(-LN(2)/25)*EW131+(1-EXP(-LN(2)/25))/(LN(2)/25)*Calculateur!ER132*Calculateur!ET132*VLOOKUP('Données projet'!$B$15,Paramètres!$A$1:$I$89,3,0)*0.475*44/12</f>
        <v>10.650654173368617</v>
      </c>
      <c r="EX132" s="21">
        <f>EXP(-LN(2)/2)*EX131+(1-EXP(-LN(2)/2))/(LN(2)/2)*ER132*EU132*VLOOKUP('Données projet'!$B$15,Paramètres!$A$1:$I$89,3,0)*0.475*44/12</f>
        <v>6.9293754712078132E-8</v>
      </c>
      <c r="EY132" s="22">
        <f t="shared" ref="EY132:EY153" si="129">SUM(EV132:EX132)</f>
        <v>50.207039090560563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-1.7053025658242404E-13</v>
      </c>
      <c r="O133" s="13">
        <f>N133*VLOOKUP('Données projet'!$B$9,Paramètres!$A$1:$I$89,3,0)*VLOOKUP('Données projet'!$B$9,Paramètres!$A$1:$I$89,5,0)</f>
        <v>-1.5429577615577727E-13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453.52760163325451</v>
      </c>
      <c r="T133" s="59">
        <f t="shared" ref="T133:T196" si="142">$T$3</f>
        <v>344.23959526427001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149.71429495056822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149.71429495056822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-1.1368683772161603E-13</v>
      </c>
      <c r="AJ133" s="13">
        <f>AI133*VLOOKUP('Données projet'!$B$10,Paramètres!$A$1:$I$89,3,0)*VLOOKUP('Données projet'!$B$10,Paramètres!$A$1:$I$89,5,0)</f>
        <v>-9.7543306765146564E-14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397.45670821030774</v>
      </c>
      <c r="AO133" s="59">
        <f t="shared" ref="AO133:AO196" si="144">$AO$3</f>
        <v>256.77417912163997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114.11728445500299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114.11728445500299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293.20194140252903</v>
      </c>
      <c r="BJ133" s="59">
        <f t="shared" ref="BJ133:BJ196" si="146">$BJ$3</f>
        <v>280.69048279989266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29.545089727599319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29.545089727599319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-1.1368683772161603E-13</v>
      </c>
      <c r="BZ133" s="13">
        <f>BY133*VLOOKUP('Données projet'!$B$12,Paramètres!$A$1:$I$89,3,0)*VLOOKUP('Données projet'!$B$12,Paramètres!$A$1:$I$89,5,0)</f>
        <v>-9.0449248091317723E-14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271.25628946149067</v>
      </c>
      <c r="CE133" s="59">
        <f t="shared" ref="CE133:CE196" si="148">$CE$3</f>
        <v>292.57799203101769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37.828310904547763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37.828310904547763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5.6843418860808015E-14</v>
      </c>
      <c r="CU133" s="17">
        <f>CT133*VLOOKUP('Données projet'!$B$13,Paramètres!$A$1:$I$89,3,0)*VLOOKUP('Données projet'!$B$13,Paramètres!$A$1:$I$89,5,0)</f>
        <v>3.1036506698001178E-14</v>
      </c>
      <c r="CV133" s="13">
        <f t="shared" ref="CV133:CV153" si="149">EXP(-1.0587+0.8836*LN(CU133)+0.284)</f>
        <v>5.3428243983771088E-13</v>
      </c>
      <c r="CW133" s="20">
        <f t="shared" si="121"/>
        <v>9.8459716521636505E-13</v>
      </c>
      <c r="CX133" s="59">
        <f t="shared" si="122"/>
        <v>293.33333333333428</v>
      </c>
      <c r="CY133" s="59">
        <f ca="1">AVERAGE(OFFSET($CX$3,0,0,'Données projet'!$E$13+1,1))-AVERAGE(OFFSET($H$3,0,0,'Données projet'!$E$13+1,1))</f>
        <v>210.03861149060413</v>
      </c>
      <c r="CZ133" s="59">
        <f t="shared" ref="CZ133:CZ196" si="150">$CZ$3</f>
        <v>298.74602928001929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22.641966475469438</v>
      </c>
      <c r="DG133" s="21">
        <f>EXP(-LN(2)/25)*DG132+(1-EXP(-LN(2)/25))/(LN(2)/25)*Calculateur!DB133*Calculateur!DD133*VLOOKUP('Données projet'!$B$13,Paramètres!$A$1:$I$89,3,0)*0.475*44/12</f>
        <v>6.0894510335870589</v>
      </c>
      <c r="DH133" s="21">
        <f>EXP(-LN(2)/2)*DH132+(1-EXP(-LN(2)/2))/(LN(2)/2)*DB133*DE133*VLOOKUP('Données projet'!$B$13,Paramètres!$A$1:$I$89,3,0)*0.475*44/12</f>
        <v>3.2839167296750893E-11</v>
      </c>
      <c r="DI133" s="22">
        <f t="shared" si="123"/>
        <v>28.731417509089336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-3.4106051316484809E-13</v>
      </c>
      <c r="DP133" s="17">
        <f>DO133*VLOOKUP('Données projet'!$B$14,Paramètres!$A$1:$I$89,3,0)*VLOOKUP('Données projet'!$B$14,Paramètres!$A$1:$I$89,5,0)</f>
        <v>-2.0395418687257919E-13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402.28353929315114</v>
      </c>
      <c r="DU133" s="59">
        <f t="shared" ref="DU133:DU196" si="152">$DU$3</f>
        <v>376.94419168335463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63.272987202152699</v>
      </c>
      <c r="EB133" s="21">
        <f>EXP(-LN(2)/25)*EB132+(1-EXP(-LN(2)/25))/(LN(2)/25)*Calculateur!DW133*Calculateur!DY133*VLOOKUP('Données projet'!$B$14,Paramètres!$A$1:$I$89,3,0)*0.475*44/12</f>
        <v>9.2391476604226153</v>
      </c>
      <c r="EC133" s="21">
        <f>EXP(-LN(2)/2)*EC132+(1-EXP(-LN(2)/2))/(LN(2)/2)*DW133*DZ133*VLOOKUP('Données projet'!$B$14,Paramètres!$A$1:$I$89,3,0)*0.475*44/12</f>
        <v>3.4131365550101984E-8</v>
      </c>
      <c r="ED133" s="22">
        <f t="shared" si="126"/>
        <v>72.512134896706669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>
        <f>EJ133*VLOOKUP('Données projet'!$B$15,Paramètres!$A$1:$I$89,3,0)*VLOOKUP('Données projet'!$B$15,Paramètres!$A$1:$I$89,5,0)</f>
        <v>0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273.3012268683454</v>
      </c>
      <c r="EP133" s="59">
        <f t="shared" ref="EP133:EP196" si="154">$EP$3</f>
        <v>254.08208375594052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38.78070826804332</v>
      </c>
      <c r="EW133" s="21">
        <f>EXP(-LN(2)/25)*EW132+(1-EXP(-LN(2)/25))/(LN(2)/25)*Calculateur!ER133*Calculateur!ET133*VLOOKUP('Données projet'!$B$15,Paramètres!$A$1:$I$89,3,0)*0.475*44/12</f>
        <v>10.359411474904292</v>
      </c>
      <c r="EX133" s="21">
        <f>EXP(-LN(2)/2)*EX132+(1-EXP(-LN(2)/2))/(LN(2)/2)*ER133*EU133*VLOOKUP('Données projet'!$B$15,Paramètres!$A$1:$I$89,3,0)*0.475*44/12</f>
        <v>4.8998083850787728E-8</v>
      </c>
      <c r="EY133" s="22">
        <f t="shared" si="129"/>
        <v>49.140119791945693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-1.7053025658242404E-13</v>
      </c>
      <c r="O134" s="13">
        <f>N134*VLOOKUP('Données projet'!$B$9,Paramètres!$A$1:$I$89,3,0)*VLOOKUP('Données projet'!$B$9,Paramètres!$A$1:$I$89,5,0)</f>
        <v>-1.5429577615577727E-13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453.52760163325451</v>
      </c>
      <c r="T134" s="59">
        <f t="shared" si="142"/>
        <v>344.23959526427001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146.77848894329071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146.77848894329071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-1.1368683772161603E-13</v>
      </c>
      <c r="AJ134" s="13">
        <f>AI134*VLOOKUP('Données projet'!$B$10,Paramètres!$A$1:$I$89,3,0)*VLOOKUP('Données projet'!$B$10,Paramètres!$A$1:$I$89,5,0)</f>
        <v>-9.7543306765146564E-14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397.45670821030774</v>
      </c>
      <c r="AO134" s="59">
        <f t="shared" si="144"/>
        <v>256.77417912163997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111.879514111511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111.879514111511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293.20194140252903</v>
      </c>
      <c r="BJ134" s="59">
        <f t="shared" si="146"/>
        <v>280.69048279989266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28.965728538766431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28.965728538766431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-1.1368683772161603E-13</v>
      </c>
      <c r="BZ134" s="13">
        <f>BY134*VLOOKUP('Données projet'!$B$12,Paramètres!$A$1:$I$89,3,0)*VLOOKUP('Données projet'!$B$12,Paramètres!$A$1:$I$89,5,0)</f>
        <v>-9.0449248091317723E-14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271.25628946149067</v>
      </c>
      <c r="CE134" s="59">
        <f t="shared" si="148"/>
        <v>292.57799203101769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37.086520800700967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37.086520800700967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5.6843418860808015E-14</v>
      </c>
      <c r="CU134" s="17">
        <f>CT134*VLOOKUP('Données projet'!$B$13,Paramètres!$A$1:$I$89,3,0)*VLOOKUP('Données projet'!$B$13,Paramètres!$A$1:$I$89,5,0)</f>
        <v>3.1036506698001178E-14</v>
      </c>
      <c r="CV134" s="13">
        <f t="shared" si="149"/>
        <v>5.3428243983771088E-13</v>
      </c>
      <c r="CW134" s="20">
        <f t="shared" si="121"/>
        <v>9.8459716521636505E-13</v>
      </c>
      <c r="CX134" s="59">
        <f t="shared" si="122"/>
        <v>293.33333333333428</v>
      </c>
      <c r="CY134" s="59">
        <f ca="1">AVERAGE(OFFSET($CX$3,0,0,'Données projet'!$E$13+1,1))-AVERAGE(OFFSET($H$3,0,0,'Données projet'!$E$13+1,1))</f>
        <v>210.03861149060413</v>
      </c>
      <c r="CZ134" s="59">
        <f t="shared" si="150"/>
        <v>298.74602928001929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22.197971323121386</v>
      </c>
      <c r="DG134" s="21">
        <f>EXP(-LN(2)/25)*DG133+(1-EXP(-LN(2)/25))/(LN(2)/25)*Calculateur!DB134*Calculateur!DD134*VLOOKUP('Données projet'!$B$13,Paramètres!$A$1:$I$89,3,0)*0.475*44/12</f>
        <v>5.9229346748433089</v>
      </c>
      <c r="DH134" s="21">
        <f>EXP(-LN(2)/2)*DH133+(1-EXP(-LN(2)/2))/(LN(2)/2)*DB134*DE134*VLOOKUP('Données projet'!$B$13,Paramètres!$A$1:$I$89,3,0)*0.475*44/12</f>
        <v>2.3220797884052061E-11</v>
      </c>
      <c r="DI134" s="22">
        <f t="shared" si="123"/>
        <v>28.120905997987915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-3.4106051316484809E-13</v>
      </c>
      <c r="DP134" s="17">
        <f>DO134*VLOOKUP('Données projet'!$B$14,Paramètres!$A$1:$I$89,3,0)*VLOOKUP('Données projet'!$B$14,Paramètres!$A$1:$I$89,5,0)</f>
        <v>-2.0395418687257919E-13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402.28353929315114</v>
      </c>
      <c r="DU134" s="59">
        <f t="shared" si="152"/>
        <v>376.94419168335463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62.032242515829964</v>
      </c>
      <c r="EB134" s="21">
        <f>EXP(-LN(2)/25)*EB133+(1-EXP(-LN(2)/25))/(LN(2)/25)*Calculateur!DW134*Calculateur!DY134*VLOOKUP('Données projet'!$B$14,Paramètres!$A$1:$I$89,3,0)*0.475*44/12</f>
        <v>8.9865026817826994</v>
      </c>
      <c r="EC134" s="21">
        <f>EXP(-LN(2)/2)*EC133+(1-EXP(-LN(2)/2))/(LN(2)/2)*DW134*DZ134*VLOOKUP('Données projet'!$B$14,Paramètres!$A$1:$I$89,3,0)*0.475*44/12</f>
        <v>2.413452003163403E-8</v>
      </c>
      <c r="ED134" s="22">
        <f t="shared" si="126"/>
        <v>71.018745221747182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>
        <f>EJ134*VLOOKUP('Données projet'!$B$15,Paramètres!$A$1:$I$89,3,0)*VLOOKUP('Données projet'!$B$15,Paramètres!$A$1:$I$89,5,0)</f>
        <v>0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273.3012268683454</v>
      </c>
      <c r="EP134" s="59">
        <f t="shared" si="154"/>
        <v>254.08208375594052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38.020242232803405</v>
      </c>
      <c r="EW134" s="21">
        <f>EXP(-LN(2)/25)*EW133+(1-EXP(-LN(2)/25))/(LN(2)/25)*Calculateur!ER134*Calculateur!ET134*VLOOKUP('Données projet'!$B$15,Paramètres!$A$1:$I$89,3,0)*0.475*44/12</f>
        <v>10.076132823345262</v>
      </c>
      <c r="EX134" s="21">
        <f>EXP(-LN(2)/2)*EX133+(1-EXP(-LN(2)/2))/(LN(2)/2)*ER134*EU134*VLOOKUP('Données projet'!$B$15,Paramètres!$A$1:$I$89,3,0)*0.475*44/12</f>
        <v>3.4646877356039066E-8</v>
      </c>
      <c r="EY134" s="22">
        <f t="shared" si="129"/>
        <v>48.09637509079554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-1.7053025658242404E-13</v>
      </c>
      <c r="O135" s="13">
        <f>N135*VLOOKUP('Données projet'!$B$9,Paramètres!$A$1:$I$89,3,0)*VLOOKUP('Données projet'!$B$9,Paramètres!$A$1:$I$89,5,0)</f>
        <v>-1.5429577615577727E-13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453.52760163325451</v>
      </c>
      <c r="T135" s="59">
        <f t="shared" si="142"/>
        <v>344.23959526427001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143.90025230115108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143.90025230115108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-1.1368683772161603E-13</v>
      </c>
      <c r="AJ135" s="13">
        <f>AI135*VLOOKUP('Données projet'!$B$10,Paramètres!$A$1:$I$89,3,0)*VLOOKUP('Données projet'!$B$10,Paramètres!$A$1:$I$89,5,0)</f>
        <v>-9.7543306765146564E-14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397.45670821030774</v>
      </c>
      <c r="AO135" s="59">
        <f t="shared" si="144"/>
        <v>256.77417912163997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109.68562507954977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109.68562507954977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293.20194140252903</v>
      </c>
      <c r="BJ135" s="59">
        <f t="shared" si="146"/>
        <v>280.69048279989266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28.397728269471123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28.397728269471123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-1.1368683772161603E-13</v>
      </c>
      <c r="BZ135" s="13">
        <f>BY135*VLOOKUP('Données projet'!$B$12,Paramètres!$A$1:$I$89,3,0)*VLOOKUP('Données projet'!$B$12,Paramètres!$A$1:$I$89,5,0)</f>
        <v>-9.0449248091317723E-14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271.25628946149067</v>
      </c>
      <c r="CE135" s="59">
        <f t="shared" si="148"/>
        <v>292.57799203101769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36.359276748343319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36.359276748343319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5.6843418860808015E-14</v>
      </c>
      <c r="CU135" s="17">
        <f>CT135*VLOOKUP('Données projet'!$B$13,Paramètres!$A$1:$I$89,3,0)*VLOOKUP('Données projet'!$B$13,Paramètres!$A$1:$I$89,5,0)</f>
        <v>3.1036506698001178E-14</v>
      </c>
      <c r="CV135" s="13">
        <f t="shared" si="149"/>
        <v>5.3428243983771088E-13</v>
      </c>
      <c r="CW135" s="20">
        <f t="shared" si="121"/>
        <v>9.8459716521636505E-13</v>
      </c>
      <c r="CX135" s="59">
        <f t="shared" si="122"/>
        <v>293.33333333333428</v>
      </c>
      <c r="CY135" s="59">
        <f ca="1">AVERAGE(OFFSET($CX$3,0,0,'Données projet'!$E$13+1,1))-AVERAGE(OFFSET($H$3,0,0,'Données projet'!$E$13+1,1))</f>
        <v>210.03861149060413</v>
      </c>
      <c r="CZ135" s="59">
        <f t="shared" si="150"/>
        <v>298.74602928001929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21.762682644900575</v>
      </c>
      <c r="DG135" s="21">
        <f>EXP(-LN(2)/25)*DG134+(1-EXP(-LN(2)/25))/(LN(2)/25)*Calculateur!DB135*Calculateur!DD135*VLOOKUP('Données projet'!$B$13,Paramètres!$A$1:$I$89,3,0)*0.475*44/12</f>
        <v>5.7609717146861215</v>
      </c>
      <c r="DH135" s="21">
        <f>EXP(-LN(2)/2)*DH134+(1-EXP(-LN(2)/2))/(LN(2)/2)*DB135*DE135*VLOOKUP('Données projet'!$B$13,Paramètres!$A$1:$I$89,3,0)*0.475*44/12</f>
        <v>1.6419583648375447E-11</v>
      </c>
      <c r="DI135" s="22">
        <f t="shared" si="123"/>
        <v>27.523654359603118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-3.4106051316484809E-13</v>
      </c>
      <c r="DP135" s="17">
        <f>DO135*VLOOKUP('Données projet'!$B$14,Paramètres!$A$1:$I$89,3,0)*VLOOKUP('Données projet'!$B$14,Paramètres!$A$1:$I$89,5,0)</f>
        <v>-2.0395418687257919E-13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402.28353929315114</v>
      </c>
      <c r="DU135" s="59">
        <f t="shared" si="152"/>
        <v>376.94419168335463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60.815828076026484</v>
      </c>
      <c r="EB135" s="21">
        <f>EXP(-LN(2)/25)*EB134+(1-EXP(-LN(2)/25))/(LN(2)/25)*Calculateur!DW135*Calculateur!DY135*VLOOKUP('Données projet'!$B$14,Paramètres!$A$1:$I$89,3,0)*0.475*44/12</f>
        <v>8.740766293369715</v>
      </c>
      <c r="EC135" s="21">
        <f>EXP(-LN(2)/2)*EC134+(1-EXP(-LN(2)/2))/(LN(2)/2)*DW135*DZ135*VLOOKUP('Données projet'!$B$14,Paramètres!$A$1:$I$89,3,0)*0.475*44/12</f>
        <v>1.7065682775050992E-8</v>
      </c>
      <c r="ED135" s="22">
        <f t="shared" si="126"/>
        <v>69.556594386461882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>
        <f>EJ135*VLOOKUP('Données projet'!$B$15,Paramètres!$A$1:$I$89,3,0)*VLOOKUP('Données projet'!$B$15,Paramètres!$A$1:$I$89,5,0)</f>
        <v>0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273.3012268683454</v>
      </c>
      <c r="EP135" s="59">
        <f t="shared" si="154"/>
        <v>254.08208375594052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37.274688472676061</v>
      </c>
      <c r="EW135" s="21">
        <f>EXP(-LN(2)/25)*EW134+(1-EXP(-LN(2)/25))/(LN(2)/25)*Calculateur!ER135*Calculateur!ET135*VLOOKUP('Données projet'!$B$15,Paramètres!$A$1:$I$89,3,0)*0.475*44/12</f>
        <v>9.80060044141009</v>
      </c>
      <c r="EX135" s="21">
        <f>EXP(-LN(2)/2)*EX134+(1-EXP(-LN(2)/2))/(LN(2)/2)*ER135*EU135*VLOOKUP('Données projet'!$B$15,Paramètres!$A$1:$I$89,3,0)*0.475*44/12</f>
        <v>2.4499041925393864E-8</v>
      </c>
      <c r="EY135" s="22">
        <f t="shared" si="129"/>
        <v>47.075288938585196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-1.7053025658242404E-13</v>
      </c>
      <c r="O136" s="13">
        <f>N136*VLOOKUP('Données projet'!$B$9,Paramètres!$A$1:$I$89,3,0)*VLOOKUP('Données projet'!$B$9,Paramètres!$A$1:$I$89,5,0)</f>
        <v>-1.5429577615577727E-13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453.52760163325451</v>
      </c>
      <c r="T136" s="59">
        <f t="shared" si="142"/>
        <v>344.23959526427001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141.0784561240128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141.0784561240128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-1.1368683772161603E-13</v>
      </c>
      <c r="AJ136" s="13">
        <f>AI136*VLOOKUP('Données projet'!$B$10,Paramètres!$A$1:$I$89,3,0)*VLOOKUP('Données projet'!$B$10,Paramètres!$A$1:$I$89,5,0)</f>
        <v>-9.7543306765146564E-14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397.45670821030774</v>
      </c>
      <c r="AO136" s="59">
        <f t="shared" si="144"/>
        <v>256.77417912163997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107.53475687336511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107.53475687336511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293.20194140252903</v>
      </c>
      <c r="BJ136" s="59">
        <f t="shared" si="146"/>
        <v>280.69048279989266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27.840866139010743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27.840866139010743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-1.1368683772161603E-13</v>
      </c>
      <c r="BZ136" s="13">
        <f>BY136*VLOOKUP('Données projet'!$B$12,Paramètres!$A$1:$I$89,3,0)*VLOOKUP('Données projet'!$B$12,Paramètres!$A$1:$I$89,5,0)</f>
        <v>-9.0449248091317723E-14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271.25628946149067</v>
      </c>
      <c r="CE136" s="59">
        <f t="shared" si="148"/>
        <v>292.57799203101769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35.646293508277331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35.646293508277331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5.6843418860808015E-14</v>
      </c>
      <c r="CU136" s="17">
        <f>CT136*VLOOKUP('Données projet'!$B$13,Paramètres!$A$1:$I$89,3,0)*VLOOKUP('Données projet'!$B$13,Paramètres!$A$1:$I$89,5,0)</f>
        <v>3.1036506698001178E-14</v>
      </c>
      <c r="CV136" s="13">
        <f t="shared" si="149"/>
        <v>5.3428243983771088E-13</v>
      </c>
      <c r="CW136" s="20">
        <f t="shared" si="121"/>
        <v>9.8459716521636505E-13</v>
      </c>
      <c r="CX136" s="59">
        <f t="shared" si="122"/>
        <v>293.33333333333428</v>
      </c>
      <c r="CY136" s="59">
        <f ca="1">AVERAGE(OFFSET($CX$3,0,0,'Données projet'!$E$13+1,1))-AVERAGE(OFFSET($H$3,0,0,'Données projet'!$E$13+1,1))</f>
        <v>210.03861149060413</v>
      </c>
      <c r="CZ136" s="59">
        <f t="shared" si="150"/>
        <v>298.74602928001929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21.335929712159796</v>
      </c>
      <c r="DG136" s="21">
        <f>EXP(-LN(2)/25)*DG135+(1-EXP(-LN(2)/25))/(LN(2)/25)*Calculateur!DB136*Calculateur!DD136*VLOOKUP('Données projet'!$B$13,Paramètres!$A$1:$I$89,3,0)*0.475*44/12</f>
        <v>5.6034376401916939</v>
      </c>
      <c r="DH136" s="21">
        <f>EXP(-LN(2)/2)*DH135+(1-EXP(-LN(2)/2))/(LN(2)/2)*DB136*DE136*VLOOKUP('Données projet'!$B$13,Paramètres!$A$1:$I$89,3,0)*0.475*44/12</f>
        <v>1.1610398942026031E-11</v>
      </c>
      <c r="DI136" s="22">
        <f t="shared" si="123"/>
        <v>26.939367352363099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-3.4106051316484809E-13</v>
      </c>
      <c r="DP136" s="17">
        <f>DO136*VLOOKUP('Données projet'!$B$14,Paramètres!$A$1:$I$89,3,0)*VLOOKUP('Données projet'!$B$14,Paramètres!$A$1:$I$89,5,0)</f>
        <v>-2.0395418687257919E-13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402.28353929315114</v>
      </c>
      <c r="DU136" s="59">
        <f t="shared" si="152"/>
        <v>376.94419168335463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59.623266781448002</v>
      </c>
      <c r="EB136" s="21">
        <f>EXP(-LN(2)/25)*EB135+(1-EXP(-LN(2)/25))/(LN(2)/25)*Calculateur!DW136*Calculateur!DY136*VLOOKUP('Données projet'!$B$14,Paramètres!$A$1:$I$89,3,0)*0.475*44/12</f>
        <v>8.5017495794205988</v>
      </c>
      <c r="EC136" s="21">
        <f>EXP(-LN(2)/2)*EC135+(1-EXP(-LN(2)/2))/(LN(2)/2)*DW136*DZ136*VLOOKUP('Données projet'!$B$14,Paramètres!$A$1:$I$89,3,0)*0.475*44/12</f>
        <v>1.2067260015817015E-8</v>
      </c>
      <c r="ED136" s="22">
        <f t="shared" si="126"/>
        <v>68.12501637293586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>
        <f>EJ136*VLOOKUP('Données projet'!$B$15,Paramètres!$A$1:$I$89,3,0)*VLOOKUP('Données projet'!$B$15,Paramètres!$A$1:$I$89,5,0)</f>
        <v>0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273.3012268683454</v>
      </c>
      <c r="EP136" s="59">
        <f t="shared" si="154"/>
        <v>254.08208375594052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36.543754567041923</v>
      </c>
      <c r="EW136" s="21">
        <f>EXP(-LN(2)/25)*EW135+(1-EXP(-LN(2)/25))/(LN(2)/25)*Calculateur!ER136*Calculateur!ET136*VLOOKUP('Données projet'!$B$15,Paramètres!$A$1:$I$89,3,0)*0.475*44/12</f>
        <v>9.5326025069485532</v>
      </c>
      <c r="EX136" s="21">
        <f>EXP(-LN(2)/2)*EX135+(1-EXP(-LN(2)/2))/(LN(2)/2)*ER136*EU136*VLOOKUP('Données projet'!$B$15,Paramètres!$A$1:$I$89,3,0)*0.475*44/12</f>
        <v>1.7323438678019533E-8</v>
      </c>
      <c r="EY136" s="22">
        <f t="shared" si="129"/>
        <v>46.076357091313916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-1.7053025658242404E-13</v>
      </c>
      <c r="O137" s="13">
        <f>N137*VLOOKUP('Données projet'!$B$9,Paramètres!$A$1:$I$89,3,0)*VLOOKUP('Données projet'!$B$9,Paramètres!$A$1:$I$89,5,0)</f>
        <v>-1.5429577615577727E-13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453.52760163325451</v>
      </c>
      <c r="T137" s="59">
        <f t="shared" si="142"/>
        <v>344.23959526427001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138.31199364878248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138.31199364878248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-1.1368683772161603E-13</v>
      </c>
      <c r="AJ137" s="13">
        <f>AI137*VLOOKUP('Données projet'!$B$10,Paramètres!$A$1:$I$89,3,0)*VLOOKUP('Données projet'!$B$10,Paramètres!$A$1:$I$89,5,0)</f>
        <v>-9.7543306765146564E-14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397.45670821030774</v>
      </c>
      <c r="AO137" s="59">
        <f t="shared" si="144"/>
        <v>256.77417912163997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105.42606588080366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105.42606588080366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293.20194140252903</v>
      </c>
      <c r="BJ137" s="59">
        <f t="shared" si="146"/>
        <v>280.69048279989266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27.294923735276328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27.294923735276328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-1.1368683772161603E-13</v>
      </c>
      <c r="BZ137" s="13">
        <f>BY137*VLOOKUP('Données projet'!$B$12,Paramètres!$A$1:$I$89,3,0)*VLOOKUP('Données projet'!$B$12,Paramètres!$A$1:$I$89,5,0)</f>
        <v>-9.0449248091317723E-14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271.25628946149067</v>
      </c>
      <c r="CE137" s="59">
        <f t="shared" si="148"/>
        <v>292.57799203101769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34.947291434672202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34.947291434672202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5.6843418860808015E-14</v>
      </c>
      <c r="CU137" s="17">
        <f>CT137*VLOOKUP('Données projet'!$B$13,Paramètres!$A$1:$I$89,3,0)*VLOOKUP('Données projet'!$B$13,Paramètres!$A$1:$I$89,5,0)</f>
        <v>3.1036506698001178E-14</v>
      </c>
      <c r="CV137" s="13">
        <f t="shared" si="149"/>
        <v>5.3428243983771088E-13</v>
      </c>
      <c r="CW137" s="20">
        <f t="shared" si="121"/>
        <v>9.8459716521636505E-13</v>
      </c>
      <c r="CX137" s="59">
        <f t="shared" si="122"/>
        <v>293.33333333333428</v>
      </c>
      <c r="CY137" s="59">
        <f ca="1">AVERAGE(OFFSET($CX$3,0,0,'Données projet'!$E$13+1,1))-AVERAGE(OFFSET($H$3,0,0,'Données projet'!$E$13+1,1))</f>
        <v>210.03861149060413</v>
      </c>
      <c r="CZ137" s="59">
        <f t="shared" si="150"/>
        <v>298.74602928001929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20.917545144136479</v>
      </c>
      <c r="DG137" s="21">
        <f>EXP(-LN(2)/25)*DG136+(1-EXP(-LN(2)/25))/(LN(2)/25)*Calculateur!DB137*Calculateur!DD137*VLOOKUP('Données projet'!$B$13,Paramètres!$A$1:$I$89,3,0)*0.475*44/12</f>
        <v>5.4502113432486734</v>
      </c>
      <c r="DH137" s="21">
        <f>EXP(-LN(2)/2)*DH136+(1-EXP(-LN(2)/2))/(LN(2)/2)*DB137*DE137*VLOOKUP('Données projet'!$B$13,Paramètres!$A$1:$I$89,3,0)*0.475*44/12</f>
        <v>8.2097918241877233E-12</v>
      </c>
      <c r="DI137" s="22">
        <f t="shared" si="123"/>
        <v>26.367756487393361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-3.4106051316484809E-13</v>
      </c>
      <c r="DP137" s="17">
        <f>DO137*VLOOKUP('Données projet'!$B$14,Paramètres!$A$1:$I$89,3,0)*VLOOKUP('Données projet'!$B$14,Paramètres!$A$1:$I$89,5,0)</f>
        <v>-2.0395418687257919E-13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402.28353929315114</v>
      </c>
      <c r="DU137" s="59">
        <f t="shared" si="152"/>
        <v>376.94419168335463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58.454090886465643</v>
      </c>
      <c r="EB137" s="21">
        <f>EXP(-LN(2)/25)*EB136+(1-EXP(-LN(2)/25))/(LN(2)/25)*Calculateur!DW137*Calculateur!DY137*VLOOKUP('Données projet'!$B$14,Paramètres!$A$1:$I$89,3,0)*0.475*44/12</f>
        <v>8.269268790083764</v>
      </c>
      <c r="EC137" s="21">
        <f>EXP(-LN(2)/2)*EC136+(1-EXP(-LN(2)/2))/(LN(2)/2)*DW137*DZ137*VLOOKUP('Données projet'!$B$14,Paramètres!$A$1:$I$89,3,0)*0.475*44/12</f>
        <v>8.5328413875254961E-9</v>
      </c>
      <c r="ED137" s="22">
        <f t="shared" si="126"/>
        <v>66.723359685082244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>
        <f>EJ137*VLOOKUP('Données projet'!$B$15,Paramètres!$A$1:$I$89,3,0)*VLOOKUP('Données projet'!$B$15,Paramètres!$A$1:$I$89,5,0)</f>
        <v>0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273.3012268683454</v>
      </c>
      <c r="EP137" s="59">
        <f t="shared" si="154"/>
        <v>254.08208375594052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35.827153829471612</v>
      </c>
      <c r="EW137" s="21">
        <f>EXP(-LN(2)/25)*EW136+(1-EXP(-LN(2)/25))/(LN(2)/25)*Calculateur!ER137*Calculateur!ET137*VLOOKUP('Données projet'!$B$15,Paramètres!$A$1:$I$89,3,0)*0.475*44/12</f>
        <v>9.2719329900982661</v>
      </c>
      <c r="EX137" s="21">
        <f>EXP(-LN(2)/2)*EX136+(1-EXP(-LN(2)/2))/(LN(2)/2)*ER137*EU137*VLOOKUP('Données projet'!$B$15,Paramètres!$A$1:$I$89,3,0)*0.475*44/12</f>
        <v>1.2249520962696932E-8</v>
      </c>
      <c r="EY137" s="22">
        <f t="shared" si="129"/>
        <v>45.099086831819399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-1.7053025658242404E-13</v>
      </c>
      <c r="O138" s="13">
        <f>N138*VLOOKUP('Données projet'!$B$9,Paramètres!$A$1:$I$89,3,0)*VLOOKUP('Données projet'!$B$9,Paramètres!$A$1:$I$89,5,0)</f>
        <v>-1.5429577615577727E-13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453.52760163325451</v>
      </c>
      <c r="T138" s="59">
        <f t="shared" si="142"/>
        <v>344.23959526427001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135.59977981531591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135.59977981531591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-1.1368683772161603E-13</v>
      </c>
      <c r="AJ138" s="13">
        <f>AI138*VLOOKUP('Données projet'!$B$10,Paramètres!$A$1:$I$89,3,0)*VLOOKUP('Données projet'!$B$10,Paramètres!$A$1:$I$89,5,0)</f>
        <v>-9.7543306765146564E-14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397.45670821030774</v>
      </c>
      <c r="AO138" s="59">
        <f t="shared" si="144"/>
        <v>256.77417912163997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103.35872503243183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103.35872503243183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293.20194140252903</v>
      </c>
      <c r="BJ138" s="59">
        <f t="shared" si="146"/>
        <v>280.69048279989266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26.75968692908716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26.75968692908716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-1.1368683772161603E-13</v>
      </c>
      <c r="BZ138" s="13">
        <f>BY138*VLOOKUP('Données projet'!$B$12,Paramètres!$A$1:$I$89,3,0)*VLOOKUP('Données projet'!$B$12,Paramètres!$A$1:$I$89,5,0)</f>
        <v>-9.0449248091317723E-14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271.25628946149067</v>
      </c>
      <c r="CE138" s="59">
        <f t="shared" si="148"/>
        <v>292.57799203101769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34.2619963653813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34.2619963653813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5.6843418860808015E-14</v>
      </c>
      <c r="CU138" s="17">
        <f>CT138*VLOOKUP('Données projet'!$B$13,Paramètres!$A$1:$I$89,3,0)*VLOOKUP('Données projet'!$B$13,Paramètres!$A$1:$I$89,5,0)</f>
        <v>3.1036506698001178E-14</v>
      </c>
      <c r="CV138" s="13">
        <f t="shared" si="149"/>
        <v>5.3428243983771088E-13</v>
      </c>
      <c r="CW138" s="20">
        <f t="shared" si="121"/>
        <v>9.8459716521636505E-13</v>
      </c>
      <c r="CX138" s="59">
        <f t="shared" si="122"/>
        <v>293.33333333333428</v>
      </c>
      <c r="CY138" s="59">
        <f ca="1">AVERAGE(OFFSET($CX$3,0,0,'Données projet'!$E$13+1,1))-AVERAGE(OFFSET($H$3,0,0,'Données projet'!$E$13+1,1))</f>
        <v>210.03861149060413</v>
      </c>
      <c r="CZ138" s="59">
        <f t="shared" si="150"/>
        <v>298.74602928001929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20.50736484230271</v>
      </c>
      <c r="DG138" s="21">
        <f>EXP(-LN(2)/25)*DG137+(1-EXP(-LN(2)/25))/(LN(2)/25)*Calculateur!DB138*Calculateur!DD138*VLOOKUP('Données projet'!$B$13,Paramètres!$A$1:$I$89,3,0)*0.475*44/12</f>
        <v>5.3011750274533807</v>
      </c>
      <c r="DH138" s="21">
        <f>EXP(-LN(2)/2)*DH137+(1-EXP(-LN(2)/2))/(LN(2)/2)*DB138*DE138*VLOOKUP('Données projet'!$B$13,Paramètres!$A$1:$I$89,3,0)*0.475*44/12</f>
        <v>5.8051994710130153E-12</v>
      </c>
      <c r="DI138" s="22">
        <f t="shared" si="123"/>
        <v>25.808539869761894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-3.4106051316484809E-13</v>
      </c>
      <c r="DP138" s="17">
        <f>DO138*VLOOKUP('Données projet'!$B$14,Paramètres!$A$1:$I$89,3,0)*VLOOKUP('Données projet'!$B$14,Paramètres!$A$1:$I$89,5,0)</f>
        <v>-2.0395418687257919E-13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402.28353929315114</v>
      </c>
      <c r="DU138" s="59">
        <f t="shared" si="152"/>
        <v>376.94419168335463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57.307841817657007</v>
      </c>
      <c r="EB138" s="21">
        <f>EXP(-LN(2)/25)*EB137+(1-EXP(-LN(2)/25))/(LN(2)/25)*Calculateur!DW138*Calculateur!DY138*VLOOKUP('Données projet'!$B$14,Paramètres!$A$1:$I$89,3,0)*0.475*44/12</f>
        <v>8.0431452001569781</v>
      </c>
      <c r="EC138" s="21">
        <f>EXP(-LN(2)/2)*EC137+(1-EXP(-LN(2)/2))/(LN(2)/2)*DW138*DZ138*VLOOKUP('Données projet'!$B$14,Paramètres!$A$1:$I$89,3,0)*0.475*44/12</f>
        <v>6.0336300079085076E-9</v>
      </c>
      <c r="ED138" s="22">
        <f t="shared" si="126"/>
        <v>65.350987023847622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>
        <f>EJ138*VLOOKUP('Données projet'!$B$15,Paramètres!$A$1:$I$89,3,0)*VLOOKUP('Données projet'!$B$15,Paramètres!$A$1:$I$89,5,0)</f>
        <v>0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273.3012268683454</v>
      </c>
      <c r="EP138" s="59">
        <f t="shared" si="154"/>
        <v>254.08208375594052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35.124605195281767</v>
      </c>
      <c r="EW138" s="21">
        <f>EXP(-LN(2)/25)*EW137+(1-EXP(-LN(2)/25))/(LN(2)/25)*Calculateur!ER138*Calculateur!ET138*VLOOKUP('Données projet'!$B$15,Paramètres!$A$1:$I$89,3,0)*0.475*44/12</f>
        <v>9.0183914948942636</v>
      </c>
      <c r="EX138" s="21">
        <f>EXP(-LN(2)/2)*EX137+(1-EXP(-LN(2)/2))/(LN(2)/2)*ER138*EU138*VLOOKUP('Données projet'!$B$15,Paramètres!$A$1:$I$89,3,0)*0.475*44/12</f>
        <v>8.6617193390097665E-9</v>
      </c>
      <c r="EY138" s="22">
        <f t="shared" si="129"/>
        <v>44.142996698837756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-1.7053025658242404E-13</v>
      </c>
      <c r="O139" s="13">
        <f>N139*VLOOKUP('Données projet'!$B$9,Paramètres!$A$1:$I$89,3,0)*VLOOKUP('Données projet'!$B$9,Paramètres!$A$1:$I$89,5,0)</f>
        <v>-1.5429577615577727E-13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453.52760163325451</v>
      </c>
      <c r="T139" s="59">
        <f t="shared" si="142"/>
        <v>344.23959526427001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132.94075084083656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132.94075084083656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-1.1368683772161603E-13</v>
      </c>
      <c r="AJ139" s="13">
        <f>AI139*VLOOKUP('Données projet'!$B$10,Paramètres!$A$1:$I$89,3,0)*VLOOKUP('Données projet'!$B$10,Paramètres!$A$1:$I$89,5,0)</f>
        <v>-9.7543306765146564E-14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397.45670821030774</v>
      </c>
      <c r="AO139" s="59">
        <f t="shared" si="144"/>
        <v>256.77417912163997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101.33192347714318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101.33192347714318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293.20194140252903</v>
      </c>
      <c r="BJ139" s="59">
        <f t="shared" si="146"/>
        <v>280.69048279989266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26.234945790205142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26.234945790205142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-1.1368683772161603E-13</v>
      </c>
      <c r="BZ139" s="13">
        <f>BY139*VLOOKUP('Données projet'!$B$12,Paramètres!$A$1:$I$89,3,0)*VLOOKUP('Données projet'!$B$12,Paramètres!$A$1:$I$89,5,0)</f>
        <v>-9.0449248091317723E-14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271.25628946149067</v>
      </c>
      <c r="CE139" s="59">
        <f t="shared" si="148"/>
        <v>292.57799203101769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33.590139514410474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33.590139514410474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5.6843418860808015E-14</v>
      </c>
      <c r="CU139" s="17">
        <f>CT139*VLOOKUP('Données projet'!$B$13,Paramètres!$A$1:$I$89,3,0)*VLOOKUP('Données projet'!$B$13,Paramètres!$A$1:$I$89,5,0)</f>
        <v>3.1036506698001178E-14</v>
      </c>
      <c r="CV139" s="13">
        <f t="shared" si="149"/>
        <v>5.3428243983771088E-13</v>
      </c>
      <c r="CW139" s="20">
        <f t="shared" si="121"/>
        <v>9.8459716521636505E-13</v>
      </c>
      <c r="CX139" s="59">
        <f t="shared" si="122"/>
        <v>293.33333333333428</v>
      </c>
      <c r="CY139" s="59">
        <f ca="1">AVERAGE(OFFSET($CX$3,0,0,'Données projet'!$E$13+1,1))-AVERAGE(OFFSET($H$3,0,0,'Données projet'!$E$13+1,1))</f>
        <v>210.03861149060413</v>
      </c>
      <c r="CZ139" s="59">
        <f t="shared" si="150"/>
        <v>298.74602928001929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20.10522792600262</v>
      </c>
      <c r="DG139" s="21">
        <f>EXP(-LN(2)/25)*DG138+(1-EXP(-LN(2)/25))/(LN(2)/25)*Calculateur!DB139*Calculateur!DD139*VLOOKUP('Données projet'!$B$13,Paramètres!$A$1:$I$89,3,0)*0.475*44/12</f>
        <v>5.1562141175509897</v>
      </c>
      <c r="DH139" s="21">
        <f>EXP(-LN(2)/2)*DH138+(1-EXP(-LN(2)/2))/(LN(2)/2)*DB139*DE139*VLOOKUP('Données projet'!$B$13,Paramètres!$A$1:$I$89,3,0)*0.475*44/12</f>
        <v>4.1048959120938617E-12</v>
      </c>
      <c r="DI139" s="22">
        <f t="shared" si="123"/>
        <v>25.261442043557711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-3.4106051316484809E-13</v>
      </c>
      <c r="DP139" s="17">
        <f>DO139*VLOOKUP('Données projet'!$B$14,Paramètres!$A$1:$I$89,3,0)*VLOOKUP('Données projet'!$B$14,Paramètres!$A$1:$I$89,5,0)</f>
        <v>-2.0395418687257919E-13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402.28353929315114</v>
      </c>
      <c r="DU139" s="59">
        <f t="shared" si="152"/>
        <v>376.94419168335463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56.18406999394481</v>
      </c>
      <c r="EB139" s="21">
        <f>EXP(-LN(2)/25)*EB138+(1-EXP(-LN(2)/25))/(LN(2)/25)*Calculateur!DW139*Calculateur!DY139*VLOOKUP('Données projet'!$B$14,Paramètres!$A$1:$I$89,3,0)*0.475*44/12</f>
        <v>7.8232049716880621</v>
      </c>
      <c r="EC139" s="21">
        <f>EXP(-LN(2)/2)*EC138+(1-EXP(-LN(2)/2))/(LN(2)/2)*DW139*DZ139*VLOOKUP('Données projet'!$B$14,Paramètres!$A$1:$I$89,3,0)*0.475*44/12</f>
        <v>4.266420693762748E-9</v>
      </c>
      <c r="ED139" s="22">
        <f t="shared" si="126"/>
        <v>64.007274969899299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>
        <f>EJ139*VLOOKUP('Données projet'!$B$15,Paramètres!$A$1:$I$89,3,0)*VLOOKUP('Données projet'!$B$15,Paramètres!$A$1:$I$89,5,0)</f>
        <v>0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273.3012268683454</v>
      </c>
      <c r="EP139" s="59">
        <f t="shared" si="154"/>
        <v>254.08208375594052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34.435833111296027</v>
      </c>
      <c r="EW139" s="21">
        <f>EXP(-LN(2)/25)*EW138+(1-EXP(-LN(2)/25))/(LN(2)/25)*Calculateur!ER139*Calculateur!ET139*VLOOKUP('Données projet'!$B$15,Paramètres!$A$1:$I$89,3,0)*0.475*44/12</f>
        <v>8.7717831052097832</v>
      </c>
      <c r="EX139" s="21">
        <f>EXP(-LN(2)/2)*EX138+(1-EXP(-LN(2)/2))/(LN(2)/2)*ER139*EU139*VLOOKUP('Données projet'!$B$15,Paramètres!$A$1:$I$89,3,0)*0.475*44/12</f>
        <v>6.124760481348466E-9</v>
      </c>
      <c r="EY139" s="22">
        <f t="shared" si="129"/>
        <v>43.20761622263057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-1.7053025658242404E-13</v>
      </c>
      <c r="O140" s="13">
        <f>N140*VLOOKUP('Données projet'!$B$9,Paramètres!$A$1:$I$89,3,0)*VLOOKUP('Données projet'!$B$9,Paramètres!$A$1:$I$89,5,0)</f>
        <v>-1.5429577615577727E-13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453.52760163325451</v>
      </c>
      <c r="T140" s="59">
        <f t="shared" si="142"/>
        <v>344.23959526427001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130.3338638026992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130.3338638026992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-1.1368683772161603E-13</v>
      </c>
      <c r="AJ140" s="13">
        <f>AI140*VLOOKUP('Données projet'!$B$10,Paramètres!$A$1:$I$89,3,0)*VLOOKUP('Données projet'!$B$10,Paramètres!$A$1:$I$89,5,0)</f>
        <v>-9.7543306765146564E-14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397.45670821030774</v>
      </c>
      <c r="AO140" s="59">
        <f t="shared" si="144"/>
        <v>256.77417912163997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99.34486626412685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99.34486626412685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293.20194140252903</v>
      </c>
      <c r="BJ140" s="59">
        <f t="shared" si="146"/>
        <v>280.69048279989266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25.720494504996111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25.720494504996111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-1.1368683772161603E-13</v>
      </c>
      <c r="BZ140" s="13">
        <f>BY140*VLOOKUP('Données projet'!$B$12,Paramètres!$A$1:$I$89,3,0)*VLOOKUP('Données projet'!$B$12,Paramètres!$A$1:$I$89,5,0)</f>
        <v>-9.0449248091317723E-14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271.25628946149067</v>
      </c>
      <c r="CE140" s="59">
        <f t="shared" si="148"/>
        <v>292.57799203101769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32.931457366494968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32.931457366494968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5.6843418860808015E-14</v>
      </c>
      <c r="CU140" s="17">
        <f>CT140*VLOOKUP('Données projet'!$B$13,Paramètres!$A$1:$I$89,3,0)*VLOOKUP('Données projet'!$B$13,Paramètres!$A$1:$I$89,5,0)</f>
        <v>3.1036506698001178E-14</v>
      </c>
      <c r="CV140" s="13">
        <f t="shared" si="149"/>
        <v>5.3428243983771088E-13</v>
      </c>
      <c r="CW140" s="20">
        <f t="shared" si="121"/>
        <v>9.8459716521636505E-13</v>
      </c>
      <c r="CX140" s="59">
        <f t="shared" si="122"/>
        <v>293.33333333333428</v>
      </c>
      <c r="CY140" s="59">
        <f ca="1">AVERAGE(OFFSET($CX$3,0,0,'Données projet'!$E$13+1,1))-AVERAGE(OFFSET($H$3,0,0,'Données projet'!$E$13+1,1))</f>
        <v>210.03861149060413</v>
      </c>
      <c r="CZ140" s="59">
        <f t="shared" si="150"/>
        <v>298.74602928001929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19.710976669351876</v>
      </c>
      <c r="DG140" s="21">
        <f>EXP(-LN(2)/25)*DG139+(1-EXP(-LN(2)/25))/(LN(2)/25)*Calculateur!DB140*Calculateur!DD140*VLOOKUP('Données projet'!$B$13,Paramètres!$A$1:$I$89,3,0)*0.475*44/12</f>
        <v>5.0152171713530418</v>
      </c>
      <c r="DH140" s="21">
        <f>EXP(-LN(2)/2)*DH139+(1-EXP(-LN(2)/2))/(LN(2)/2)*DB140*DE140*VLOOKUP('Données projet'!$B$13,Paramètres!$A$1:$I$89,3,0)*0.475*44/12</f>
        <v>2.9025997355065077E-12</v>
      </c>
      <c r="DI140" s="22">
        <f t="shared" si="123"/>
        <v>24.726193840707818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-3.4106051316484809E-13</v>
      </c>
      <c r="DP140" s="17">
        <f>DO140*VLOOKUP('Données projet'!$B$14,Paramètres!$A$1:$I$89,3,0)*VLOOKUP('Données projet'!$B$14,Paramètres!$A$1:$I$89,5,0)</f>
        <v>-2.0395418687257919E-13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402.28353929315114</v>
      </c>
      <c r="DU140" s="59">
        <f t="shared" si="152"/>
        <v>376.94419168335463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55.082334650262474</v>
      </c>
      <c r="EB140" s="21">
        <f>EXP(-LN(2)/25)*EB139+(1-EXP(-LN(2)/25))/(LN(2)/25)*Calculateur!DW140*Calculateur!DY140*VLOOKUP('Données projet'!$B$14,Paramètres!$A$1:$I$89,3,0)*0.475*44/12</f>
        <v>7.6092790203327825</v>
      </c>
      <c r="EC140" s="21">
        <f>EXP(-LN(2)/2)*EC139+(1-EXP(-LN(2)/2))/(LN(2)/2)*DW140*DZ140*VLOOKUP('Données projet'!$B$14,Paramètres!$A$1:$I$89,3,0)*0.475*44/12</f>
        <v>3.0168150039542538E-9</v>
      </c>
      <c r="ED140" s="22">
        <f t="shared" si="126"/>
        <v>62.691613673612075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>
        <f>EJ140*VLOOKUP('Données projet'!$B$15,Paramètres!$A$1:$I$89,3,0)*VLOOKUP('Données projet'!$B$15,Paramètres!$A$1:$I$89,5,0)</f>
        <v>0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273.3012268683454</v>
      </c>
      <c r="EP140" s="59">
        <f t="shared" si="154"/>
        <v>254.08208375594052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33.760567427767761</v>
      </c>
      <c r="EW140" s="21">
        <f>EXP(-LN(2)/25)*EW139+(1-EXP(-LN(2)/25))/(LN(2)/25)*Calculateur!ER140*Calculateur!ET140*VLOOKUP('Données projet'!$B$15,Paramètres!$A$1:$I$89,3,0)*0.475*44/12</f>
        <v>8.5319182349097957</v>
      </c>
      <c r="EX140" s="21">
        <f>EXP(-LN(2)/2)*EX139+(1-EXP(-LN(2)/2))/(LN(2)/2)*ER140*EU140*VLOOKUP('Données projet'!$B$15,Paramètres!$A$1:$I$89,3,0)*0.475*44/12</f>
        <v>4.3308596695048832E-9</v>
      </c>
      <c r="EY140" s="22">
        <f t="shared" si="129"/>
        <v>42.292485667008414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-1.7053025658242404E-13</v>
      </c>
      <c r="O141" s="13">
        <f>N141*VLOOKUP('Données projet'!$B$9,Paramètres!$A$1:$I$89,3,0)*VLOOKUP('Données projet'!$B$9,Paramètres!$A$1:$I$89,5,0)</f>
        <v>-1.5429577615577727E-13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453.52760163325451</v>
      </c>
      <c r="T141" s="59">
        <f t="shared" si="142"/>
        <v>344.23959526427001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127.77809622933563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127.77809622933563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-1.1368683772161603E-13</v>
      </c>
      <c r="AJ141" s="13">
        <f>AI141*VLOOKUP('Données projet'!$B$10,Paramètres!$A$1:$I$89,3,0)*VLOOKUP('Données projet'!$B$10,Paramètres!$A$1:$I$89,5,0)</f>
        <v>-9.7543306765146564E-14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397.45670821030774</v>
      </c>
      <c r="AO141" s="59">
        <f t="shared" si="144"/>
        <v>256.77417912163997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97.396774031072539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97.396774031072539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293.20194140252903</v>
      </c>
      <c r="BJ141" s="59">
        <f t="shared" si="146"/>
        <v>280.69048279989266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25.216131295705729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25.216131295705729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-1.1368683772161603E-13</v>
      </c>
      <c r="BZ141" s="13">
        <f>BY141*VLOOKUP('Données projet'!$B$12,Paramètres!$A$1:$I$89,3,0)*VLOOKUP('Données projet'!$B$12,Paramètres!$A$1:$I$89,5,0)</f>
        <v>-9.0449248091317723E-14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271.25628946149067</v>
      </c>
      <c r="CE141" s="59">
        <f t="shared" si="148"/>
        <v>292.57799203101769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32.285691573743648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32.285691573743648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5.6843418860808015E-14</v>
      </c>
      <c r="CU141" s="17">
        <f>CT141*VLOOKUP('Données projet'!$B$13,Paramètres!$A$1:$I$89,3,0)*VLOOKUP('Données projet'!$B$13,Paramètres!$A$1:$I$89,5,0)</f>
        <v>3.1036506698001178E-14</v>
      </c>
      <c r="CV141" s="13">
        <f t="shared" si="149"/>
        <v>5.3428243983771088E-13</v>
      </c>
      <c r="CW141" s="20">
        <f t="shared" si="121"/>
        <v>9.8459716521636505E-13</v>
      </c>
      <c r="CX141" s="59">
        <f t="shared" si="122"/>
        <v>293.33333333333428</v>
      </c>
      <c r="CY141" s="59">
        <f ca="1">AVERAGE(OFFSET($CX$3,0,0,'Données projet'!$E$13+1,1))-AVERAGE(OFFSET($H$3,0,0,'Données projet'!$E$13+1,1))</f>
        <v>210.03861149060413</v>
      </c>
      <c r="CZ141" s="59">
        <f t="shared" si="150"/>
        <v>298.74602928001929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19.324456439374529</v>
      </c>
      <c r="DG141" s="21">
        <f>EXP(-LN(2)/25)*DG140+(1-EXP(-LN(2)/25))/(LN(2)/25)*Calculateur!DB141*Calculateur!DD141*VLOOKUP('Données projet'!$B$13,Paramètres!$A$1:$I$89,3,0)*0.475*44/12</f>
        <v>4.8780757940635846</v>
      </c>
      <c r="DH141" s="21">
        <f>EXP(-LN(2)/2)*DH140+(1-EXP(-LN(2)/2))/(LN(2)/2)*DB141*DE141*VLOOKUP('Données projet'!$B$13,Paramètres!$A$1:$I$89,3,0)*0.475*44/12</f>
        <v>2.0524479560469308E-12</v>
      </c>
      <c r="DI141" s="22">
        <f t="shared" si="123"/>
        <v>24.202532233440166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-3.4106051316484809E-13</v>
      </c>
      <c r="DP141" s="17">
        <f>DO141*VLOOKUP('Données projet'!$B$14,Paramètres!$A$1:$I$89,3,0)*VLOOKUP('Données projet'!$B$14,Paramètres!$A$1:$I$89,5,0)</f>
        <v>-2.0395418687257919E-13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402.28353929315114</v>
      </c>
      <c r="DU141" s="59">
        <f t="shared" si="152"/>
        <v>376.94419168335463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54.002203664677545</v>
      </c>
      <c r="EB141" s="21">
        <f>EXP(-LN(2)/25)*EB140+(1-EXP(-LN(2)/25))/(LN(2)/25)*Calculateur!DW141*Calculateur!DY141*VLOOKUP('Données projet'!$B$14,Paramètres!$A$1:$I$89,3,0)*0.475*44/12</f>
        <v>7.4012028853671898</v>
      </c>
      <c r="EC141" s="21">
        <f>EXP(-LN(2)/2)*EC140+(1-EXP(-LN(2)/2))/(LN(2)/2)*DW141*DZ141*VLOOKUP('Données projet'!$B$14,Paramètres!$A$1:$I$89,3,0)*0.475*44/12</f>
        <v>2.133210346881374E-9</v>
      </c>
      <c r="ED141" s="22">
        <f t="shared" si="126"/>
        <v>61.403406552177948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>
        <f>EJ141*VLOOKUP('Données projet'!$B$15,Paramètres!$A$1:$I$89,3,0)*VLOOKUP('Données projet'!$B$15,Paramètres!$A$1:$I$89,5,0)</f>
        <v>0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273.3012268683454</v>
      </c>
      <c r="EP141" s="59">
        <f t="shared" si="154"/>
        <v>254.08208375594052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33.098543292422086</v>
      </c>
      <c r="EW141" s="21">
        <f>EXP(-LN(2)/25)*EW140+(1-EXP(-LN(2)/25))/(LN(2)/25)*Calculateur!ER141*Calculateur!ET141*VLOOKUP('Données projet'!$B$15,Paramètres!$A$1:$I$89,3,0)*0.475*44/12</f>
        <v>8.2986124821021079</v>
      </c>
      <c r="EX141" s="21">
        <f>EXP(-LN(2)/2)*EX140+(1-EXP(-LN(2)/2))/(LN(2)/2)*ER141*EU141*VLOOKUP('Données projet'!$B$15,Paramètres!$A$1:$I$89,3,0)*0.475*44/12</f>
        <v>3.062380240674233E-9</v>
      </c>
      <c r="EY141" s="22">
        <f t="shared" si="129"/>
        <v>41.397155777586576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-1.7053025658242404E-13</v>
      </c>
      <c r="O142" s="13">
        <f>N142*VLOOKUP('Données projet'!$B$9,Paramètres!$A$1:$I$89,3,0)*VLOOKUP('Données projet'!$B$9,Paramètres!$A$1:$I$89,5,0)</f>
        <v>-1.5429577615577727E-13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453.52760163325451</v>
      </c>
      <c r="T142" s="59">
        <f t="shared" si="142"/>
        <v>344.23959526427001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125.27244569922142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125.27244569922142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-1.1368683772161603E-13</v>
      </c>
      <c r="AJ142" s="13">
        <f>AI142*VLOOKUP('Données projet'!$B$10,Paramètres!$A$1:$I$89,3,0)*VLOOKUP('Données projet'!$B$10,Paramètres!$A$1:$I$89,5,0)</f>
        <v>-9.7543306765146564E-14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397.45670821030774</v>
      </c>
      <c r="AO142" s="59">
        <f t="shared" si="144"/>
        <v>256.77417912163997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95.486882698489495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95.486882698489495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293.20194140252903</v>
      </c>
      <c r="BJ142" s="59">
        <f t="shared" si="146"/>
        <v>280.69048279989266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24.721658341318349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24.721658341318349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-1.1368683772161603E-13</v>
      </c>
      <c r="BZ142" s="13">
        <f>BY142*VLOOKUP('Données projet'!$B$12,Paramètres!$A$1:$I$89,3,0)*VLOOKUP('Données projet'!$B$12,Paramètres!$A$1:$I$89,5,0)</f>
        <v>-9.0449248091317723E-14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271.25628946149067</v>
      </c>
      <c r="CE142" s="59">
        <f t="shared" si="148"/>
        <v>292.57799203101769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31.65258885430994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31.65258885430994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5.6843418860808015E-14</v>
      </c>
      <c r="CU142" s="17">
        <f>CT142*VLOOKUP('Données projet'!$B$13,Paramètres!$A$1:$I$89,3,0)*VLOOKUP('Données projet'!$B$13,Paramètres!$A$1:$I$89,5,0)</f>
        <v>3.1036506698001178E-14</v>
      </c>
      <c r="CV142" s="13">
        <f t="shared" si="149"/>
        <v>5.3428243983771088E-13</v>
      </c>
      <c r="CW142" s="20">
        <f t="shared" si="121"/>
        <v>9.8459716521636505E-13</v>
      </c>
      <c r="CX142" s="59">
        <f t="shared" si="122"/>
        <v>293.33333333333428</v>
      </c>
      <c r="CY142" s="59">
        <f ca="1">AVERAGE(OFFSET($CX$3,0,0,'Données projet'!$E$13+1,1))-AVERAGE(OFFSET($H$3,0,0,'Données projet'!$E$13+1,1))</f>
        <v>210.03861149060413</v>
      </c>
      <c r="CZ142" s="59">
        <f t="shared" si="150"/>
        <v>298.74602928001929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18.945515635352976</v>
      </c>
      <c r="DG142" s="21">
        <f>EXP(-LN(2)/25)*DG141+(1-EXP(-LN(2)/25))/(LN(2)/25)*Calculateur!DB142*Calculateur!DD142*VLOOKUP('Données projet'!$B$13,Paramètres!$A$1:$I$89,3,0)*0.475*44/12</f>
        <v>4.7446845549480585</v>
      </c>
      <c r="DH142" s="21">
        <f>EXP(-LN(2)/2)*DH141+(1-EXP(-LN(2)/2))/(LN(2)/2)*DB142*DE142*VLOOKUP('Données projet'!$B$13,Paramètres!$A$1:$I$89,3,0)*0.475*44/12</f>
        <v>1.4512998677532538E-12</v>
      </c>
      <c r="DI142" s="22">
        <f t="shared" si="123"/>
        <v>23.690200190302487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-3.4106051316484809E-13</v>
      </c>
      <c r="DP142" s="17">
        <f>DO142*VLOOKUP('Données projet'!$B$14,Paramètres!$A$1:$I$89,3,0)*VLOOKUP('Données projet'!$B$14,Paramètres!$A$1:$I$89,5,0)</f>
        <v>-2.0395418687257919E-13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402.28353929315114</v>
      </c>
      <c r="DU142" s="59">
        <f t="shared" si="152"/>
        <v>376.94419168335463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52.943253388905084</v>
      </c>
      <c r="EB142" s="21">
        <f>EXP(-LN(2)/25)*EB141+(1-EXP(-LN(2)/25))/(LN(2)/25)*Calculateur!DW142*Calculateur!DY142*VLOOKUP('Données projet'!$B$14,Paramètres!$A$1:$I$89,3,0)*0.475*44/12</f>
        <v>7.19881660325448</v>
      </c>
      <c r="EC142" s="21">
        <f>EXP(-LN(2)/2)*EC141+(1-EXP(-LN(2)/2))/(LN(2)/2)*DW142*DZ142*VLOOKUP('Données projet'!$B$14,Paramètres!$A$1:$I$89,3,0)*0.475*44/12</f>
        <v>1.5084075019771269E-9</v>
      </c>
      <c r="ED142" s="22">
        <f t="shared" si="126"/>
        <v>60.142069993667967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>
        <f>EJ142*VLOOKUP('Données projet'!$B$15,Paramètres!$A$1:$I$89,3,0)*VLOOKUP('Données projet'!$B$15,Paramètres!$A$1:$I$89,5,0)</f>
        <v>0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273.3012268683454</v>
      </c>
      <c r="EP142" s="59">
        <f t="shared" si="154"/>
        <v>254.08208375594052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32.449501046575683</v>
      </c>
      <c r="EW142" s="21">
        <f>EXP(-LN(2)/25)*EW141+(1-EXP(-LN(2)/25))/(LN(2)/25)*Calculateur!ER142*Calculateur!ET142*VLOOKUP('Données projet'!$B$15,Paramètres!$A$1:$I$89,3,0)*0.475*44/12</f>
        <v>8.0716864873739613</v>
      </c>
      <c r="EX142" s="21">
        <f>EXP(-LN(2)/2)*EX141+(1-EXP(-LN(2)/2))/(LN(2)/2)*ER142*EU142*VLOOKUP('Données projet'!$B$15,Paramètres!$A$1:$I$89,3,0)*0.475*44/12</f>
        <v>2.1654298347524416E-9</v>
      </c>
      <c r="EY142" s="22">
        <f t="shared" si="129"/>
        <v>40.521187536115072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-1.7053025658242404E-13</v>
      </c>
      <c r="O143" s="13">
        <f>N143*VLOOKUP('Données projet'!$B$9,Paramètres!$A$1:$I$89,3,0)*VLOOKUP('Données projet'!$B$9,Paramètres!$A$1:$I$89,5,0)</f>
        <v>-1.5429577615577727E-13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453.52760163325451</v>
      </c>
      <c r="T143" s="59">
        <f t="shared" si="142"/>
        <v>344.23959526427001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122.81592944770684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122.81592944770684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-1.1368683772161603E-13</v>
      </c>
      <c r="AJ143" s="13">
        <f>AI143*VLOOKUP('Données projet'!$B$10,Paramètres!$A$1:$I$89,3,0)*VLOOKUP('Données projet'!$B$10,Paramètres!$A$1:$I$89,5,0)</f>
        <v>-9.7543306765146564E-14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397.45670821030774</v>
      </c>
      <c r="AO143" s="59">
        <f t="shared" si="144"/>
        <v>256.77417912163997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93.614443170019712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93.614443170019712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293.20194140252903</v>
      </c>
      <c r="BJ143" s="59">
        <f t="shared" si="146"/>
        <v>280.69048279989266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24.236881699967785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24.236881699967785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-1.1368683772161603E-13</v>
      </c>
      <c r="BZ143" s="13">
        <f>BY143*VLOOKUP('Données projet'!$B$12,Paramètres!$A$1:$I$89,3,0)*VLOOKUP('Données projet'!$B$12,Paramètres!$A$1:$I$89,5,0)</f>
        <v>-9.0449248091317723E-14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271.25628946149067</v>
      </c>
      <c r="CE143" s="59">
        <f t="shared" si="148"/>
        <v>292.57799203101769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31.031900893049798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31.031900893049798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5.6843418860808015E-14</v>
      </c>
      <c r="CU143" s="17">
        <f>CT143*VLOOKUP('Données projet'!$B$13,Paramètres!$A$1:$I$89,3,0)*VLOOKUP('Données projet'!$B$13,Paramètres!$A$1:$I$89,5,0)</f>
        <v>3.1036506698001178E-14</v>
      </c>
      <c r="CV143" s="13">
        <f t="shared" si="149"/>
        <v>5.3428243983771088E-13</v>
      </c>
      <c r="CW143" s="20">
        <f t="shared" si="121"/>
        <v>9.8459716521636505E-13</v>
      </c>
      <c r="CX143" s="59">
        <f t="shared" si="122"/>
        <v>293.33333333333428</v>
      </c>
      <c r="CY143" s="59">
        <f ca="1">AVERAGE(OFFSET($CX$3,0,0,'Données projet'!$E$13+1,1))-AVERAGE(OFFSET($H$3,0,0,'Données projet'!$E$13+1,1))</f>
        <v>210.03861149060413</v>
      </c>
      <c r="CZ143" s="59">
        <f t="shared" si="150"/>
        <v>298.74602928001929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18.574005629367218</v>
      </c>
      <c r="DG143" s="21">
        <f>EXP(-LN(2)/25)*DG142+(1-EXP(-LN(2)/25))/(LN(2)/25)*Calculateur!DB143*Calculateur!DD143*VLOOKUP('Données projet'!$B$13,Paramètres!$A$1:$I$89,3,0)*0.475*44/12</f>
        <v>4.6149409062808875</v>
      </c>
      <c r="DH143" s="21">
        <f>EXP(-LN(2)/2)*DH142+(1-EXP(-LN(2)/2))/(LN(2)/2)*DB143*DE143*VLOOKUP('Données projet'!$B$13,Paramètres!$A$1:$I$89,3,0)*0.475*44/12</f>
        <v>1.0262239780234654E-12</v>
      </c>
      <c r="DI143" s="22">
        <f t="shared" si="123"/>
        <v>23.188946535649134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-3.4106051316484809E-13</v>
      </c>
      <c r="DP143" s="17">
        <f>DO143*VLOOKUP('Données projet'!$B$14,Paramètres!$A$1:$I$89,3,0)*VLOOKUP('Données projet'!$B$14,Paramètres!$A$1:$I$89,5,0)</f>
        <v>-2.0395418687257919E-13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402.28353929315114</v>
      </c>
      <c r="DU143" s="59">
        <f t="shared" si="152"/>
        <v>376.94419168335463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51.905068482144635</v>
      </c>
      <c r="EB143" s="21">
        <f>EXP(-LN(2)/25)*EB142+(1-EXP(-LN(2)/25))/(LN(2)/25)*Calculateur!DW143*Calculateur!DY143*VLOOKUP('Données projet'!$B$14,Paramètres!$A$1:$I$89,3,0)*0.475*44/12</f>
        <v>7.0019645846691745</v>
      </c>
      <c r="EC143" s="21">
        <f>EXP(-LN(2)/2)*EC142+(1-EXP(-LN(2)/2))/(LN(2)/2)*DW143*DZ143*VLOOKUP('Données projet'!$B$14,Paramètres!$A$1:$I$89,3,0)*0.475*44/12</f>
        <v>1.066605173440687E-9</v>
      </c>
      <c r="ED143" s="22">
        <f t="shared" si="126"/>
        <v>58.907033067880413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>
        <f>EJ143*VLOOKUP('Données projet'!$B$15,Paramètres!$A$1:$I$89,3,0)*VLOOKUP('Données projet'!$B$15,Paramètres!$A$1:$I$89,5,0)</f>
        <v>0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273.3012268683454</v>
      </c>
      <c r="EP143" s="59">
        <f t="shared" si="154"/>
        <v>254.08208375594052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31.813186123293651</v>
      </c>
      <c r="EW143" s="21">
        <f>EXP(-LN(2)/25)*EW142+(1-EXP(-LN(2)/25))/(LN(2)/25)*Calculateur!ER143*Calculateur!ET143*VLOOKUP('Données projet'!$B$15,Paramètres!$A$1:$I$89,3,0)*0.475*44/12</f>
        <v>7.850965795905176</v>
      </c>
      <c r="EX143" s="21">
        <f>EXP(-LN(2)/2)*EX142+(1-EXP(-LN(2)/2))/(LN(2)/2)*ER143*EU143*VLOOKUP('Données projet'!$B$15,Paramètres!$A$1:$I$89,3,0)*0.475*44/12</f>
        <v>1.5311901203371165E-9</v>
      </c>
      <c r="EY143" s="22">
        <f t="shared" si="129"/>
        <v>39.664151920730021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-1.7053025658242404E-13</v>
      </c>
      <c r="O144" s="13">
        <f>N144*VLOOKUP('Données projet'!$B$9,Paramètres!$A$1:$I$89,3,0)*VLOOKUP('Données projet'!$B$9,Paramètres!$A$1:$I$89,5,0)</f>
        <v>-1.5429577615577727E-13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453.52760163325451</v>
      </c>
      <c r="T144" s="59">
        <f t="shared" si="142"/>
        <v>344.23959526427001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120.40758398155749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120.40758398155749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-1.1368683772161603E-13</v>
      </c>
      <c r="AJ144" s="13">
        <f>AI144*VLOOKUP('Données projet'!$B$10,Paramètres!$A$1:$I$89,3,0)*VLOOKUP('Données projet'!$B$10,Paramètres!$A$1:$I$89,5,0)</f>
        <v>-9.7543306765146564E-14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397.45670821030774</v>
      </c>
      <c r="AO144" s="59">
        <f t="shared" si="144"/>
        <v>256.77417912163997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91.778721038627879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91.778721038627879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293.20194140252903</v>
      </c>
      <c r="BJ144" s="59">
        <f t="shared" si="146"/>
        <v>280.69048279989266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23.761611232869551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23.761611232869551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-1.1368683772161603E-13</v>
      </c>
      <c r="BZ144" s="13">
        <f>BY144*VLOOKUP('Données projet'!$B$12,Paramètres!$A$1:$I$89,3,0)*VLOOKUP('Données projet'!$B$12,Paramètres!$A$1:$I$89,5,0)</f>
        <v>-9.0449248091317723E-14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271.25628946149067</v>
      </c>
      <c r="CE144" s="59">
        <f t="shared" si="148"/>
        <v>292.57799203101769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30.423384244127693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30.423384244127693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5.6843418860808015E-14</v>
      </c>
      <c r="CU144" s="17">
        <f>CT144*VLOOKUP('Données projet'!$B$13,Paramètres!$A$1:$I$89,3,0)*VLOOKUP('Données projet'!$B$13,Paramètres!$A$1:$I$89,5,0)</f>
        <v>3.1036506698001178E-14</v>
      </c>
      <c r="CV144" s="13">
        <f t="shared" si="149"/>
        <v>5.3428243983771088E-13</v>
      </c>
      <c r="CW144" s="20">
        <f t="shared" si="121"/>
        <v>9.8459716521636505E-13</v>
      </c>
      <c r="CX144" s="59">
        <f t="shared" si="122"/>
        <v>293.33333333333428</v>
      </c>
      <c r="CY144" s="59">
        <f ca="1">AVERAGE(OFFSET($CX$3,0,0,'Données projet'!$E$13+1,1))-AVERAGE(OFFSET($H$3,0,0,'Données projet'!$E$13+1,1))</f>
        <v>210.03861149060413</v>
      </c>
      <c r="CZ144" s="59">
        <f t="shared" si="150"/>
        <v>298.74602928001929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18.20978070800011</v>
      </c>
      <c r="DG144" s="21">
        <f>EXP(-LN(2)/25)*DG143+(1-EXP(-LN(2)/25))/(LN(2)/25)*Calculateur!DB144*Calculateur!DD144*VLOOKUP('Données projet'!$B$13,Paramètres!$A$1:$I$89,3,0)*0.475*44/12</f>
        <v>4.4887451045094418</v>
      </c>
      <c r="DH144" s="21">
        <f>EXP(-LN(2)/2)*DH143+(1-EXP(-LN(2)/2))/(LN(2)/2)*DB144*DE144*VLOOKUP('Données projet'!$B$13,Paramètres!$A$1:$I$89,3,0)*0.475*44/12</f>
        <v>7.2564993387662692E-13</v>
      </c>
      <c r="DI144" s="22">
        <f t="shared" si="123"/>
        <v>22.698525812510276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-3.4106051316484809E-13</v>
      </c>
      <c r="DP144" s="17">
        <f>DO144*VLOOKUP('Données projet'!$B$14,Paramètres!$A$1:$I$89,3,0)*VLOOKUP('Données projet'!$B$14,Paramètres!$A$1:$I$89,5,0)</f>
        <v>-2.0395418687257919E-13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402.28353929315114</v>
      </c>
      <c r="DU144" s="59">
        <f t="shared" si="152"/>
        <v>376.94419168335463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50.887241748175491</v>
      </c>
      <c r="EB144" s="21">
        <f>EXP(-LN(2)/25)*EB143+(1-EXP(-LN(2)/25))/(LN(2)/25)*Calculateur!DW144*Calculateur!DY144*VLOOKUP('Données projet'!$B$14,Paramètres!$A$1:$I$89,3,0)*0.475*44/12</f>
        <v>6.8104954948840817</v>
      </c>
      <c r="EC144" s="21">
        <f>EXP(-LN(2)/2)*EC143+(1-EXP(-LN(2)/2))/(LN(2)/2)*DW144*DZ144*VLOOKUP('Données projet'!$B$14,Paramètres!$A$1:$I$89,3,0)*0.475*44/12</f>
        <v>7.5420375098856344E-10</v>
      </c>
      <c r="ED144" s="22">
        <f t="shared" si="126"/>
        <v>57.697737243813776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>
        <f>EJ144*VLOOKUP('Données projet'!$B$15,Paramètres!$A$1:$I$89,3,0)*VLOOKUP('Données projet'!$B$15,Paramètres!$A$1:$I$89,5,0)</f>
        <v>0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273.3012268683454</v>
      </c>
      <c r="EP144" s="59">
        <f t="shared" si="154"/>
        <v>254.08208375594052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31.189348947543397</v>
      </c>
      <c r="EW144" s="21">
        <f>EXP(-LN(2)/25)*EW143+(1-EXP(-LN(2)/25))/(LN(2)/25)*Calculateur!ER144*Calculateur!ET144*VLOOKUP('Données projet'!$B$15,Paramètres!$A$1:$I$89,3,0)*0.475*44/12</f>
        <v>7.6362807233518017</v>
      </c>
      <c r="EX144" s="21">
        <f>EXP(-LN(2)/2)*EX143+(1-EXP(-LN(2)/2))/(LN(2)/2)*ER144*EU144*VLOOKUP('Données projet'!$B$15,Paramètres!$A$1:$I$89,3,0)*0.475*44/12</f>
        <v>1.0827149173762208E-9</v>
      </c>
      <c r="EY144" s="22">
        <f t="shared" si="129"/>
        <v>38.825629671977914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-1.7053025658242404E-13</v>
      </c>
      <c r="O145" s="13">
        <f>N145*VLOOKUP('Données projet'!$B$9,Paramètres!$A$1:$I$89,3,0)*VLOOKUP('Données projet'!$B$9,Paramètres!$A$1:$I$89,5,0)</f>
        <v>-1.5429577615577727E-13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453.52760163325451</v>
      </c>
      <c r="T145" s="59">
        <f t="shared" si="142"/>
        <v>344.23959526427001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118.04646470105365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118.04646470105365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-1.1368683772161603E-13</v>
      </c>
      <c r="AJ145" s="13">
        <f>AI145*VLOOKUP('Données projet'!$B$10,Paramètres!$A$1:$I$89,3,0)*VLOOKUP('Données projet'!$B$10,Paramètres!$A$1:$I$89,5,0)</f>
        <v>-9.7543306765146564E-14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397.45670821030774</v>
      </c>
      <c r="AO145" s="59">
        <f t="shared" si="144"/>
        <v>256.77417912163997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89.978996298552701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89.978996298552701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293.20194140252903</v>
      </c>
      <c r="BJ145" s="59">
        <f t="shared" si="146"/>
        <v>280.69048279989266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23.295660529744751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23.295660529744751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-1.1368683772161603E-13</v>
      </c>
      <c r="BZ145" s="13">
        <f>BY145*VLOOKUP('Données projet'!$B$12,Paramètres!$A$1:$I$89,3,0)*VLOOKUP('Données projet'!$B$12,Paramètres!$A$1:$I$89,5,0)</f>
        <v>-9.0449248091317723E-14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271.25628946149067</v>
      </c>
      <c r="CE145" s="59">
        <f t="shared" si="148"/>
        <v>292.57799203101769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29.826800235532442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29.826800235532442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5.6843418860808015E-14</v>
      </c>
      <c r="CU145" s="17">
        <f>CT145*VLOOKUP('Données projet'!$B$13,Paramètres!$A$1:$I$89,3,0)*VLOOKUP('Données projet'!$B$13,Paramètres!$A$1:$I$89,5,0)</f>
        <v>3.1036506698001178E-14</v>
      </c>
      <c r="CV145" s="13">
        <f t="shared" si="149"/>
        <v>5.3428243983771088E-13</v>
      </c>
      <c r="CW145" s="20">
        <f t="shared" si="121"/>
        <v>9.8459716521636505E-13</v>
      </c>
      <c r="CX145" s="59">
        <f t="shared" si="122"/>
        <v>293.33333333333428</v>
      </c>
      <c r="CY145" s="59">
        <f ca="1">AVERAGE(OFFSET($CX$3,0,0,'Données projet'!$E$13+1,1))-AVERAGE(OFFSET($H$3,0,0,'Données projet'!$E$13+1,1))</f>
        <v>210.03861149060413</v>
      </c>
      <c r="CZ145" s="59">
        <f t="shared" si="150"/>
        <v>298.74602928001929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17.852698015185748</v>
      </c>
      <c r="DG145" s="21">
        <f>EXP(-LN(2)/25)*DG144+(1-EXP(-LN(2)/25))/(LN(2)/25)*Calculateur!DB145*Calculateur!DD145*VLOOKUP('Données projet'!$B$13,Paramètres!$A$1:$I$89,3,0)*0.475*44/12</f>
        <v>4.3660001335737855</v>
      </c>
      <c r="DH145" s="21">
        <f>EXP(-LN(2)/2)*DH144+(1-EXP(-LN(2)/2))/(LN(2)/2)*DB145*DE145*VLOOKUP('Données projet'!$B$13,Paramètres!$A$1:$I$89,3,0)*0.475*44/12</f>
        <v>5.1311198901173271E-13</v>
      </c>
      <c r="DI145" s="22">
        <f t="shared" si="123"/>
        <v>22.218698148760044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-3.4106051316484809E-13</v>
      </c>
      <c r="DP145" s="17">
        <f>DO145*VLOOKUP('Données projet'!$B$14,Paramètres!$A$1:$I$89,3,0)*VLOOKUP('Données projet'!$B$14,Paramètres!$A$1:$I$89,5,0)</f>
        <v>-2.0395418687257919E-13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402.28353929315114</v>
      </c>
      <c r="DU145" s="59">
        <f t="shared" si="152"/>
        <v>376.94419168335463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49.889373975646471</v>
      </c>
      <c r="EB145" s="21">
        <f>EXP(-LN(2)/25)*EB144+(1-EXP(-LN(2)/25))/(LN(2)/25)*Calculateur!DW145*Calculateur!DY145*VLOOKUP('Données projet'!$B$14,Paramètres!$A$1:$I$89,3,0)*0.475*44/12</f>
        <v>6.6242621374280839</v>
      </c>
      <c r="EC145" s="21">
        <f>EXP(-LN(2)/2)*EC144+(1-EXP(-LN(2)/2))/(LN(2)/2)*DW145*DZ145*VLOOKUP('Données projet'!$B$14,Paramètres!$A$1:$I$89,3,0)*0.475*44/12</f>
        <v>5.3330258672034351E-10</v>
      </c>
      <c r="ED145" s="22">
        <f t="shared" si="126"/>
        <v>56.513636113607859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>
        <f>EJ145*VLOOKUP('Données projet'!$B$15,Paramètres!$A$1:$I$89,3,0)*VLOOKUP('Données projet'!$B$15,Paramètres!$A$1:$I$89,5,0)</f>
        <v>0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273.3012268683454</v>
      </c>
      <c r="EP145" s="59">
        <f t="shared" si="154"/>
        <v>254.08208375594052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30.577744838306501</v>
      </c>
      <c r="EW145" s="21">
        <f>EXP(-LN(2)/25)*EW144+(1-EXP(-LN(2)/25))/(LN(2)/25)*Calculateur!ER145*Calculateur!ET145*VLOOKUP('Données projet'!$B$15,Paramètres!$A$1:$I$89,3,0)*0.475*44/12</f>
        <v>7.4274662253971968</v>
      </c>
      <c r="EX145" s="21">
        <f>EXP(-LN(2)/2)*EX144+(1-EXP(-LN(2)/2))/(LN(2)/2)*ER145*EU145*VLOOKUP('Données projet'!$B$15,Paramètres!$A$1:$I$89,3,0)*0.475*44/12</f>
        <v>7.6559506016855825E-10</v>
      </c>
      <c r="EY145" s="22">
        <f t="shared" si="129"/>
        <v>38.005211064469293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-1.7053025658242404E-13</v>
      </c>
      <c r="O146" s="13">
        <f>N146*VLOOKUP('Données projet'!$B$9,Paramètres!$A$1:$I$89,3,0)*VLOOKUP('Données projet'!$B$9,Paramètres!$A$1:$I$89,5,0)</f>
        <v>-1.5429577615577727E-13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453.52760163325451</v>
      </c>
      <c r="T146" s="59">
        <f t="shared" si="142"/>
        <v>344.23959526427001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115.73164552949993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115.73164552949993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-1.1368683772161603E-13</v>
      </c>
      <c r="AJ146" s="13">
        <f>AI146*VLOOKUP('Données projet'!$B$10,Paramètres!$A$1:$I$89,3,0)*VLOOKUP('Données projet'!$B$10,Paramètres!$A$1:$I$89,5,0)</f>
        <v>-9.7543306765146564E-14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397.45670821030774</v>
      </c>
      <c r="AO146" s="59">
        <f t="shared" si="144"/>
        <v>256.77417912163997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88.214563062906706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88.214563062906706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293.20194140252903</v>
      </c>
      <c r="BJ146" s="59">
        <f t="shared" si="146"/>
        <v>280.69048279989266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22.838846835706363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22.838846835706363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-1.1368683772161603E-13</v>
      </c>
      <c r="BZ146" s="13">
        <f>BY146*VLOOKUP('Données projet'!$B$12,Paramètres!$A$1:$I$89,3,0)*VLOOKUP('Données projet'!$B$12,Paramètres!$A$1:$I$89,5,0)</f>
        <v>-9.0449248091317723E-14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271.25628946149067</v>
      </c>
      <c r="CE146" s="59">
        <f t="shared" si="148"/>
        <v>292.57799203101769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29.241914875465429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29.241914875465429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5.6843418860808015E-14</v>
      </c>
      <c r="CU146" s="17">
        <f>CT146*VLOOKUP('Données projet'!$B$13,Paramètres!$A$1:$I$89,3,0)*VLOOKUP('Données projet'!$B$13,Paramètres!$A$1:$I$89,5,0)</f>
        <v>3.1036506698001178E-14</v>
      </c>
      <c r="CV146" s="13">
        <f t="shared" si="149"/>
        <v>5.3428243983771088E-13</v>
      </c>
      <c r="CW146" s="20">
        <f t="shared" si="121"/>
        <v>9.8459716521636505E-13</v>
      </c>
      <c r="CX146" s="59">
        <f t="shared" si="122"/>
        <v>293.33333333333428</v>
      </c>
      <c r="CY146" s="59">
        <f ca="1">AVERAGE(OFFSET($CX$3,0,0,'Données projet'!$E$13+1,1))-AVERAGE(OFFSET($H$3,0,0,'Données projet'!$E$13+1,1))</f>
        <v>210.03861149060413</v>
      </c>
      <c r="CZ146" s="59">
        <f t="shared" si="150"/>
        <v>298.74602928001929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17.502617496178537</v>
      </c>
      <c r="DG146" s="21">
        <f>EXP(-LN(2)/25)*DG145+(1-EXP(-LN(2)/25))/(LN(2)/25)*Calculateur!DB146*Calculateur!DD146*VLOOKUP('Données projet'!$B$13,Paramètres!$A$1:$I$89,3,0)*0.475*44/12</f>
        <v>4.2466116303232422</v>
      </c>
      <c r="DH146" s="21">
        <f>EXP(-LN(2)/2)*DH145+(1-EXP(-LN(2)/2))/(LN(2)/2)*DB146*DE146*VLOOKUP('Données projet'!$B$13,Paramètres!$A$1:$I$89,3,0)*0.475*44/12</f>
        <v>3.6282496693831346E-13</v>
      </c>
      <c r="DI146" s="22">
        <f t="shared" si="123"/>
        <v>21.749229126502144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-3.4106051316484809E-13</v>
      </c>
      <c r="DP146" s="17">
        <f>DO146*VLOOKUP('Données projet'!$B$14,Paramètres!$A$1:$I$89,3,0)*VLOOKUP('Données projet'!$B$14,Paramètres!$A$1:$I$89,5,0)</f>
        <v>-2.0395418687257919E-13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402.28353929315114</v>
      </c>
      <c r="DU146" s="59">
        <f t="shared" si="152"/>
        <v>376.94419168335463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48.911073781497507</v>
      </c>
      <c r="EB146" s="21">
        <f>EXP(-LN(2)/25)*EB145+(1-EXP(-LN(2)/25))/(LN(2)/25)*Calculateur!DW146*Calculateur!DY146*VLOOKUP('Données projet'!$B$14,Paramètres!$A$1:$I$89,3,0)*0.475*44/12</f>
        <v>6.4431213409253072</v>
      </c>
      <c r="EC146" s="21">
        <f>EXP(-LN(2)/2)*EC145+(1-EXP(-LN(2)/2))/(LN(2)/2)*DW146*DZ146*VLOOKUP('Données projet'!$B$14,Paramètres!$A$1:$I$89,3,0)*0.475*44/12</f>
        <v>3.7710187549428172E-10</v>
      </c>
      <c r="ED146" s="22">
        <f t="shared" si="126"/>
        <v>55.354195122799915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>
        <f>EJ146*VLOOKUP('Données projet'!$B$15,Paramètres!$A$1:$I$89,3,0)*VLOOKUP('Données projet'!$B$15,Paramètres!$A$1:$I$89,5,0)</f>
        <v>0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273.3012268683454</v>
      </c>
      <c r="EP146" s="59">
        <f t="shared" si="154"/>
        <v>254.08208375594052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29.978133912610069</v>
      </c>
      <c r="EW146" s="21">
        <f>EXP(-LN(2)/25)*EW145+(1-EXP(-LN(2)/25))/(LN(2)/25)*Calculateur!ER146*Calculateur!ET146*VLOOKUP('Données projet'!$B$15,Paramètres!$A$1:$I$89,3,0)*0.475*44/12</f>
        <v>7.224361770870237</v>
      </c>
      <c r="EX146" s="21">
        <f>EXP(-LN(2)/2)*EX145+(1-EXP(-LN(2)/2))/(LN(2)/2)*ER146*EU146*VLOOKUP('Données projet'!$B$15,Paramètres!$A$1:$I$89,3,0)*0.475*44/12</f>
        <v>5.4135745868811041E-10</v>
      </c>
      <c r="EY146" s="22">
        <f t="shared" si="129"/>
        <v>37.202495684021663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-1.7053025658242404E-13</v>
      </c>
      <c r="O147" s="13">
        <f>N147*VLOOKUP('Données projet'!$B$9,Paramètres!$A$1:$I$89,3,0)*VLOOKUP('Données projet'!$B$9,Paramètres!$A$1:$I$89,5,0)</f>
        <v>-1.5429577615577727E-13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453.52760163325451</v>
      </c>
      <c r="T147" s="59">
        <f t="shared" si="142"/>
        <v>344.23959526427001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113.46221855000009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113.46221855000009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-1.1368683772161603E-13</v>
      </c>
      <c r="AJ147" s="13">
        <f>AI147*VLOOKUP('Données projet'!$B$10,Paramètres!$A$1:$I$89,3,0)*VLOOKUP('Données projet'!$B$10,Paramètres!$A$1:$I$89,5,0)</f>
        <v>-9.7543306765146564E-14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397.45670821030774</v>
      </c>
      <c r="AO147" s="59">
        <f t="shared" si="144"/>
        <v>256.77417912163997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86.484729286813717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86.484729286813717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293.20194140252903</v>
      </c>
      <c r="BJ147" s="59">
        <f t="shared" si="146"/>
        <v>280.69048279989266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22.390990979579225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22.390990979579225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-1.1368683772161603E-13</v>
      </c>
      <c r="BZ147" s="13">
        <f>BY147*VLOOKUP('Données projet'!$B$12,Paramètres!$A$1:$I$89,3,0)*VLOOKUP('Données projet'!$B$12,Paramètres!$A$1:$I$89,5,0)</f>
        <v>-9.0449248091317723E-14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271.25628946149067</v>
      </c>
      <c r="CE147" s="59">
        <f t="shared" si="148"/>
        <v>292.57799203101769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28.668498760564486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28.668498760564486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5.6843418860808015E-14</v>
      </c>
      <c r="CU147" s="17">
        <f>CT147*VLOOKUP('Données projet'!$B$13,Paramètres!$A$1:$I$89,3,0)*VLOOKUP('Données projet'!$B$13,Paramètres!$A$1:$I$89,5,0)</f>
        <v>3.1036506698001178E-14</v>
      </c>
      <c r="CV147" s="13">
        <f t="shared" si="149"/>
        <v>5.3428243983771088E-13</v>
      </c>
      <c r="CW147" s="20">
        <f t="shared" si="121"/>
        <v>9.8459716521636505E-13</v>
      </c>
      <c r="CX147" s="59">
        <f t="shared" si="122"/>
        <v>293.33333333333428</v>
      </c>
      <c r="CY147" s="59">
        <f ca="1">AVERAGE(OFFSET($CX$3,0,0,'Données projet'!$E$13+1,1))-AVERAGE(OFFSET($H$3,0,0,'Données projet'!$E$13+1,1))</f>
        <v>210.03861149060413</v>
      </c>
      <c r="CZ147" s="59">
        <f t="shared" si="150"/>
        <v>298.74602928001929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17.159401842621026</v>
      </c>
      <c r="DG147" s="21">
        <f>EXP(-LN(2)/25)*DG146+(1-EXP(-LN(2)/25))/(LN(2)/25)*Calculateur!DB147*Calculateur!DD147*VLOOKUP('Données projet'!$B$13,Paramètres!$A$1:$I$89,3,0)*0.475*44/12</f>
        <v>4.1304878119724533</v>
      </c>
      <c r="DH147" s="21">
        <f>EXP(-LN(2)/2)*DH146+(1-EXP(-LN(2)/2))/(LN(2)/2)*DB147*DE147*VLOOKUP('Données projet'!$B$13,Paramètres!$A$1:$I$89,3,0)*0.475*44/12</f>
        <v>2.5655599450586635E-13</v>
      </c>
      <c r="DI147" s="22">
        <f t="shared" si="123"/>
        <v>21.289889654593736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-3.4106051316484809E-13</v>
      </c>
      <c r="DP147" s="17">
        <f>DO147*VLOOKUP('Données projet'!$B$14,Paramètres!$A$1:$I$89,3,0)*VLOOKUP('Données projet'!$B$14,Paramètres!$A$1:$I$89,5,0)</f>
        <v>-2.0395418687257919E-13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402.28353929315114</v>
      </c>
      <c r="DU147" s="59">
        <f t="shared" si="152"/>
        <v>376.94419168335463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47.951957457451599</v>
      </c>
      <c r="EB147" s="21">
        <f>EXP(-LN(2)/25)*EB146+(1-EXP(-LN(2)/25))/(LN(2)/25)*Calculateur!DW147*Calculateur!DY147*VLOOKUP('Données projet'!$B$14,Paramètres!$A$1:$I$89,3,0)*0.475*44/12</f>
        <v>6.2669338490286792</v>
      </c>
      <c r="EC147" s="21">
        <f>EXP(-LN(2)/2)*EC146+(1-EXP(-LN(2)/2))/(LN(2)/2)*DW147*DZ147*VLOOKUP('Données projet'!$B$14,Paramètres!$A$1:$I$89,3,0)*0.475*44/12</f>
        <v>2.6665129336017175E-10</v>
      </c>
      <c r="ED147" s="22">
        <f t="shared" si="126"/>
        <v>54.218891306746933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>
        <f>EJ147*VLOOKUP('Données projet'!$B$15,Paramètres!$A$1:$I$89,3,0)*VLOOKUP('Données projet'!$B$15,Paramètres!$A$1:$I$89,5,0)</f>
        <v>0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273.3012268683454</v>
      </c>
      <c r="EP147" s="59">
        <f t="shared" si="154"/>
        <v>254.08208375594052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29.390280991439994</v>
      </c>
      <c r="EW147" s="21">
        <f>EXP(-LN(2)/25)*EW146+(1-EXP(-LN(2)/25))/(LN(2)/25)*Calculateur!ER147*Calculateur!ET147*VLOOKUP('Données projet'!$B$15,Paramètres!$A$1:$I$89,3,0)*0.475*44/12</f>
        <v>7.0268112183331164</v>
      </c>
      <c r="EX147" s="21">
        <f>EXP(-LN(2)/2)*EX146+(1-EXP(-LN(2)/2))/(LN(2)/2)*ER147*EU147*VLOOKUP('Données projet'!$B$15,Paramètres!$A$1:$I$89,3,0)*0.475*44/12</f>
        <v>3.8279753008427913E-10</v>
      </c>
      <c r="EY147" s="22">
        <f t="shared" si="129"/>
        <v>36.417092210155907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-1.7053025658242404E-13</v>
      </c>
      <c r="O148" s="13">
        <f>N148*VLOOKUP('Données projet'!$B$9,Paramètres!$A$1:$I$89,3,0)*VLOOKUP('Données projet'!$B$9,Paramètres!$A$1:$I$89,5,0)</f>
        <v>-1.5429577615577727E-13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453.52760163325451</v>
      </c>
      <c r="T148" s="59">
        <f t="shared" si="142"/>
        <v>344.23959526427001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111.23729364935447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111.23729364935447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-1.1368683772161603E-13</v>
      </c>
      <c r="AJ148" s="13">
        <f>AI148*VLOOKUP('Données projet'!$B$10,Paramètres!$A$1:$I$89,3,0)*VLOOKUP('Données projet'!$B$10,Paramètres!$A$1:$I$89,5,0)</f>
        <v>-9.7543306765146564E-14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397.45670821030774</v>
      </c>
      <c r="AO148" s="59">
        <f t="shared" si="144"/>
        <v>256.77417912163997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84.788816495975482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84.788816495975482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293.20194140252903</v>
      </c>
      <c r="BJ148" s="59">
        <f t="shared" si="146"/>
        <v>280.69048279989266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21.951917303625642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21.951917303625642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-1.1368683772161603E-13</v>
      </c>
      <c r="BZ148" s="13">
        <f>BY148*VLOOKUP('Données projet'!$B$12,Paramètres!$A$1:$I$89,3,0)*VLOOKUP('Données projet'!$B$12,Paramètres!$A$1:$I$89,5,0)</f>
        <v>-9.0449248091317723E-14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271.25628946149067</v>
      </c>
      <c r="CE148" s="59">
        <f t="shared" si="148"/>
        <v>292.57799203101769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28.106326985927456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28.106326985927456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5.6843418860808015E-14</v>
      </c>
      <c r="CU148" s="17">
        <f>CT148*VLOOKUP('Données projet'!$B$13,Paramètres!$A$1:$I$89,3,0)*VLOOKUP('Données projet'!$B$13,Paramètres!$A$1:$I$89,5,0)</f>
        <v>3.1036506698001178E-14</v>
      </c>
      <c r="CV148" s="13">
        <f t="shared" si="149"/>
        <v>5.3428243983771088E-13</v>
      </c>
      <c r="CW148" s="20">
        <f t="shared" si="121"/>
        <v>9.8459716521636505E-13</v>
      </c>
      <c r="CX148" s="59">
        <f t="shared" si="122"/>
        <v>293.33333333333428</v>
      </c>
      <c r="CY148" s="59">
        <f ca="1">AVERAGE(OFFSET($CX$3,0,0,'Données projet'!$E$13+1,1))-AVERAGE(OFFSET($H$3,0,0,'Données projet'!$E$13+1,1))</f>
        <v>210.03861149060413</v>
      </c>
      <c r="CZ148" s="59">
        <f t="shared" si="150"/>
        <v>298.74602928001929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16.8229164386889</v>
      </c>
      <c r="DG148" s="21">
        <f>EXP(-LN(2)/25)*DG147+(1-EXP(-LN(2)/25))/(LN(2)/25)*Calculateur!DB148*Calculateur!DD148*VLOOKUP('Données projet'!$B$13,Paramètres!$A$1:$I$89,3,0)*0.475*44/12</f>
        <v>4.0175394055411529</v>
      </c>
      <c r="DH148" s="21">
        <f>EXP(-LN(2)/2)*DH147+(1-EXP(-LN(2)/2))/(LN(2)/2)*DB148*DE148*VLOOKUP('Données projet'!$B$13,Paramètres!$A$1:$I$89,3,0)*0.475*44/12</f>
        <v>1.8141248346915673E-13</v>
      </c>
      <c r="DI148" s="22">
        <f t="shared" si="123"/>
        <v>20.840455844230235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-3.4106051316484809E-13</v>
      </c>
      <c r="DP148" s="17">
        <f>DO148*VLOOKUP('Données projet'!$B$14,Paramètres!$A$1:$I$89,3,0)*VLOOKUP('Données projet'!$B$14,Paramètres!$A$1:$I$89,5,0)</f>
        <v>-2.0395418687257919E-13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402.28353929315114</v>
      </c>
      <c r="DU148" s="59">
        <f t="shared" si="152"/>
        <v>376.94419168335463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47.011648819517042</v>
      </c>
      <c r="EB148" s="21">
        <f>EXP(-LN(2)/25)*EB147+(1-EXP(-LN(2)/25))/(LN(2)/25)*Calculateur!DW148*Calculateur!DY148*VLOOKUP('Données projet'!$B$14,Paramètres!$A$1:$I$89,3,0)*0.475*44/12</f>
        <v>6.0955642133632617</v>
      </c>
      <c r="EC148" s="21">
        <f>EXP(-LN(2)/2)*EC147+(1-EXP(-LN(2)/2))/(LN(2)/2)*DW148*DZ148*VLOOKUP('Données projet'!$B$14,Paramètres!$A$1:$I$89,3,0)*0.475*44/12</f>
        <v>1.8855093774714086E-10</v>
      </c>
      <c r="ED148" s="22">
        <f t="shared" si="126"/>
        <v>53.107213033068852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>
        <f>EJ148*VLOOKUP('Données projet'!$B$15,Paramètres!$A$1:$I$89,3,0)*VLOOKUP('Données projet'!$B$15,Paramètres!$A$1:$I$89,5,0)</f>
        <v>0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273.3012268683454</v>
      </c>
      <c r="EP148" s="59">
        <f t="shared" si="154"/>
        <v>254.08208375594052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28.813955507499184</v>
      </c>
      <c r="EW148" s="21">
        <f>EXP(-LN(2)/25)*EW147+(1-EXP(-LN(2)/25))/(LN(2)/25)*Calculateur!ER148*Calculateur!ET148*VLOOKUP('Données projet'!$B$15,Paramètres!$A$1:$I$89,3,0)*0.475*44/12</f>
        <v>6.8346626960438552</v>
      </c>
      <c r="EX148" s="21">
        <f>EXP(-LN(2)/2)*EX147+(1-EXP(-LN(2)/2))/(LN(2)/2)*ER148*EU148*VLOOKUP('Données projet'!$B$15,Paramètres!$A$1:$I$89,3,0)*0.475*44/12</f>
        <v>2.706787293440552E-10</v>
      </c>
      <c r="EY148" s="22">
        <f t="shared" si="129"/>
        <v>35.648618203813719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-1.7053025658242404E-13</v>
      </c>
      <c r="O149" s="13">
        <f>N149*VLOOKUP('Données projet'!$B$9,Paramètres!$A$1:$I$89,3,0)*VLOOKUP('Données projet'!$B$9,Paramètres!$A$1:$I$89,5,0)</f>
        <v>-1.5429577615577727E-13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453.52760163325451</v>
      </c>
      <c r="T149" s="59">
        <f t="shared" si="142"/>
        <v>344.23959526427001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109.05599816894032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109.05599816894032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-1.1368683772161603E-13</v>
      </c>
      <c r="AJ149" s="13">
        <f>AI149*VLOOKUP('Données projet'!$B$10,Paramètres!$A$1:$I$89,3,0)*VLOOKUP('Données projet'!$B$10,Paramètres!$A$1:$I$89,5,0)</f>
        <v>-9.7543306765146564E-14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397.45670821030774</v>
      </c>
      <c r="AO149" s="59">
        <f t="shared" si="144"/>
        <v>256.77417912163997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83.126159520560932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83.126159520560932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293.20194140252903</v>
      </c>
      <c r="BJ149" s="59">
        <f t="shared" si="146"/>
        <v>280.69048279989266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21.52145359464901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21.52145359464901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-1.1368683772161603E-13</v>
      </c>
      <c r="BZ149" s="13">
        <f>BY149*VLOOKUP('Données projet'!$B$12,Paramètres!$A$1:$I$89,3,0)*VLOOKUP('Données projet'!$B$12,Paramètres!$A$1:$I$89,5,0)</f>
        <v>-9.0449248091317723E-14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271.25628946149067</v>
      </c>
      <c r="CE149" s="59">
        <f t="shared" si="148"/>
        <v>292.57799203101769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27.555179056900133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27.555179056900133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5.6843418860808015E-14</v>
      </c>
      <c r="CU149" s="17">
        <f>CT149*VLOOKUP('Données projet'!$B$13,Paramètres!$A$1:$I$89,3,0)*VLOOKUP('Données projet'!$B$13,Paramètres!$A$1:$I$89,5,0)</f>
        <v>3.1036506698001178E-14</v>
      </c>
      <c r="CV149" s="13">
        <f t="shared" si="149"/>
        <v>5.3428243983771088E-13</v>
      </c>
      <c r="CW149" s="20">
        <f t="shared" si="121"/>
        <v>9.8459716521636505E-13</v>
      </c>
      <c r="CX149" s="59">
        <f t="shared" si="122"/>
        <v>293.33333333333428</v>
      </c>
      <c r="CY149" s="59">
        <f ca="1">AVERAGE(OFFSET($CX$3,0,0,'Données projet'!$E$13+1,1))-AVERAGE(OFFSET($H$3,0,0,'Données projet'!$E$13+1,1))</f>
        <v>210.03861149060413</v>
      </c>
      <c r="CZ149" s="59">
        <f t="shared" si="150"/>
        <v>298.74602928001929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16.493029308292051</v>
      </c>
      <c r="DG149" s="21">
        <f>EXP(-LN(2)/25)*DG148+(1-EXP(-LN(2)/25))/(LN(2)/25)*Calculateur!DB149*Calculateur!DD149*VLOOKUP('Données projet'!$B$13,Paramètres!$A$1:$I$89,3,0)*0.475*44/12</f>
        <v>3.9076795792234149</v>
      </c>
      <c r="DH149" s="21">
        <f>EXP(-LN(2)/2)*DH148+(1-EXP(-LN(2)/2))/(LN(2)/2)*DB149*DE149*VLOOKUP('Données projet'!$B$13,Paramètres!$A$1:$I$89,3,0)*0.475*44/12</f>
        <v>1.2827799725293318E-13</v>
      </c>
      <c r="DI149" s="22">
        <f t="shared" si="123"/>
        <v>20.400708887515595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-3.4106051316484809E-13</v>
      </c>
      <c r="DP149" s="17">
        <f>DO149*VLOOKUP('Données projet'!$B$14,Paramètres!$A$1:$I$89,3,0)*VLOOKUP('Données projet'!$B$14,Paramètres!$A$1:$I$89,5,0)</f>
        <v>-2.0395418687257919E-13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402.28353929315114</v>
      </c>
      <c r="DU149" s="59">
        <f t="shared" si="152"/>
        <v>376.94419168335463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46.08977906044074</v>
      </c>
      <c r="EB149" s="21">
        <f>EXP(-LN(2)/25)*EB148+(1-EXP(-LN(2)/25))/(LN(2)/25)*Calculateur!DW149*Calculateur!DY149*VLOOKUP('Données projet'!$B$14,Paramètres!$A$1:$I$89,3,0)*0.475*44/12</f>
        <v>5.9288806893970527</v>
      </c>
      <c r="EC149" s="21">
        <f>EXP(-LN(2)/2)*EC148+(1-EXP(-LN(2)/2))/(LN(2)/2)*DW149*DZ149*VLOOKUP('Données projet'!$B$14,Paramètres!$A$1:$I$89,3,0)*0.475*44/12</f>
        <v>1.3332564668008588E-10</v>
      </c>
      <c r="ED149" s="22">
        <f t="shared" si="126"/>
        <v>52.018659749971121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>
        <f>EJ149*VLOOKUP('Données projet'!$B$15,Paramètres!$A$1:$I$89,3,0)*VLOOKUP('Données projet'!$B$15,Paramètres!$A$1:$I$89,5,0)</f>
        <v>0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273.3012268683454</v>
      </c>
      <c r="EP149" s="59">
        <f t="shared" si="154"/>
        <v>254.08208375594052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28.248931414774621</v>
      </c>
      <c r="EW149" s="21">
        <f>EXP(-LN(2)/25)*EW148+(1-EXP(-LN(2)/25))/(LN(2)/25)*Calculateur!ER149*Calculateur!ET149*VLOOKUP('Données projet'!$B$15,Paramètres!$A$1:$I$89,3,0)*0.475*44/12</f>
        <v>6.6477684852012455</v>
      </c>
      <c r="EX149" s="21">
        <f>EXP(-LN(2)/2)*EX148+(1-EXP(-LN(2)/2))/(LN(2)/2)*ER149*EU149*VLOOKUP('Données projet'!$B$15,Paramètres!$A$1:$I$89,3,0)*0.475*44/12</f>
        <v>1.9139876504213956E-10</v>
      </c>
      <c r="EY149" s="22">
        <f t="shared" si="129"/>
        <v>34.896699900167263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-1.7053025658242404E-13</v>
      </c>
      <c r="O150" s="13">
        <f>N150*VLOOKUP('Données projet'!$B$9,Paramètres!$A$1:$I$89,3,0)*VLOOKUP('Données projet'!$B$9,Paramètres!$A$1:$I$89,5,0)</f>
        <v>-1.5429577615577727E-13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453.52760163325451</v>
      </c>
      <c r="T150" s="59">
        <f t="shared" si="142"/>
        <v>344.23959526427001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106.91747656243821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106.91747656243821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-1.1368683772161603E-13</v>
      </c>
      <c r="AJ150" s="13">
        <f>AI150*VLOOKUP('Données projet'!$B$10,Paramètres!$A$1:$I$89,3,0)*VLOOKUP('Données projet'!$B$10,Paramètres!$A$1:$I$89,5,0)</f>
        <v>-9.7543306765146564E-14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397.45670821030774</v>
      </c>
      <c r="AO150" s="59">
        <f t="shared" si="144"/>
        <v>256.77417912163997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81.496106234313643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81.496106234313643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293.20194140252903</v>
      </c>
      <c r="BJ150" s="59">
        <f t="shared" si="146"/>
        <v>280.69048279989266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21.099431016448474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21.099431016448474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-1.1368683772161603E-13</v>
      </c>
      <c r="BZ150" s="13">
        <f>BY150*VLOOKUP('Données projet'!$B$12,Paramètres!$A$1:$I$89,3,0)*VLOOKUP('Données projet'!$B$12,Paramètres!$A$1:$I$89,5,0)</f>
        <v>-9.0449248091317723E-14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271.25628946149067</v>
      </c>
      <c r="CE150" s="59">
        <f t="shared" si="148"/>
        <v>292.57799203101769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27.014838802593992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27.014838802593992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5.6843418860808015E-14</v>
      </c>
      <c r="CU150" s="17">
        <f>CT150*VLOOKUP('Données projet'!$B$13,Paramètres!$A$1:$I$89,3,0)*VLOOKUP('Données projet'!$B$13,Paramètres!$A$1:$I$89,5,0)</f>
        <v>3.1036506698001178E-14</v>
      </c>
      <c r="CV150" s="13">
        <f t="shared" si="149"/>
        <v>5.3428243983771088E-13</v>
      </c>
      <c r="CW150" s="20">
        <f t="shared" si="121"/>
        <v>9.8459716521636505E-13</v>
      </c>
      <c r="CX150" s="59">
        <f t="shared" si="122"/>
        <v>293.33333333333428</v>
      </c>
      <c r="CY150" s="59">
        <f ca="1">AVERAGE(OFFSET($CX$3,0,0,'Données projet'!$E$13+1,1))-AVERAGE(OFFSET($H$3,0,0,'Données projet'!$E$13+1,1))</f>
        <v>210.03861149060413</v>
      </c>
      <c r="CZ150" s="59">
        <f t="shared" si="150"/>
        <v>298.74602928001929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16.169611063311002</v>
      </c>
      <c r="DG150" s="21">
        <f>EXP(-LN(2)/25)*DG149+(1-EXP(-LN(2)/25))/(LN(2)/25)*Calculateur!DB150*Calculateur!DD150*VLOOKUP('Données projet'!$B$13,Paramètres!$A$1:$I$89,3,0)*0.475*44/12</f>
        <v>3.8008238756336126</v>
      </c>
      <c r="DH150" s="21">
        <f>EXP(-LN(2)/2)*DH149+(1-EXP(-LN(2)/2))/(LN(2)/2)*DB150*DE150*VLOOKUP('Données projet'!$B$13,Paramètres!$A$1:$I$89,3,0)*0.475*44/12</f>
        <v>9.0706241734578365E-14</v>
      </c>
      <c r="DI150" s="22">
        <f t="shared" si="123"/>
        <v>19.970434938944706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-3.4106051316484809E-13</v>
      </c>
      <c r="DP150" s="17">
        <f>DO150*VLOOKUP('Données projet'!$B$14,Paramètres!$A$1:$I$89,3,0)*VLOOKUP('Données projet'!$B$14,Paramètres!$A$1:$I$89,5,0)</f>
        <v>-2.0395418687257919E-13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402.28353929315114</v>
      </c>
      <c r="DU150" s="59">
        <f t="shared" si="152"/>
        <v>376.94419168335463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45.185986605054893</v>
      </c>
      <c r="EB150" s="21">
        <f>EXP(-LN(2)/25)*EB149+(1-EXP(-LN(2)/25))/(LN(2)/25)*Calculateur!DW150*Calculateur!DY150*VLOOKUP('Données projet'!$B$14,Paramètres!$A$1:$I$89,3,0)*0.475*44/12</f>
        <v>5.7667551351592055</v>
      </c>
      <c r="EC150" s="21">
        <f>EXP(-LN(2)/2)*EC149+(1-EXP(-LN(2)/2))/(LN(2)/2)*DW150*DZ150*VLOOKUP('Données projet'!$B$14,Paramètres!$A$1:$I$89,3,0)*0.475*44/12</f>
        <v>9.427546887357043E-11</v>
      </c>
      <c r="ED150" s="22">
        <f t="shared" si="126"/>
        <v>50.952741740308376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>
        <f>EJ150*VLOOKUP('Données projet'!$B$15,Paramètres!$A$1:$I$89,3,0)*VLOOKUP('Données projet'!$B$15,Paramètres!$A$1:$I$89,5,0)</f>
        <v>0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273.3012268683454</v>
      </c>
      <c r="EP150" s="59">
        <f t="shared" si="154"/>
        <v>254.08208375594052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27.694987099877718</v>
      </c>
      <c r="EW150" s="21">
        <f>EXP(-LN(2)/25)*EW149+(1-EXP(-LN(2)/25))/(LN(2)/25)*Calculateur!ER150*Calculateur!ET150*VLOOKUP('Données projet'!$B$15,Paramètres!$A$1:$I$89,3,0)*0.475*44/12</f>
        <v>6.4659849063824666</v>
      </c>
      <c r="EX150" s="21">
        <f>EXP(-LN(2)/2)*EX149+(1-EXP(-LN(2)/2))/(LN(2)/2)*ER150*EU150*VLOOKUP('Données projet'!$B$15,Paramètres!$A$1:$I$89,3,0)*0.475*44/12</f>
        <v>1.353393646720276E-10</v>
      </c>
      <c r="EY150" s="22">
        <f t="shared" si="129"/>
        <v>34.160972006395518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-1.7053025658242404E-13</v>
      </c>
      <c r="O151" s="13">
        <f>N151*VLOOKUP('Données projet'!$B$9,Paramètres!$A$1:$I$89,3,0)*VLOOKUP('Données projet'!$B$9,Paramètres!$A$1:$I$89,5,0)</f>
        <v>-1.5429577615577727E-13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453.52760163325451</v>
      </c>
      <c r="T151" s="59">
        <f t="shared" si="142"/>
        <v>344.23959526427001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104.82089006027023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104.82089006027023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-1.1368683772161603E-13</v>
      </c>
      <c r="AJ151" s="13">
        <f>AI151*VLOOKUP('Données projet'!$B$10,Paramètres!$A$1:$I$89,3,0)*VLOOKUP('Données projet'!$B$10,Paramètres!$A$1:$I$89,5,0)</f>
        <v>-9.7543306765146564E-14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397.45670821030774</v>
      </c>
      <c r="AO151" s="59">
        <f t="shared" si="144"/>
        <v>256.77417912163997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79.898017298775329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79.898017298775329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293.20194140252903</v>
      </c>
      <c r="BJ151" s="59">
        <f t="shared" si="146"/>
        <v>280.69048279989266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20.685684043598094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20.685684043598094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-1.1368683772161603E-13</v>
      </c>
      <c r="BZ151" s="13">
        <f>BY151*VLOOKUP('Données projet'!$B$12,Paramètres!$A$1:$I$89,3,0)*VLOOKUP('Données projet'!$B$12,Paramètres!$A$1:$I$89,5,0)</f>
        <v>-9.0449248091317723E-14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271.25628946149067</v>
      </c>
      <c r="CE151" s="59">
        <f t="shared" si="148"/>
        <v>292.57799203101769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26.485094291099784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26.485094291099784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5.6843418860808015E-14</v>
      </c>
      <c r="CU151" s="17">
        <f>CT151*VLOOKUP('Données projet'!$B$13,Paramètres!$A$1:$I$89,3,0)*VLOOKUP('Données projet'!$B$13,Paramètres!$A$1:$I$89,5,0)</f>
        <v>3.1036506698001178E-14</v>
      </c>
      <c r="CV151" s="13">
        <f t="shared" si="149"/>
        <v>5.3428243983771088E-13</v>
      </c>
      <c r="CW151" s="20">
        <f t="shared" si="121"/>
        <v>9.8459716521636505E-13</v>
      </c>
      <c r="CX151" s="59">
        <f t="shared" si="122"/>
        <v>293.33333333333428</v>
      </c>
      <c r="CY151" s="59">
        <f ca="1">AVERAGE(OFFSET($CX$3,0,0,'Données projet'!$E$13+1,1))-AVERAGE(OFFSET($H$3,0,0,'Données projet'!$E$13+1,1))</f>
        <v>210.03861149060413</v>
      </c>
      <c r="CZ151" s="59">
        <f t="shared" si="150"/>
        <v>298.74602928001929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15.852534852848382</v>
      </c>
      <c r="DG151" s="21">
        <f>EXP(-LN(2)/25)*DG150+(1-EXP(-LN(2)/25))/(LN(2)/25)*Calculateur!DB151*Calculateur!DD151*VLOOKUP('Données projet'!$B$13,Paramètres!$A$1:$I$89,3,0)*0.475*44/12</f>
        <v>3.6968901468777706</v>
      </c>
      <c r="DH151" s="21">
        <f>EXP(-LN(2)/2)*DH150+(1-EXP(-LN(2)/2))/(LN(2)/2)*DB151*DE151*VLOOKUP('Données projet'!$B$13,Paramètres!$A$1:$I$89,3,0)*0.475*44/12</f>
        <v>6.4138998626466588E-14</v>
      </c>
      <c r="DI151" s="22">
        <f t="shared" si="123"/>
        <v>19.549424999726217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-3.4106051316484809E-13</v>
      </c>
      <c r="DP151" s="17">
        <f>DO151*VLOOKUP('Données projet'!$B$14,Paramètres!$A$1:$I$89,3,0)*VLOOKUP('Données projet'!$B$14,Paramètres!$A$1:$I$89,5,0)</f>
        <v>-2.0395418687257919E-13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402.28353929315114</v>
      </c>
      <c r="DU151" s="59">
        <f t="shared" si="152"/>
        <v>376.94419168335463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44.299916968460202</v>
      </c>
      <c r="EB151" s="21">
        <f>EXP(-LN(2)/25)*EB150+(1-EXP(-LN(2)/25))/(LN(2)/25)*Calculateur!DW151*Calculateur!DY151*VLOOKUP('Données projet'!$B$14,Paramètres!$A$1:$I$89,3,0)*0.475*44/12</f>
        <v>5.6090629127278042</v>
      </c>
      <c r="EC151" s="21">
        <f>EXP(-LN(2)/2)*EC150+(1-EXP(-LN(2)/2))/(LN(2)/2)*DW151*DZ151*VLOOKUP('Données projet'!$B$14,Paramètres!$A$1:$I$89,3,0)*0.475*44/12</f>
        <v>6.6662823340042938E-11</v>
      </c>
      <c r="ED151" s="22">
        <f t="shared" si="126"/>
        <v>49.908979881254666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>
        <f>EJ151*VLOOKUP('Données projet'!$B$15,Paramètres!$A$1:$I$89,3,0)*VLOOKUP('Données projet'!$B$15,Paramètres!$A$1:$I$89,5,0)</f>
        <v>0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273.3012268683454</v>
      </c>
      <c r="EP151" s="59">
        <f t="shared" si="154"/>
        <v>254.08208375594052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27.151905295123274</v>
      </c>
      <c r="EW151" s="21">
        <f>EXP(-LN(2)/25)*EW150+(1-EXP(-LN(2)/25))/(LN(2)/25)*Calculateur!ER151*Calculateur!ET151*VLOOKUP('Données projet'!$B$15,Paramètres!$A$1:$I$89,3,0)*0.475*44/12</f>
        <v>6.28917220908607</v>
      </c>
      <c r="EX151" s="21">
        <f>EXP(-LN(2)/2)*EX150+(1-EXP(-LN(2)/2))/(LN(2)/2)*ER151*EU151*VLOOKUP('Données projet'!$B$15,Paramètres!$A$1:$I$89,3,0)*0.475*44/12</f>
        <v>9.5699382521069782E-11</v>
      </c>
      <c r="EY151" s="22">
        <f t="shared" si="129"/>
        <v>33.441077504305042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-1.7053025658242404E-13</v>
      </c>
      <c r="O152" s="13">
        <f>N152*VLOOKUP('Données projet'!$B$9,Paramètres!$A$1:$I$89,3,0)*VLOOKUP('Données projet'!$B$9,Paramètres!$A$1:$I$89,5,0)</f>
        <v>-1.5429577615577727E-13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453.52760163325451</v>
      </c>
      <c r="T152" s="59">
        <f t="shared" si="142"/>
        <v>344.23959526427001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102.76541634061827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102.76541634061827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-1.1368683772161603E-13</v>
      </c>
      <c r="AJ152" s="13">
        <f>AI152*VLOOKUP('Données projet'!$B$10,Paramètres!$A$1:$I$89,3,0)*VLOOKUP('Données projet'!$B$10,Paramètres!$A$1:$I$89,5,0)</f>
        <v>-9.7543306765146564E-14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397.45670821030774</v>
      </c>
      <c r="AO152" s="59">
        <f t="shared" si="144"/>
        <v>256.77417912163997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78.331265912524913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78.331265912524913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293.20194140252903</v>
      </c>
      <c r="BJ152" s="59">
        <f t="shared" si="146"/>
        <v>280.69048279989266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20.280050396524576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20.280050396524576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-1.1368683772161603E-13</v>
      </c>
      <c r="BZ152" s="13">
        <f>BY152*VLOOKUP('Données projet'!$B$12,Paramètres!$A$1:$I$89,3,0)*VLOOKUP('Données projet'!$B$12,Paramètres!$A$1:$I$89,5,0)</f>
        <v>-9.0449248091317723E-14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271.25628946149067</v>
      </c>
      <c r="CE152" s="59">
        <f t="shared" si="148"/>
        <v>292.57799203101769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25.965737746363729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25.965737746363729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5.6843418860808015E-14</v>
      </c>
      <c r="CU152" s="17">
        <f>CT152*VLOOKUP('Données projet'!$B$13,Paramètres!$A$1:$I$89,3,0)*VLOOKUP('Données projet'!$B$13,Paramètres!$A$1:$I$89,5,0)</f>
        <v>3.1036506698001178E-14</v>
      </c>
      <c r="CV152" s="13">
        <f t="shared" si="149"/>
        <v>5.3428243983771088E-13</v>
      </c>
      <c r="CW152" s="20">
        <f t="shared" si="121"/>
        <v>9.8459716521636505E-13</v>
      </c>
      <c r="CX152" s="59">
        <f t="shared" si="122"/>
        <v>293.33333333333428</v>
      </c>
      <c r="CY152" s="59">
        <f ca="1">AVERAGE(OFFSET($CX$3,0,0,'Données projet'!$E$13+1,1))-AVERAGE(OFFSET($H$3,0,0,'Données projet'!$E$13+1,1))</f>
        <v>210.03861149060413</v>
      </c>
      <c r="CZ152" s="59">
        <f t="shared" si="150"/>
        <v>298.74602928001929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15.541676313475543</v>
      </c>
      <c r="DG152" s="21">
        <f>EXP(-LN(2)/25)*DG151+(1-EXP(-LN(2)/25))/(LN(2)/25)*Calculateur!DB152*Calculateur!DD152*VLOOKUP('Données projet'!$B$13,Paramètres!$A$1:$I$89,3,0)*0.475*44/12</f>
        <v>3.5957984914003944</v>
      </c>
      <c r="DH152" s="21">
        <f>EXP(-LN(2)/2)*DH151+(1-EXP(-LN(2)/2))/(LN(2)/2)*DB152*DE152*VLOOKUP('Données projet'!$B$13,Paramètres!$A$1:$I$89,3,0)*0.475*44/12</f>
        <v>4.5353120867289182E-14</v>
      </c>
      <c r="DI152" s="22">
        <f t="shared" si="123"/>
        <v>19.137474804875982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-3.4106051316484809E-13</v>
      </c>
      <c r="DP152" s="17">
        <f>DO152*VLOOKUP('Données projet'!$B$14,Paramètres!$A$1:$I$89,3,0)*VLOOKUP('Données projet'!$B$14,Paramètres!$A$1:$I$89,5,0)</f>
        <v>-2.0395418687257919E-13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402.28353929315114</v>
      </c>
      <c r="DU152" s="59">
        <f t="shared" si="152"/>
        <v>376.94419168335463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43.43122261699002</v>
      </c>
      <c r="EB152" s="21">
        <f>EXP(-LN(2)/25)*EB151+(1-EXP(-LN(2)/25))/(LN(2)/25)*Calculateur!DW152*Calculateur!DY152*VLOOKUP('Données projet'!$B$14,Paramètres!$A$1:$I$89,3,0)*0.475*44/12</f>
        <v>5.4556827924114639</v>
      </c>
      <c r="EC152" s="21">
        <f>EXP(-LN(2)/2)*EC151+(1-EXP(-LN(2)/2))/(LN(2)/2)*DW152*DZ152*VLOOKUP('Données projet'!$B$14,Paramètres!$A$1:$I$89,3,0)*0.475*44/12</f>
        <v>4.7137734436785215E-11</v>
      </c>
      <c r="ED152" s="22">
        <f t="shared" si="126"/>
        <v>48.886905409448623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>
        <f>EJ152*VLOOKUP('Données projet'!$B$15,Paramètres!$A$1:$I$89,3,0)*VLOOKUP('Données projet'!$B$15,Paramètres!$A$1:$I$89,5,0)</f>
        <v>0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273.3012268683454</v>
      </c>
      <c r="EP152" s="59">
        <f t="shared" si="154"/>
        <v>254.08208375594052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26.619472993312872</v>
      </c>
      <c r="EW152" s="21">
        <f>EXP(-LN(2)/25)*EW151+(1-EXP(-LN(2)/25))/(LN(2)/25)*Calculateur!ER152*Calculateur!ET152*VLOOKUP('Données projet'!$B$15,Paramètres!$A$1:$I$89,3,0)*0.475*44/12</f>
        <v>6.1171944642954195</v>
      </c>
      <c r="EX152" s="21">
        <f>EXP(-LN(2)/2)*EX151+(1-EXP(-LN(2)/2))/(LN(2)/2)*ER152*EU152*VLOOKUP('Données projet'!$B$15,Paramètres!$A$1:$I$89,3,0)*0.475*44/12</f>
        <v>6.7669682336013801E-11</v>
      </c>
      <c r="EY152" s="22">
        <f t="shared" si="129"/>
        <v>32.736667457675964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-1.7053025658242404E-13</v>
      </c>
      <c r="O153" s="13">
        <f>N153*VLOOKUP('Données projet'!$B$9,Paramètres!$A$1:$I$89,3,0)*VLOOKUP('Données projet'!$B$9,Paramètres!$A$1:$I$89,5,0)</f>
        <v>-1.5429577615577727E-13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453.52760163325451</v>
      </c>
      <c r="T153" s="59">
        <f t="shared" si="142"/>
        <v>344.23959526427001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100.75024920689351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100.75024920689351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-1.1368683772161603E-13</v>
      </c>
      <c r="AJ153" s="13">
        <f>AI153*VLOOKUP('Données projet'!$B$10,Paramètres!$A$1:$I$89,3,0)*VLOOKUP('Données projet'!$B$10,Paramètres!$A$1:$I$89,5,0)</f>
        <v>-9.7543306765146564E-14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397.45670821030774</v>
      </c>
      <c r="AO153" s="59">
        <f t="shared" si="144"/>
        <v>256.77417912163997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76.795237565334887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76.795237565334887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293.20194140252903</v>
      </c>
      <c r="BJ153" s="59">
        <f t="shared" si="146"/>
        <v>280.69048279989266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19.882370977858074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19.882370977858074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-1.1368683772161603E-13</v>
      </c>
      <c r="BZ153" s="13">
        <f>BY153*VLOOKUP('Données projet'!$B$12,Paramètres!$A$1:$I$89,3,0)*VLOOKUP('Données projet'!$B$12,Paramètres!$A$1:$I$89,5,0)</f>
        <v>-9.0449248091317723E-14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271.25628946149067</v>
      </c>
      <c r="CE153" s="59">
        <f t="shared" si="148"/>
        <v>292.57799203101769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25.456565466693736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25.456565466693736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5.6843418860808015E-14</v>
      </c>
      <c r="CU153" s="17">
        <f>CT153*VLOOKUP('Données projet'!$B$13,Paramètres!$A$1:$I$89,3,0)*VLOOKUP('Données projet'!$B$13,Paramètres!$A$1:$I$89,5,0)</f>
        <v>3.1036506698001178E-14</v>
      </c>
      <c r="CV153" s="13">
        <f t="shared" si="149"/>
        <v>5.3428243983771088E-13</v>
      </c>
      <c r="CW153" s="20">
        <f t="shared" si="121"/>
        <v>9.8459716521636505E-13</v>
      </c>
      <c r="CX153" s="59">
        <f t="shared" si="122"/>
        <v>293.33333333333428</v>
      </c>
      <c r="CY153" s="59">
        <f ca="1">AVERAGE(OFFSET($CX$3,0,0,'Données projet'!$E$13+1,1))-AVERAGE(OFFSET($H$3,0,0,'Données projet'!$E$13+1,1))</f>
        <v>210.03861149060413</v>
      </c>
      <c r="CZ153" s="59">
        <f t="shared" si="150"/>
        <v>298.74602928001929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15.236913520454817</v>
      </c>
      <c r="DG153" s="21">
        <f>EXP(-LN(2)/25)*DG152+(1-EXP(-LN(2)/25))/(LN(2)/25)*Calculateur!DB153*Calculateur!DD153*VLOOKUP('Données projet'!$B$13,Paramètres!$A$1:$I$89,3,0)*0.475*44/12</f>
        <v>3.4974711925582262</v>
      </c>
      <c r="DH153" s="21">
        <f>EXP(-LN(2)/2)*DH152+(1-EXP(-LN(2)/2))/(LN(2)/2)*DB153*DE153*VLOOKUP('Données projet'!$B$13,Paramètres!$A$1:$I$89,3,0)*0.475*44/12</f>
        <v>3.2069499313233294E-14</v>
      </c>
      <c r="DI153" s="22">
        <f t="shared" si="123"/>
        <v>18.734384713013075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-3.4106051316484809E-13</v>
      </c>
      <c r="DP153" s="17">
        <f>DO153*VLOOKUP('Données projet'!$B$14,Paramètres!$A$1:$I$89,3,0)*VLOOKUP('Données projet'!$B$14,Paramètres!$A$1:$I$89,5,0)</f>
        <v>-2.0395418687257919E-13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402.28353929315114</v>
      </c>
      <c r="DU153" s="59">
        <f t="shared" si="152"/>
        <v>376.94419168335463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42.57956283190093</v>
      </c>
      <c r="EB153" s="21">
        <f>EXP(-LN(2)/25)*EB152+(1-EXP(-LN(2)/25))/(LN(2)/25)*Calculateur!DW153*Calculateur!DY153*VLOOKUP('Données projet'!$B$14,Paramètres!$A$1:$I$89,3,0)*0.475*44/12</f>
        <v>5.3064968595510837</v>
      </c>
      <c r="EC153" s="21">
        <f>EXP(-LN(2)/2)*EC152+(1-EXP(-LN(2)/2))/(LN(2)/2)*DW153*DZ153*VLOOKUP('Données projet'!$B$14,Paramètres!$A$1:$I$89,3,0)*0.475*44/12</f>
        <v>3.3331411670021469E-11</v>
      </c>
      <c r="ED153" s="22">
        <f t="shared" si="126"/>
        <v>47.886059691485343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>
        <f>EJ153*VLOOKUP('Données projet'!$B$15,Paramètres!$A$1:$I$89,3,0)*VLOOKUP('Données projet'!$B$15,Paramètres!$A$1:$I$89,5,0)</f>
        <v>0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273.3012268683454</v>
      </c>
      <c r="EP153" s="59">
        <f t="shared" si="154"/>
        <v>254.08208375594052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26.097481364189335</v>
      </c>
      <c r="EW153" s="21">
        <f>EXP(-LN(2)/25)*EW152+(1-EXP(-LN(2)/25))/(LN(2)/25)*Calculateur!ER153*Calculateur!ET153*VLOOKUP('Données projet'!$B$15,Paramètres!$A$1:$I$89,3,0)*0.475*44/12</f>
        <v>5.9499194599799852</v>
      </c>
      <c r="EX153" s="21">
        <f>EXP(-LN(2)/2)*EX152+(1-EXP(-LN(2)/2))/(LN(2)/2)*ER153*EU153*VLOOKUP('Données projet'!$B$15,Paramètres!$A$1:$I$89,3,0)*0.475*44/12</f>
        <v>4.7849691260534891E-11</v>
      </c>
      <c r="EY153" s="22">
        <f t="shared" si="129"/>
        <v>32.047400824217171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-1.7053025658242404E-13</v>
      </c>
      <c r="O154" s="13">
        <f>N154*VLOOKUP('Données projet'!$B$9,Paramètres!$A$1:$I$89,3,0)*VLOOKUP('Données projet'!$B$9,Paramètres!$A$1:$I$89,5,0)</f>
        <v>-1.5429577615577727E-13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453.52760163325451</v>
      </c>
      <c r="T154" s="59">
        <f t="shared" si="142"/>
        <v>344.23959526427001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98.774598271530508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98.774598271530508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-1.1368683772161603E-13</v>
      </c>
      <c r="AJ154" s="13">
        <f>AI154*VLOOKUP('Données projet'!$B$10,Paramètres!$A$1:$I$89,3,0)*VLOOKUP('Données projet'!$B$10,Paramètres!$A$1:$I$89,5,0)</f>
        <v>-9.7543306765146564E-14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397.45670821030774</v>
      </c>
      <c r="AO154" s="59">
        <f t="shared" si="144"/>
        <v>256.77417912163997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75.289329797148469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75.289329797148469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293.20194140252903</v>
      </c>
      <c r="BJ154" s="59">
        <f t="shared" si="146"/>
        <v>280.69048279989266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19.492489810031127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19.492489810031127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-1.1368683772161603E-13</v>
      </c>
      <c r="BZ154" s="13">
        <f>BY154*VLOOKUP('Données projet'!$B$12,Paramètres!$A$1:$I$89,3,0)*VLOOKUP('Données projet'!$B$12,Paramètres!$A$1:$I$89,5,0)</f>
        <v>-9.0449248091317723E-14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271.25628946149067</v>
      </c>
      <c r="CE154" s="59">
        <f t="shared" si="148"/>
        <v>292.57799203101769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24.957377744863646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24.957377744863646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5.6843418860808015E-14</v>
      </c>
      <c r="CU154" s="17">
        <f>CT154*VLOOKUP('Données projet'!$B$13,Paramètres!$A$1:$I$89,3,0)*VLOOKUP('Données projet'!$B$13,Paramètres!$A$1:$I$89,5,0)</f>
        <v>3.1036506698001178E-14</v>
      </c>
      <c r="CV154" s="13">
        <f t="shared" ref="CV154:CV203" si="173">EXP(-1.0587+0.8836*LN(CU154)+0.284)</f>
        <v>5.3428243983771088E-13</v>
      </c>
      <c r="CW154" s="20">
        <f t="shared" ref="CW154:CW203" si="174">(CU154+CV154)*0.475*44/12</f>
        <v>9.8459716521636505E-13</v>
      </c>
      <c r="CX154" s="59">
        <f t="shared" si="122"/>
        <v>293.33333333333428</v>
      </c>
      <c r="CY154" s="59">
        <f ca="1">AVERAGE(OFFSET($CX$3,0,0,'Données projet'!$E$13+1,1))-AVERAGE(OFFSET($H$3,0,0,'Données projet'!$E$13+1,1))</f>
        <v>210.03861149060413</v>
      </c>
      <c r="CZ154" s="59">
        <f t="shared" si="150"/>
        <v>298.74602928001929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14.938126939918279</v>
      </c>
      <c r="DG154" s="21">
        <f>EXP(-LN(2)/25)*DG153+(1-EXP(-LN(2)/25))/(LN(2)/25)*Calculateur!DB154*Calculateur!DD154*VLOOKUP('Données projet'!$B$13,Paramètres!$A$1:$I$89,3,0)*0.475*44/12</f>
        <v>3.4018326588737051</v>
      </c>
      <c r="DH154" s="21">
        <f>EXP(-LN(2)/2)*DH153+(1-EXP(-LN(2)/2))/(LN(2)/2)*DB154*DE154*VLOOKUP('Données projet'!$B$13,Paramètres!$A$1:$I$89,3,0)*0.475*44/12</f>
        <v>2.2676560433644591E-14</v>
      </c>
      <c r="DI154" s="22">
        <f t="shared" ref="DI154:DI203" si="175">SUM(DF154:DH154)</f>
        <v>18.339959598792007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-3.4106051316484809E-13</v>
      </c>
      <c r="DP154" s="17">
        <f>DO154*VLOOKUP('Données projet'!$B$14,Paramètres!$A$1:$I$89,3,0)*VLOOKUP('Données projet'!$B$14,Paramètres!$A$1:$I$89,5,0)</f>
        <v>-2.0395418687257919E-13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402.28353929315114</v>
      </c>
      <c r="DU154" s="59">
        <f t="shared" si="152"/>
        <v>376.94419168335463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41.744603575736257</v>
      </c>
      <c r="EB154" s="21">
        <f>EXP(-LN(2)/25)*EB153+(1-EXP(-LN(2)/25))/(LN(2)/25)*Calculateur!DW154*Calculateur!DY154*VLOOKUP('Données projet'!$B$14,Paramètres!$A$1:$I$89,3,0)*0.475*44/12</f>
        <v>5.1613904238701176</v>
      </c>
      <c r="EC154" s="21">
        <f>EXP(-LN(2)/2)*EC153+(1-EXP(-LN(2)/2))/(LN(2)/2)*DW154*DZ154*VLOOKUP('Données projet'!$B$14,Paramètres!$A$1:$I$89,3,0)*0.475*44/12</f>
        <v>2.3568867218392608E-11</v>
      </c>
      <c r="ED154" s="22">
        <f t="shared" ref="ED154:ED203" si="178">SUM(EA154:EC154)</f>
        <v>46.905993999629942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>
        <f>EJ154*VLOOKUP('Données projet'!$B$15,Paramètres!$A$1:$I$89,3,0)*VLOOKUP('Données projet'!$B$15,Paramètres!$A$1:$I$89,5,0)</f>
        <v>0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273.3012268683454</v>
      </c>
      <c r="EP154" s="59">
        <f t="shared" si="154"/>
        <v>254.08208375594052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25.585725672529453</v>
      </c>
      <c r="EW154" s="21">
        <f>EXP(-LN(2)/25)*EW153+(1-EXP(-LN(2)/25))/(LN(2)/25)*Calculateur!ER154*Calculateur!ET154*VLOOKUP('Données projet'!$B$15,Paramètres!$A$1:$I$89,3,0)*0.475*44/12</f>
        <v>5.7872185994541665</v>
      </c>
      <c r="EX154" s="21">
        <f>EXP(-LN(2)/2)*EX153+(1-EXP(-LN(2)/2))/(LN(2)/2)*ER154*EU154*VLOOKUP('Données projet'!$B$15,Paramètres!$A$1:$I$89,3,0)*0.475*44/12</f>
        <v>3.38348411680069E-11</v>
      </c>
      <c r="EY154" s="22">
        <f t="shared" ref="EY154:EY203" si="181">SUM(EV154:EX154)</f>
        <v>31.372944272017456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-1.7053025658242404E-13</v>
      </c>
      <c r="O155" s="13">
        <f>N155*VLOOKUP('Données projet'!$B$9,Paramètres!$A$1:$I$89,3,0)*VLOOKUP('Données projet'!$B$9,Paramètres!$A$1:$I$89,5,0)</f>
        <v>-1.5429577615577727E-13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453.52760163325451</v>
      </c>
      <c r="T155" s="59">
        <f t="shared" si="142"/>
        <v>344.23959526427001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96.837688645981885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96.837688645981885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-1.1368683772161603E-13</v>
      </c>
      <c r="AJ155" s="13">
        <f>AI155*VLOOKUP('Données projet'!$B$10,Paramètres!$A$1:$I$89,3,0)*VLOOKUP('Données projet'!$B$10,Paramètres!$A$1:$I$89,5,0)</f>
        <v>-9.7543306765146564E-14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397.45670821030774</v>
      </c>
      <c r="AO155" s="59">
        <f t="shared" si="144"/>
        <v>256.77417912163997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73.812951961783142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73.812951961783142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293.20194140252903</v>
      </c>
      <c r="BJ155" s="59">
        <f t="shared" si="146"/>
        <v>280.69048279989266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19.110253974101237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19.110253974101237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-1.1368683772161603E-13</v>
      </c>
      <c r="BZ155" s="13">
        <f>BY155*VLOOKUP('Données projet'!$B$12,Paramètres!$A$1:$I$89,3,0)*VLOOKUP('Données projet'!$B$12,Paramètres!$A$1:$I$89,5,0)</f>
        <v>-9.0449248091317723E-14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271.25628946149067</v>
      </c>
      <c r="CE155" s="59">
        <f t="shared" si="148"/>
        <v>292.57799203101769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24.467978789784198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24.467978789784198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5.6843418860808015E-14</v>
      </c>
      <c r="CU155" s="17">
        <f>CT155*VLOOKUP('Données projet'!$B$13,Paramètres!$A$1:$I$89,3,0)*VLOOKUP('Données projet'!$B$13,Paramètres!$A$1:$I$89,5,0)</f>
        <v>3.1036506698001178E-14</v>
      </c>
      <c r="CV155" s="13">
        <f t="shared" si="173"/>
        <v>5.3428243983771088E-13</v>
      </c>
      <c r="CW155" s="20">
        <f t="shared" si="174"/>
        <v>9.8459716521636505E-13</v>
      </c>
      <c r="CX155" s="59">
        <f t="shared" si="122"/>
        <v>293.33333333333428</v>
      </c>
      <c r="CY155" s="59">
        <f ca="1">AVERAGE(OFFSET($CX$3,0,0,'Données projet'!$E$13+1,1))-AVERAGE(OFFSET($H$3,0,0,'Données projet'!$E$13+1,1))</f>
        <v>210.03861149060413</v>
      </c>
      <c r="CZ155" s="59">
        <f t="shared" si="150"/>
        <v>298.74602928001929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14.645199381984243</v>
      </c>
      <c r="DG155" s="21">
        <f>EXP(-LN(2)/25)*DG154+(1-EXP(-LN(2)/25))/(LN(2)/25)*Calculateur!DB155*Calculateur!DD155*VLOOKUP('Données projet'!$B$13,Paramètres!$A$1:$I$89,3,0)*0.475*44/12</f>
        <v>3.3088093659221993</v>
      </c>
      <c r="DH155" s="21">
        <f>EXP(-LN(2)/2)*DH154+(1-EXP(-LN(2)/2))/(LN(2)/2)*DB155*DE155*VLOOKUP('Données projet'!$B$13,Paramètres!$A$1:$I$89,3,0)*0.475*44/12</f>
        <v>1.6034749656616647E-14</v>
      </c>
      <c r="DI155" s="22">
        <f t="shared" si="175"/>
        <v>17.95400874790646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-3.4106051316484809E-13</v>
      </c>
      <c r="DP155" s="17">
        <f>DO155*VLOOKUP('Données projet'!$B$14,Paramètres!$A$1:$I$89,3,0)*VLOOKUP('Données projet'!$B$14,Paramètres!$A$1:$I$89,5,0)</f>
        <v>-2.0395418687257919E-13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402.28353929315114</v>
      </c>
      <c r="DU155" s="59">
        <f t="shared" si="152"/>
        <v>376.94419168335463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40.926017361310116</v>
      </c>
      <c r="EB155" s="21">
        <f>EXP(-LN(2)/25)*EB154+(1-EXP(-LN(2)/25))/(LN(2)/25)*Calculateur!DW155*Calculateur!DY155*VLOOKUP('Données projet'!$B$14,Paramètres!$A$1:$I$89,3,0)*0.475*44/12</f>
        <v>5.0202519313036635</v>
      </c>
      <c r="EC155" s="21">
        <f>EXP(-LN(2)/2)*EC154+(1-EXP(-LN(2)/2))/(LN(2)/2)*DW155*DZ155*VLOOKUP('Données projet'!$B$14,Paramètres!$A$1:$I$89,3,0)*0.475*44/12</f>
        <v>1.6665705835010735E-11</v>
      </c>
      <c r="ED155" s="22">
        <f t="shared" si="178"/>
        <v>45.94626929263044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>
        <f>EJ155*VLOOKUP('Données projet'!$B$15,Paramètres!$A$1:$I$89,3,0)*VLOOKUP('Données projet'!$B$15,Paramètres!$A$1:$I$89,5,0)</f>
        <v>0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273.3012268683454</v>
      </c>
      <c r="EP155" s="59">
        <f t="shared" si="154"/>
        <v>254.08208375594052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25.08400519784287</v>
      </c>
      <c r="EW155" s="21">
        <f>EXP(-LN(2)/25)*EW154+(1-EXP(-LN(2)/25))/(LN(2)/25)*Calculateur!ER155*Calculateur!ET155*VLOOKUP('Données projet'!$B$15,Paramètres!$A$1:$I$89,3,0)*0.475*44/12</f>
        <v>5.6289668025154933</v>
      </c>
      <c r="EX155" s="21">
        <f>EXP(-LN(2)/2)*EX154+(1-EXP(-LN(2)/2))/(LN(2)/2)*ER155*EU155*VLOOKUP('Données projet'!$B$15,Paramètres!$A$1:$I$89,3,0)*0.475*44/12</f>
        <v>2.3924845630267445E-11</v>
      </c>
      <c r="EY155" s="22">
        <f t="shared" si="181"/>
        <v>30.712972000382287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-1.7053025658242404E-13</v>
      </c>
      <c r="O156" s="13">
        <f>N156*VLOOKUP('Données projet'!$B$9,Paramètres!$A$1:$I$89,3,0)*VLOOKUP('Données projet'!$B$9,Paramètres!$A$1:$I$89,5,0)</f>
        <v>-1.5429577615577727E-13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453.52760163325451</v>
      </c>
      <c r="T156" s="59">
        <f t="shared" si="142"/>
        <v>344.23959526427001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94.938760636792054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94.938760636792054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-1.1368683772161603E-13</v>
      </c>
      <c r="AJ156" s="13">
        <f>AI156*VLOOKUP('Données projet'!$B$10,Paramètres!$A$1:$I$89,3,0)*VLOOKUP('Données projet'!$B$10,Paramètres!$A$1:$I$89,5,0)</f>
        <v>-9.7543306765146564E-14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397.45670821030774</v>
      </c>
      <c r="AO156" s="59">
        <f t="shared" si="144"/>
        <v>256.77417912163997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72.365524995267776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72.365524995267776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293.20194140252903</v>
      </c>
      <c r="BJ156" s="59">
        <f t="shared" si="146"/>
        <v>280.69048279989266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18.735513549773092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18.735513549773092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-1.1368683772161603E-13</v>
      </c>
      <c r="BZ156" s="13">
        <f>BY156*VLOOKUP('Données projet'!$B$12,Paramètres!$A$1:$I$89,3,0)*VLOOKUP('Données projet'!$B$12,Paramètres!$A$1:$I$89,5,0)</f>
        <v>-9.0449248091317723E-14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271.25628946149067</v>
      </c>
      <c r="CE156" s="59">
        <f t="shared" si="148"/>
        <v>292.57799203101769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23.98817664970997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23.98817664970997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5.6843418860808015E-14</v>
      </c>
      <c r="CU156" s="17">
        <f>CT156*VLOOKUP('Données projet'!$B$13,Paramètres!$A$1:$I$89,3,0)*VLOOKUP('Données projet'!$B$13,Paramètres!$A$1:$I$89,5,0)</f>
        <v>3.1036506698001178E-14</v>
      </c>
      <c r="CV156" s="13">
        <f t="shared" si="173"/>
        <v>5.3428243983771088E-13</v>
      </c>
      <c r="CW156" s="20">
        <f t="shared" si="174"/>
        <v>9.8459716521636505E-13</v>
      </c>
      <c r="CX156" s="59">
        <f t="shared" si="122"/>
        <v>293.33333333333428</v>
      </c>
      <c r="CY156" s="59">
        <f ca="1">AVERAGE(OFFSET($CX$3,0,0,'Données projet'!$E$13+1,1))-AVERAGE(OFFSET($H$3,0,0,'Données projet'!$E$13+1,1))</f>
        <v>210.03861149060413</v>
      </c>
      <c r="CZ156" s="59">
        <f t="shared" si="150"/>
        <v>298.74602928001929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14.358015954793125</v>
      </c>
      <c r="DG156" s="21">
        <f>EXP(-LN(2)/25)*DG155+(1-EXP(-LN(2)/25))/(LN(2)/25)*Calculateur!DB156*Calculateur!DD156*VLOOKUP('Données projet'!$B$13,Paramètres!$A$1:$I$89,3,0)*0.475*44/12</f>
        <v>3.2183297998083344</v>
      </c>
      <c r="DH156" s="21">
        <f>EXP(-LN(2)/2)*DH155+(1-EXP(-LN(2)/2))/(LN(2)/2)*DB156*DE156*VLOOKUP('Données projet'!$B$13,Paramètres!$A$1:$I$89,3,0)*0.475*44/12</f>
        <v>1.1338280216822296E-14</v>
      </c>
      <c r="DI156" s="22">
        <f t="shared" si="175"/>
        <v>17.576345754601469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-3.4106051316484809E-13</v>
      </c>
      <c r="DP156" s="17">
        <f>DO156*VLOOKUP('Données projet'!$B$14,Paramètres!$A$1:$I$89,3,0)*VLOOKUP('Données projet'!$B$14,Paramètres!$A$1:$I$89,5,0)</f>
        <v>-2.0395418687257919E-13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402.28353929315114</v>
      </c>
      <c r="DU156" s="59">
        <f t="shared" si="152"/>
        <v>376.94419168335463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40.123483123260584</v>
      </c>
      <c r="EB156" s="21">
        <f>EXP(-LN(2)/25)*EB155+(1-EXP(-LN(2)/25))/(LN(2)/25)*Calculateur!DW156*Calculateur!DY156*VLOOKUP('Données projet'!$B$14,Paramètres!$A$1:$I$89,3,0)*0.475*44/12</f>
        <v>4.8829728782385899</v>
      </c>
      <c r="EC156" s="21">
        <f>EXP(-LN(2)/2)*EC155+(1-EXP(-LN(2)/2))/(LN(2)/2)*DW156*DZ156*VLOOKUP('Données projet'!$B$14,Paramètres!$A$1:$I$89,3,0)*0.475*44/12</f>
        <v>1.1784433609196304E-11</v>
      </c>
      <c r="ED156" s="22">
        <f t="shared" si="178"/>
        <v>45.006456001510962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>
        <f>EJ156*VLOOKUP('Données projet'!$B$15,Paramètres!$A$1:$I$89,3,0)*VLOOKUP('Données projet'!$B$15,Paramètres!$A$1:$I$89,5,0)</f>
        <v>0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273.3012268683454</v>
      </c>
      <c r="EP156" s="59">
        <f t="shared" si="154"/>
        <v>254.08208375594052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24.59212315564562</v>
      </c>
      <c r="EW156" s="21">
        <f>EXP(-LN(2)/25)*EW155+(1-EXP(-LN(2)/25))/(LN(2)/25)*Calculateur!ER156*Calculateur!ET156*VLOOKUP('Données projet'!$B$15,Paramètres!$A$1:$I$89,3,0)*0.475*44/12</f>
        <v>5.4750424092862078</v>
      </c>
      <c r="EX156" s="21">
        <f>EXP(-LN(2)/2)*EX155+(1-EXP(-LN(2)/2))/(LN(2)/2)*ER156*EU156*VLOOKUP('Données projet'!$B$15,Paramètres!$A$1:$I$89,3,0)*0.475*44/12</f>
        <v>1.691742058400345E-11</v>
      </c>
      <c r="EY156" s="22">
        <f t="shared" si="181"/>
        <v>30.067165564948745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-1.7053025658242404E-13</v>
      </c>
      <c r="O157" s="13">
        <f>N157*VLOOKUP('Données projet'!$B$9,Paramètres!$A$1:$I$89,3,0)*VLOOKUP('Données projet'!$B$9,Paramètres!$A$1:$I$89,5,0)</f>
        <v>-1.5429577615577727E-13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453.52760163325451</v>
      </c>
      <c r="T157" s="59">
        <f t="shared" si="142"/>
        <v>344.23959526427001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93.07706944763072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93.07706944763072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-1.1368683772161603E-13</v>
      </c>
      <c r="AJ157" s="13">
        <f>AI157*VLOOKUP('Données projet'!$B$10,Paramètres!$A$1:$I$89,3,0)*VLOOKUP('Données projet'!$B$10,Paramètres!$A$1:$I$89,5,0)</f>
        <v>-9.7543306765146564E-14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397.45670821030774</v>
      </c>
      <c r="AO157" s="59">
        <f t="shared" si="144"/>
        <v>256.77417912163997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70.946481188722501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70.946481188722501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293.20194140252903</v>
      </c>
      <c r="BJ157" s="59">
        <f t="shared" si="146"/>
        <v>280.69048279989266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18.368121556596932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18.368121556596932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-1.1368683772161603E-13</v>
      </c>
      <c r="BZ157" s="13">
        <f>BY157*VLOOKUP('Données projet'!$B$12,Paramètres!$A$1:$I$89,3,0)*VLOOKUP('Données projet'!$B$12,Paramètres!$A$1:$I$89,5,0)</f>
        <v>-9.0449248091317723E-14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271.25628946149067</v>
      </c>
      <c r="CE157" s="59">
        <f t="shared" si="148"/>
        <v>292.57799203101769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23.51778313695219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23.51778313695219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5.6843418860808015E-14</v>
      </c>
      <c r="CU157" s="17">
        <f>CT157*VLOOKUP('Données projet'!$B$13,Paramètres!$A$1:$I$89,3,0)*VLOOKUP('Données projet'!$B$13,Paramètres!$A$1:$I$89,5,0)</f>
        <v>3.1036506698001178E-14</v>
      </c>
      <c r="CV157" s="13">
        <f t="shared" si="173"/>
        <v>5.3428243983771088E-13</v>
      </c>
      <c r="CW157" s="20">
        <f t="shared" si="174"/>
        <v>9.8459716521636505E-13</v>
      </c>
      <c r="CX157" s="59">
        <f t="shared" si="122"/>
        <v>293.33333333333428</v>
      </c>
      <c r="CY157" s="59">
        <f ca="1">AVERAGE(OFFSET($CX$3,0,0,'Données projet'!$E$13+1,1))-AVERAGE(OFFSET($H$3,0,0,'Données projet'!$E$13+1,1))</f>
        <v>210.03861149060413</v>
      </c>
      <c r="CZ157" s="59">
        <f t="shared" si="150"/>
        <v>298.74602928001929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14.07646401944463</v>
      </c>
      <c r="DG157" s="21">
        <f>EXP(-LN(2)/25)*DG156+(1-EXP(-LN(2)/25))/(LN(2)/25)*Calculateur!DB157*Calculateur!DD157*VLOOKUP('Données projet'!$B$13,Paramètres!$A$1:$I$89,3,0)*0.475*44/12</f>
        <v>3.1303244021879668</v>
      </c>
      <c r="DH157" s="21">
        <f>EXP(-LN(2)/2)*DH156+(1-EXP(-LN(2)/2))/(LN(2)/2)*DB157*DE157*VLOOKUP('Données projet'!$B$13,Paramètres!$A$1:$I$89,3,0)*0.475*44/12</f>
        <v>8.0173748283083236E-15</v>
      </c>
      <c r="DI157" s="22">
        <f t="shared" si="175"/>
        <v>17.206788421632606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-3.4106051316484809E-13</v>
      </c>
      <c r="DP157" s="17">
        <f>DO157*VLOOKUP('Données projet'!$B$14,Paramètres!$A$1:$I$89,3,0)*VLOOKUP('Données projet'!$B$14,Paramètres!$A$1:$I$89,5,0)</f>
        <v>-2.0395418687257919E-13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402.28353929315114</v>
      </c>
      <c r="DU157" s="59">
        <f t="shared" si="152"/>
        <v>376.94419168335463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39.336686092121653</v>
      </c>
      <c r="EB157" s="21">
        <f>EXP(-LN(2)/25)*EB156+(1-EXP(-LN(2)/25))/(LN(2)/25)*Calculateur!DW157*Calculateur!DY157*VLOOKUP('Données projet'!$B$14,Paramètres!$A$1:$I$89,3,0)*0.475*44/12</f>
        <v>4.7494477280987724</v>
      </c>
      <c r="EC157" s="21">
        <f>EXP(-LN(2)/2)*EC156+(1-EXP(-LN(2)/2))/(LN(2)/2)*DW157*DZ157*VLOOKUP('Données projet'!$B$14,Paramètres!$A$1:$I$89,3,0)*0.475*44/12</f>
        <v>8.3328529175053673E-12</v>
      </c>
      <c r="ED157" s="22">
        <f t="shared" si="178"/>
        <v>44.08613382022876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>
        <f>EJ157*VLOOKUP('Données projet'!$B$15,Paramètres!$A$1:$I$89,3,0)*VLOOKUP('Données projet'!$B$15,Paramètres!$A$1:$I$89,5,0)</f>
        <v>0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273.3012268683454</v>
      </c>
      <c r="EP157" s="59">
        <f t="shared" si="154"/>
        <v>254.08208375594052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24.109886620277436</v>
      </c>
      <c r="EW157" s="21">
        <f>EXP(-LN(2)/25)*EW156+(1-EXP(-LN(2)/25))/(LN(2)/25)*Calculateur!ER157*Calculateur!ET157*VLOOKUP('Données projet'!$B$15,Paramètres!$A$1:$I$89,3,0)*0.475*44/12</f>
        <v>5.3253270866843092</v>
      </c>
      <c r="EX157" s="21">
        <f>EXP(-LN(2)/2)*EX156+(1-EXP(-LN(2)/2))/(LN(2)/2)*ER157*EU157*VLOOKUP('Données projet'!$B$15,Paramètres!$A$1:$I$89,3,0)*0.475*44/12</f>
        <v>1.1962422815133723E-11</v>
      </c>
      <c r="EY157" s="22">
        <f t="shared" si="181"/>
        <v>29.435213706973709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-1.7053025658242404E-13</v>
      </c>
      <c r="O158" s="13">
        <f>N158*VLOOKUP('Données projet'!$B$9,Paramètres!$A$1:$I$89,3,0)*VLOOKUP('Données projet'!$B$9,Paramètres!$A$1:$I$89,5,0)</f>
        <v>-1.5429577615577727E-13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453.52760163325451</v>
      </c>
      <c r="T158" s="59">
        <f t="shared" si="142"/>
        <v>344.23959526427001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91.251884887169339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91.251884887169339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-1.1368683772161603E-13</v>
      </c>
      <c r="AJ158" s="13">
        <f>AI158*VLOOKUP('Données projet'!$B$10,Paramètres!$A$1:$I$89,3,0)*VLOOKUP('Données projet'!$B$10,Paramètres!$A$1:$I$89,5,0)</f>
        <v>-9.7543306765146564E-14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397.45670821030774</v>
      </c>
      <c r="AO158" s="59">
        <f t="shared" si="144"/>
        <v>256.77417912163997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69.555263965692319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69.555263965692319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293.20194140252903</v>
      </c>
      <c r="BJ158" s="59">
        <f t="shared" si="146"/>
        <v>280.69048279989266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18.007933896319969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18.007933896319969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-1.1368683772161603E-13</v>
      </c>
      <c r="BZ158" s="13">
        <f>BY158*VLOOKUP('Données projet'!$B$12,Paramètres!$A$1:$I$89,3,0)*VLOOKUP('Données projet'!$B$12,Paramètres!$A$1:$I$89,5,0)</f>
        <v>-9.0449248091317723E-14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271.25628946149067</v>
      </c>
      <c r="CE158" s="59">
        <f t="shared" si="148"/>
        <v>292.57799203101769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23.056613754067875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23.056613754067875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5.6843418860808015E-14</v>
      </c>
      <c r="CU158" s="17">
        <f>CT158*VLOOKUP('Données projet'!$B$13,Paramètres!$A$1:$I$89,3,0)*VLOOKUP('Données projet'!$B$13,Paramètres!$A$1:$I$89,5,0)</f>
        <v>3.1036506698001178E-14</v>
      </c>
      <c r="CV158" s="13">
        <f t="shared" si="173"/>
        <v>5.3428243983771088E-13</v>
      </c>
      <c r="CW158" s="20">
        <f t="shared" si="174"/>
        <v>9.8459716521636505E-13</v>
      </c>
      <c r="CX158" s="59">
        <f t="shared" si="122"/>
        <v>293.33333333333428</v>
      </c>
      <c r="CY158" s="59">
        <f ca="1">AVERAGE(OFFSET($CX$3,0,0,'Données projet'!$E$13+1,1))-AVERAGE(OFFSET($H$3,0,0,'Données projet'!$E$13+1,1))</f>
        <v>210.03861149060413</v>
      </c>
      <c r="CZ158" s="59">
        <f t="shared" si="150"/>
        <v>298.74602928001929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13.800433145818596</v>
      </c>
      <c r="DG158" s="21">
        <f>EXP(-LN(2)/25)*DG157+(1-EXP(-LN(2)/25))/(LN(2)/25)*Calculateur!DB158*Calculateur!DD158*VLOOKUP('Données projet'!$B$13,Paramètres!$A$1:$I$89,3,0)*0.475*44/12</f>
        <v>3.0447255167935312</v>
      </c>
      <c r="DH158" s="21">
        <f>EXP(-LN(2)/2)*DH157+(1-EXP(-LN(2)/2))/(LN(2)/2)*DB158*DE158*VLOOKUP('Données projet'!$B$13,Paramètres!$A$1:$I$89,3,0)*0.475*44/12</f>
        <v>5.6691401084111478E-15</v>
      </c>
      <c r="DI158" s="22">
        <f t="shared" si="175"/>
        <v>16.845158662612135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-3.4106051316484809E-13</v>
      </c>
      <c r="DP158" s="17">
        <f>DO158*VLOOKUP('Données projet'!$B$14,Paramètres!$A$1:$I$89,3,0)*VLOOKUP('Données projet'!$B$14,Paramètres!$A$1:$I$89,5,0)</f>
        <v>-2.0395418687257919E-13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402.28353929315114</v>
      </c>
      <c r="DU158" s="59">
        <f t="shared" si="152"/>
        <v>376.94419168335463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38.565317670864552</v>
      </c>
      <c r="EB158" s="21">
        <f>EXP(-LN(2)/25)*EB157+(1-EXP(-LN(2)/25))/(LN(2)/25)*Calculateur!DW158*Calculateur!DY158*VLOOKUP('Données projet'!$B$14,Paramètres!$A$1:$I$89,3,0)*0.475*44/12</f>
        <v>4.6195738302113103</v>
      </c>
      <c r="EC158" s="21">
        <f>EXP(-LN(2)/2)*EC157+(1-EXP(-LN(2)/2))/(LN(2)/2)*DW158*DZ158*VLOOKUP('Données projet'!$B$14,Paramètres!$A$1:$I$89,3,0)*0.475*44/12</f>
        <v>5.8922168045981519E-12</v>
      </c>
      <c r="ED158" s="22">
        <f t="shared" si="178"/>
        <v>43.184891501081751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>
        <f>EJ158*VLOOKUP('Données projet'!$B$15,Paramètres!$A$1:$I$89,3,0)*VLOOKUP('Données projet'!$B$15,Paramètres!$A$1:$I$89,5,0)</f>
        <v>0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273.3012268683454</v>
      </c>
      <c r="EP158" s="59">
        <f t="shared" si="154"/>
        <v>254.08208375594052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23.637106449232579</v>
      </c>
      <c r="EW158" s="21">
        <f>EXP(-LN(2)/25)*EW157+(1-EXP(-LN(2)/25))/(LN(2)/25)*Calculateur!ER158*Calculateur!ET158*VLOOKUP('Données projet'!$B$15,Paramètres!$A$1:$I$89,3,0)*0.475*44/12</f>
        <v>5.1797057374521467</v>
      </c>
      <c r="EX158" s="21">
        <f>EXP(-LN(2)/2)*EX157+(1-EXP(-LN(2)/2))/(LN(2)/2)*ER158*EU158*VLOOKUP('Données projet'!$B$15,Paramètres!$A$1:$I$89,3,0)*0.475*44/12</f>
        <v>8.4587102920017251E-12</v>
      </c>
      <c r="EY158" s="22">
        <f t="shared" si="181"/>
        <v>28.816812186693184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-1.7053025658242404E-13</v>
      </c>
      <c r="O159" s="13">
        <f>N159*VLOOKUP('Données projet'!$B$9,Paramètres!$A$1:$I$89,3,0)*VLOOKUP('Données projet'!$B$9,Paramètres!$A$1:$I$89,5,0)</f>
        <v>-1.5429577615577727E-13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453.52760163325451</v>
      </c>
      <c r="T159" s="59">
        <f t="shared" si="142"/>
        <v>344.23959526427001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89.462491082685943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89.462491082685943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-1.1368683772161603E-13</v>
      </c>
      <c r="AJ159" s="13">
        <f>AI159*VLOOKUP('Données projet'!$B$10,Paramètres!$A$1:$I$89,3,0)*VLOOKUP('Données projet'!$B$10,Paramètres!$A$1:$I$89,5,0)</f>
        <v>-9.7543306765146564E-14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397.45670821030774</v>
      </c>
      <c r="AO159" s="59">
        <f t="shared" si="144"/>
        <v>256.77417912163997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68.191327663847034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68.191327663847034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293.20194140252903</v>
      </c>
      <c r="BJ159" s="59">
        <f t="shared" si="146"/>
        <v>280.69048279989266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17.654809296368256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17.654809296368256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-1.1368683772161603E-13</v>
      </c>
      <c r="BZ159" s="13">
        <f>BY159*VLOOKUP('Données projet'!$B$12,Paramètres!$A$1:$I$89,3,0)*VLOOKUP('Données projet'!$B$12,Paramètres!$A$1:$I$89,5,0)</f>
        <v>-9.0449248091317723E-14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271.25628946149067</v>
      </c>
      <c r="CE159" s="59">
        <f t="shared" si="148"/>
        <v>292.57799203101769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22.604487621496375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22.604487621496375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5.6843418860808015E-14</v>
      </c>
      <c r="CU159" s="17">
        <f>CT159*VLOOKUP('Données projet'!$B$13,Paramètres!$A$1:$I$89,3,0)*VLOOKUP('Données projet'!$B$13,Paramètres!$A$1:$I$89,5,0)</f>
        <v>3.1036506698001178E-14</v>
      </c>
      <c r="CV159" s="13">
        <f t="shared" si="173"/>
        <v>5.3428243983771088E-13</v>
      </c>
      <c r="CW159" s="20">
        <f t="shared" si="174"/>
        <v>9.8459716521636505E-13</v>
      </c>
      <c r="CX159" s="59">
        <f t="shared" si="122"/>
        <v>293.33333333333428</v>
      </c>
      <c r="CY159" s="59">
        <f ca="1">AVERAGE(OFFSET($CX$3,0,0,'Données projet'!$E$13+1,1))-AVERAGE(OFFSET($H$3,0,0,'Données projet'!$E$13+1,1))</f>
        <v>210.03861149060413</v>
      </c>
      <c r="CZ159" s="59">
        <f t="shared" si="150"/>
        <v>298.74602928001929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13.52981506926216</v>
      </c>
      <c r="DG159" s="21">
        <f>EXP(-LN(2)/25)*DG158+(1-EXP(-LN(2)/25))/(LN(2)/25)*Calculateur!DB159*Calculateur!DD159*VLOOKUP('Données projet'!$B$13,Paramètres!$A$1:$I$89,3,0)*0.475*44/12</f>
        <v>2.9614673374216558</v>
      </c>
      <c r="DH159" s="21">
        <f>EXP(-LN(2)/2)*DH158+(1-EXP(-LN(2)/2))/(LN(2)/2)*DB159*DE159*VLOOKUP('Données projet'!$B$13,Paramètres!$A$1:$I$89,3,0)*0.475*44/12</f>
        <v>4.0086874141541618E-15</v>
      </c>
      <c r="DI159" s="22">
        <f t="shared" si="175"/>
        <v>16.491282406683819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-3.4106051316484809E-13</v>
      </c>
      <c r="DP159" s="17">
        <f>DO159*VLOOKUP('Données projet'!$B$14,Paramètres!$A$1:$I$89,3,0)*VLOOKUP('Données projet'!$B$14,Paramètres!$A$1:$I$89,5,0)</f>
        <v>-2.0395418687257919E-13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402.28353929315114</v>
      </c>
      <c r="DU159" s="59">
        <f t="shared" si="152"/>
        <v>376.94419168335463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37.809075313860021</v>
      </c>
      <c r="EB159" s="21">
        <f>EXP(-LN(2)/25)*EB158+(1-EXP(-LN(2)/25))/(LN(2)/25)*Calculateur!DW159*Calculateur!DY159*VLOOKUP('Données projet'!$B$14,Paramètres!$A$1:$I$89,3,0)*0.475*44/12</f>
        <v>4.4932513408913524</v>
      </c>
      <c r="EC159" s="21">
        <f>EXP(-LN(2)/2)*EC158+(1-EXP(-LN(2)/2))/(LN(2)/2)*DW159*DZ159*VLOOKUP('Données projet'!$B$14,Paramètres!$A$1:$I$89,3,0)*0.475*44/12</f>
        <v>4.1664264587526836E-12</v>
      </c>
      <c r="ED159" s="22">
        <f t="shared" si="178"/>
        <v>42.302326654755539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>
        <f>EJ159*VLOOKUP('Données projet'!$B$15,Paramètres!$A$1:$I$89,3,0)*VLOOKUP('Données projet'!$B$15,Paramètres!$A$1:$I$89,5,0)</f>
        <v>0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273.3012268683454</v>
      </c>
      <c r="EP159" s="59">
        <f t="shared" si="154"/>
        <v>254.08208375594052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23.173597208974481</v>
      </c>
      <c r="EW159" s="21">
        <f>EXP(-LN(2)/25)*EW158+(1-EXP(-LN(2)/25))/(LN(2)/25)*Calculateur!ER159*Calculateur!ET159*VLOOKUP('Données projet'!$B$15,Paramètres!$A$1:$I$89,3,0)*0.475*44/12</f>
        <v>5.0380664116726317</v>
      </c>
      <c r="EX159" s="21">
        <f>EXP(-LN(2)/2)*EX158+(1-EXP(-LN(2)/2))/(LN(2)/2)*ER159*EU159*VLOOKUP('Données projet'!$B$15,Paramètres!$A$1:$I$89,3,0)*0.475*44/12</f>
        <v>5.9812114075668614E-12</v>
      </c>
      <c r="EY159" s="22">
        <f t="shared" si="181"/>
        <v>28.211663620653095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-1.7053025658242404E-13</v>
      </c>
      <c r="O160" s="13">
        <f>N160*VLOOKUP('Données projet'!$B$9,Paramètres!$A$1:$I$89,3,0)*VLOOKUP('Données projet'!$B$9,Paramètres!$A$1:$I$89,5,0)</f>
        <v>-1.5429577615577727E-13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453.52760163325451</v>
      </c>
      <c r="T160" s="59">
        <f t="shared" si="142"/>
        <v>344.23959526427001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87.708186199286018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87.708186199286018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-1.1368683772161603E-13</v>
      </c>
      <c r="AJ160" s="13">
        <f>AI160*VLOOKUP('Données projet'!$B$10,Paramètres!$A$1:$I$89,3,0)*VLOOKUP('Données projet'!$B$10,Paramètres!$A$1:$I$89,5,0)</f>
        <v>-9.7543306765146564E-14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397.45670821030774</v>
      </c>
      <c r="AO160" s="59">
        <f t="shared" si="144"/>
        <v>256.77417912163997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66.854137320961939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66.854137320961939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293.20194140252903</v>
      </c>
      <c r="BJ160" s="59">
        <f t="shared" si="146"/>
        <v>280.69048279989266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17.308609254436856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17.308609254436856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-1.1368683772161603E-13</v>
      </c>
      <c r="BZ160" s="13">
        <f>BY160*VLOOKUP('Données projet'!$B$12,Paramètres!$A$1:$I$89,3,0)*VLOOKUP('Données projet'!$B$12,Paramètres!$A$1:$I$89,5,0)</f>
        <v>-9.0449248091317723E-14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271.25628946149067</v>
      </c>
      <c r="CE160" s="59">
        <f t="shared" si="148"/>
        <v>292.57799203101769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22.161227406614891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22.161227406614891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5.6843418860808015E-14</v>
      </c>
      <c r="CU160" s="17">
        <f>CT160*VLOOKUP('Données projet'!$B$13,Paramètres!$A$1:$I$89,3,0)*VLOOKUP('Données projet'!$B$13,Paramètres!$A$1:$I$89,5,0)</f>
        <v>3.1036506698001178E-14</v>
      </c>
      <c r="CV160" s="13">
        <f t="shared" si="173"/>
        <v>5.3428243983771088E-13</v>
      </c>
      <c r="CW160" s="20">
        <f t="shared" si="174"/>
        <v>9.8459716521636505E-13</v>
      </c>
      <c r="CX160" s="59">
        <f t="shared" si="122"/>
        <v>293.33333333333428</v>
      </c>
      <c r="CY160" s="59">
        <f ca="1">AVERAGE(OFFSET($CX$3,0,0,'Données projet'!$E$13+1,1))-AVERAGE(OFFSET($H$3,0,0,'Données projet'!$E$13+1,1))</f>
        <v>210.03861149060413</v>
      </c>
      <c r="CZ160" s="59">
        <f t="shared" si="150"/>
        <v>298.74602928001929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13.264503648126267</v>
      </c>
      <c r="DG160" s="21">
        <f>EXP(-LN(2)/25)*DG159+(1-EXP(-LN(2)/25))/(LN(2)/25)*Calculateur!DB160*Calculateur!DD160*VLOOKUP('Données projet'!$B$13,Paramètres!$A$1:$I$89,3,0)*0.475*44/12</f>
        <v>2.8804858573430621</v>
      </c>
      <c r="DH160" s="21">
        <f>EXP(-LN(2)/2)*DH159+(1-EXP(-LN(2)/2))/(LN(2)/2)*DB160*DE160*VLOOKUP('Données projet'!$B$13,Paramètres!$A$1:$I$89,3,0)*0.475*44/12</f>
        <v>2.8345700542055739E-15</v>
      </c>
      <c r="DI160" s="22">
        <f t="shared" si="175"/>
        <v>16.144989505469333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-3.4106051316484809E-13</v>
      </c>
      <c r="DP160" s="17">
        <f>DO160*VLOOKUP('Données projet'!$B$14,Paramètres!$A$1:$I$89,3,0)*VLOOKUP('Données projet'!$B$14,Paramètres!$A$1:$I$89,5,0)</f>
        <v>-2.0395418687257919E-13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402.28353929315114</v>
      </c>
      <c r="DU160" s="59">
        <f t="shared" si="152"/>
        <v>376.94419168335463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37.067662408214055</v>
      </c>
      <c r="EB160" s="21">
        <f>EXP(-LN(2)/25)*EB159+(1-EXP(-LN(2)/25))/(LN(2)/25)*Calculateur!DW160*Calculateur!DY160*VLOOKUP('Données projet'!$B$14,Paramètres!$A$1:$I$89,3,0)*0.475*44/12</f>
        <v>4.3703831466848602</v>
      </c>
      <c r="EC160" s="21">
        <f>EXP(-LN(2)/2)*EC159+(1-EXP(-LN(2)/2))/(LN(2)/2)*DW160*DZ160*VLOOKUP('Données projet'!$B$14,Paramètres!$A$1:$I$89,3,0)*0.475*44/12</f>
        <v>2.946108402299076E-12</v>
      </c>
      <c r="ED160" s="22">
        <f t="shared" si="178"/>
        <v>41.438045554901862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>
        <f>EJ160*VLOOKUP('Données projet'!$B$15,Paramètres!$A$1:$I$89,3,0)*VLOOKUP('Données projet'!$B$15,Paramètres!$A$1:$I$89,5,0)</f>
        <v>0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273.3012268683454</v>
      </c>
      <c r="EP160" s="59">
        <f t="shared" si="154"/>
        <v>254.08208375594052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22.719177102205123</v>
      </c>
      <c r="EW160" s="21">
        <f>EXP(-LN(2)/25)*EW159+(1-EXP(-LN(2)/25))/(LN(2)/25)*Calculateur!ER160*Calculateur!ET160*VLOOKUP('Données projet'!$B$15,Paramètres!$A$1:$I$89,3,0)*0.475*44/12</f>
        <v>4.9003002207050459</v>
      </c>
      <c r="EX160" s="21">
        <f>EXP(-LN(2)/2)*EX159+(1-EXP(-LN(2)/2))/(LN(2)/2)*ER160*EU160*VLOOKUP('Données projet'!$B$15,Paramètres!$A$1:$I$89,3,0)*0.475*44/12</f>
        <v>4.2293551460008625E-12</v>
      </c>
      <c r="EY160" s="22">
        <f t="shared" si="181"/>
        <v>27.619477322914396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-1.7053025658242404E-13</v>
      </c>
      <c r="O161" s="13">
        <f>N161*VLOOKUP('Données projet'!$B$9,Paramètres!$A$1:$I$89,3,0)*VLOOKUP('Données projet'!$B$9,Paramètres!$A$1:$I$89,5,0)</f>
        <v>-1.5429577615577727E-13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453.52760163325451</v>
      </c>
      <c r="T161" s="59">
        <f t="shared" si="142"/>
        <v>344.23959526427001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85.98828216462924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85.98828216462924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-1.1368683772161603E-13</v>
      </c>
      <c r="AJ161" s="13">
        <f>AI161*VLOOKUP('Données projet'!$B$10,Paramètres!$A$1:$I$89,3,0)*VLOOKUP('Données projet'!$B$10,Paramètres!$A$1:$I$89,5,0)</f>
        <v>-9.7543306765146564E-14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397.45670821030774</v>
      </c>
      <c r="AO161" s="59">
        <f t="shared" si="144"/>
        <v>256.77417912163997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65.543168465095249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65.543168465095249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293.20194140252903</v>
      </c>
      <c r="BJ161" s="59">
        <f t="shared" si="146"/>
        <v>280.69048279989266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16.969197984166556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16.969197984166556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-1.1368683772161603E-13</v>
      </c>
      <c r="BZ161" s="13">
        <f>BY161*VLOOKUP('Données projet'!$B$12,Paramètres!$A$1:$I$89,3,0)*VLOOKUP('Données projet'!$B$12,Paramètres!$A$1:$I$89,5,0)</f>
        <v>-9.0449248091317723E-14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271.25628946149067</v>
      </c>
      <c r="CE161" s="59">
        <f t="shared" si="148"/>
        <v>292.57799203101769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21.726659254185197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21.726659254185197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5.6843418860808015E-14</v>
      </c>
      <c r="CU161" s="17">
        <f>CT161*VLOOKUP('Données projet'!$B$13,Paramètres!$A$1:$I$89,3,0)*VLOOKUP('Données projet'!$B$13,Paramètres!$A$1:$I$89,5,0)</f>
        <v>3.1036506698001178E-14</v>
      </c>
      <c r="CV161" s="13">
        <f t="shared" si="173"/>
        <v>5.3428243983771088E-13</v>
      </c>
      <c r="CW161" s="20">
        <f t="shared" si="174"/>
        <v>9.8459716521636505E-13</v>
      </c>
      <c r="CX161" s="59">
        <f t="shared" si="122"/>
        <v>293.33333333333428</v>
      </c>
      <c r="CY161" s="59">
        <f ca="1">AVERAGE(OFFSET($CX$3,0,0,'Données projet'!$E$13+1,1))-AVERAGE(OFFSET($H$3,0,0,'Données projet'!$E$13+1,1))</f>
        <v>210.03861149060413</v>
      </c>
      <c r="CZ161" s="59">
        <f t="shared" si="150"/>
        <v>298.74602928001929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13.004394822134861</v>
      </c>
      <c r="DG161" s="21">
        <f>EXP(-LN(2)/25)*DG160+(1-EXP(-LN(2)/25))/(LN(2)/25)*Calculateur!DB161*Calculateur!DD161*VLOOKUP('Données projet'!$B$13,Paramètres!$A$1:$I$89,3,0)*0.475*44/12</f>
        <v>2.8017188200958483</v>
      </c>
      <c r="DH161" s="21">
        <f>EXP(-LN(2)/2)*DH160+(1-EXP(-LN(2)/2))/(LN(2)/2)*DB161*DE161*VLOOKUP('Données projet'!$B$13,Paramètres!$A$1:$I$89,3,0)*0.475*44/12</f>
        <v>2.0043437070770809E-15</v>
      </c>
      <c r="DI161" s="22">
        <f t="shared" si="175"/>
        <v>15.806113642230711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-3.4106051316484809E-13</v>
      </c>
      <c r="DP161" s="17">
        <f>DO161*VLOOKUP('Données projet'!$B$14,Paramètres!$A$1:$I$89,3,0)*VLOOKUP('Données projet'!$B$14,Paramètres!$A$1:$I$89,5,0)</f>
        <v>-2.0395418687257919E-13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402.28353929315114</v>
      </c>
      <c r="DU161" s="59">
        <f t="shared" si="152"/>
        <v>376.94419168335463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36.340788157430588</v>
      </c>
      <c r="EB161" s="21">
        <f>EXP(-LN(2)/25)*EB160+(1-EXP(-LN(2)/25))/(LN(2)/25)*Calculateur!DW161*Calculateur!DY161*VLOOKUP('Données projet'!$B$14,Paramètres!$A$1:$I$89,3,0)*0.475*44/12</f>
        <v>4.2508747897103012</v>
      </c>
      <c r="EC161" s="21">
        <f>EXP(-LN(2)/2)*EC160+(1-EXP(-LN(2)/2))/(LN(2)/2)*DW161*DZ161*VLOOKUP('Données projet'!$B$14,Paramètres!$A$1:$I$89,3,0)*0.475*44/12</f>
        <v>2.0832132293763418E-12</v>
      </c>
      <c r="ED161" s="22">
        <f t="shared" si="178"/>
        <v>40.591662947142972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>
        <f>EJ161*VLOOKUP('Données projet'!$B$15,Paramètres!$A$1:$I$89,3,0)*VLOOKUP('Données projet'!$B$15,Paramètres!$A$1:$I$89,5,0)</f>
        <v>0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273.3012268683454</v>
      </c>
      <c r="EP161" s="59">
        <f t="shared" si="154"/>
        <v>254.08208375594052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22.273667896560614</v>
      </c>
      <c r="EW161" s="21">
        <f>EXP(-LN(2)/25)*EW160+(1-EXP(-LN(2)/25))/(LN(2)/25)*Calculateur!ER161*Calculateur!ET161*VLOOKUP('Données projet'!$B$15,Paramètres!$A$1:$I$89,3,0)*0.475*44/12</f>
        <v>4.7663012534742775</v>
      </c>
      <c r="EX161" s="21">
        <f>EXP(-LN(2)/2)*EX160+(1-EXP(-LN(2)/2))/(LN(2)/2)*ER161*EU161*VLOOKUP('Données projet'!$B$15,Paramètres!$A$1:$I$89,3,0)*0.475*44/12</f>
        <v>2.9906057037834307E-12</v>
      </c>
      <c r="EY161" s="22">
        <f t="shared" si="181"/>
        <v>27.039969150037884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-1.7053025658242404E-13</v>
      </c>
      <c r="O162" s="13">
        <f>N162*VLOOKUP('Données projet'!$B$9,Paramètres!$A$1:$I$89,3,0)*VLOOKUP('Données projet'!$B$9,Paramètres!$A$1:$I$89,5,0)</f>
        <v>-1.5429577615577727E-13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453.52760163325451</v>
      </c>
      <c r="T162" s="59">
        <f t="shared" si="142"/>
        <v>344.23959526427001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84.302104399054201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84.302104399054201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-1.1368683772161603E-13</v>
      </c>
      <c r="AJ162" s="13">
        <f>AI162*VLOOKUP('Données projet'!$B$10,Paramètres!$A$1:$I$89,3,0)*VLOOKUP('Données projet'!$B$10,Paramètres!$A$1:$I$89,5,0)</f>
        <v>-9.7543306765146564E-14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397.45670821030774</v>
      </c>
      <c r="AO162" s="59">
        <f t="shared" si="144"/>
        <v>256.77417912163997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64.257906908880059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64.257906908880059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293.20194140252903</v>
      </c>
      <c r="BJ162" s="59">
        <f t="shared" si="146"/>
        <v>280.69048279989266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16.636442361885823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16.636442361885823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-1.1368683772161603E-13</v>
      </c>
      <c r="BZ162" s="13">
        <f>BY162*VLOOKUP('Données projet'!$B$12,Paramètres!$A$1:$I$89,3,0)*VLOOKUP('Données projet'!$B$12,Paramètres!$A$1:$I$89,5,0)</f>
        <v>-9.0449248091317723E-14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271.25628946149067</v>
      </c>
      <c r="CE162" s="59">
        <f t="shared" si="148"/>
        <v>292.57799203101769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21.300612718164249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21.300612718164249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5.6843418860808015E-14</v>
      </c>
      <c r="CU162" s="17">
        <f>CT162*VLOOKUP('Données projet'!$B$13,Paramètres!$A$1:$I$89,3,0)*VLOOKUP('Données projet'!$B$13,Paramètres!$A$1:$I$89,5,0)</f>
        <v>3.1036506698001178E-14</v>
      </c>
      <c r="CV162" s="13">
        <f t="shared" si="173"/>
        <v>5.3428243983771088E-13</v>
      </c>
      <c r="CW162" s="20">
        <f t="shared" si="174"/>
        <v>9.8459716521636505E-13</v>
      </c>
      <c r="CX162" s="59">
        <f t="shared" si="122"/>
        <v>293.33333333333428</v>
      </c>
      <c r="CY162" s="59">
        <f ca="1">AVERAGE(OFFSET($CX$3,0,0,'Données projet'!$E$13+1,1))-AVERAGE(OFFSET($H$3,0,0,'Données projet'!$E$13+1,1))</f>
        <v>210.03861149060413</v>
      </c>
      <c r="CZ162" s="59">
        <f t="shared" si="150"/>
        <v>298.74602928001929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12.749386571570428</v>
      </c>
      <c r="DG162" s="21">
        <f>EXP(-LN(2)/25)*DG161+(1-EXP(-LN(2)/25))/(LN(2)/25)*Calculateur!DB162*Calculateur!DD162*VLOOKUP('Données projet'!$B$13,Paramètres!$A$1:$I$89,3,0)*0.475*44/12</f>
        <v>2.725105671624338</v>
      </c>
      <c r="DH162" s="21">
        <f>EXP(-LN(2)/2)*DH161+(1-EXP(-LN(2)/2))/(LN(2)/2)*DB162*DE162*VLOOKUP('Données projet'!$B$13,Paramètres!$A$1:$I$89,3,0)*0.475*44/12</f>
        <v>1.4172850271027869E-15</v>
      </c>
      <c r="DI162" s="22">
        <f t="shared" si="175"/>
        <v>15.474492243194767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-3.4106051316484809E-13</v>
      </c>
      <c r="DP162" s="17">
        <f>DO162*VLOOKUP('Données projet'!$B$14,Paramètres!$A$1:$I$89,3,0)*VLOOKUP('Données projet'!$B$14,Paramètres!$A$1:$I$89,5,0)</f>
        <v>-2.0395418687257919E-13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402.28353929315114</v>
      </c>
      <c r="DU162" s="59">
        <f t="shared" si="152"/>
        <v>376.94419168335463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35.628167467355468</v>
      </c>
      <c r="EB162" s="21">
        <f>EXP(-LN(2)/25)*EB161+(1-EXP(-LN(2)/25))/(LN(2)/25)*Calculateur!DW162*Calculateur!DY162*VLOOKUP('Données projet'!$B$14,Paramètres!$A$1:$I$89,3,0)*0.475*44/12</f>
        <v>4.1346343950418829</v>
      </c>
      <c r="EC162" s="21">
        <f>EXP(-LN(2)/2)*EC161+(1-EXP(-LN(2)/2))/(LN(2)/2)*DW162*DZ162*VLOOKUP('Données projet'!$B$14,Paramètres!$A$1:$I$89,3,0)*0.475*44/12</f>
        <v>1.473054201149538E-12</v>
      </c>
      <c r="ED162" s="22">
        <f t="shared" si="178"/>
        <v>39.762801862398824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>
        <f>EJ162*VLOOKUP('Données projet'!$B$15,Paramètres!$A$1:$I$89,3,0)*VLOOKUP('Données projet'!$B$15,Paramètres!$A$1:$I$89,5,0)</f>
        <v>0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273.3012268683454</v>
      </c>
      <c r="EP162" s="59">
        <f t="shared" si="154"/>
        <v>254.08208375594052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21.836894854705012</v>
      </c>
      <c r="EW162" s="21">
        <f>EXP(-LN(2)/25)*EW161+(1-EXP(-LN(2)/25))/(LN(2)/25)*Calculateur!ER162*Calculateur!ET162*VLOOKUP('Données projet'!$B$15,Paramètres!$A$1:$I$89,3,0)*0.475*44/12</f>
        <v>4.6359664950491339</v>
      </c>
      <c r="EX162" s="21">
        <f>EXP(-LN(2)/2)*EX161+(1-EXP(-LN(2)/2))/(LN(2)/2)*ER162*EU162*VLOOKUP('Données projet'!$B$15,Paramètres!$A$1:$I$89,3,0)*0.475*44/12</f>
        <v>2.1146775730004313E-12</v>
      </c>
      <c r="EY162" s="22">
        <f t="shared" si="181"/>
        <v>26.472861349756261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-1.7053025658242404E-13</v>
      </c>
      <c r="O163" s="13">
        <f>N163*VLOOKUP('Données projet'!$B$9,Paramètres!$A$1:$I$89,3,0)*VLOOKUP('Données projet'!$B$9,Paramètres!$A$1:$I$89,5,0)</f>
        <v>-1.5429577615577727E-13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453.52760163325451</v>
      </c>
      <c r="T163" s="59">
        <f t="shared" si="142"/>
        <v>344.23959526427001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82.648991550995206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82.648991550995206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-1.1368683772161603E-13</v>
      </c>
      <c r="AJ163" s="13">
        <f>AI163*VLOOKUP('Données projet'!$B$10,Paramètres!$A$1:$I$89,3,0)*VLOOKUP('Données projet'!$B$10,Paramètres!$A$1:$I$89,5,0)</f>
        <v>-9.7543306765146564E-14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397.45670821030774</v>
      </c>
      <c r="AO163" s="59">
        <f t="shared" si="144"/>
        <v>256.77417912163997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62.997848547850104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62.997848547850104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293.20194140252903</v>
      </c>
      <c r="BJ163" s="59">
        <f t="shared" si="146"/>
        <v>280.69048279989266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16.310211874397126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16.310211874397126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-1.1368683772161603E-13</v>
      </c>
      <c r="BZ163" s="13">
        <f>BY163*VLOOKUP('Données projet'!$B$12,Paramètres!$A$1:$I$89,3,0)*VLOOKUP('Données projet'!$B$12,Paramètres!$A$1:$I$89,5,0)</f>
        <v>-9.0449248091317723E-14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271.25628946149067</v>
      </c>
      <c r="CE163" s="59">
        <f t="shared" si="148"/>
        <v>292.57799203101769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20.882920694851943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20.882920694851943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5.6843418860808015E-14</v>
      </c>
      <c r="CU163" s="17">
        <f>CT163*VLOOKUP('Données projet'!$B$13,Paramètres!$A$1:$I$89,3,0)*VLOOKUP('Données projet'!$B$13,Paramètres!$A$1:$I$89,5,0)</f>
        <v>3.1036506698001178E-14</v>
      </c>
      <c r="CV163" s="13">
        <f t="shared" si="173"/>
        <v>5.3428243983771088E-13</v>
      </c>
      <c r="CW163" s="20">
        <f t="shared" si="174"/>
        <v>9.8459716521636505E-13</v>
      </c>
      <c r="CX163" s="59">
        <f t="shared" si="122"/>
        <v>293.33333333333428</v>
      </c>
      <c r="CY163" s="59">
        <f ca="1">AVERAGE(OFFSET($CX$3,0,0,'Données projet'!$E$13+1,1))-AVERAGE(OFFSET($H$3,0,0,'Données projet'!$E$13+1,1))</f>
        <v>210.03861149060413</v>
      </c>
      <c r="CZ163" s="59">
        <f t="shared" si="150"/>
        <v>298.74602928001929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12.499378877259888</v>
      </c>
      <c r="DG163" s="21">
        <f>EXP(-LN(2)/25)*DG162+(1-EXP(-LN(2)/25))/(LN(2)/25)*Calculateur!DB163*Calculateur!DD163*VLOOKUP('Données projet'!$B$13,Paramètres!$A$1:$I$89,3,0)*0.475*44/12</f>
        <v>2.6505875137266917</v>
      </c>
      <c r="DH163" s="21">
        <f>EXP(-LN(2)/2)*DH162+(1-EXP(-LN(2)/2))/(LN(2)/2)*DB163*DE163*VLOOKUP('Données projet'!$B$13,Paramètres!$A$1:$I$89,3,0)*0.475*44/12</f>
        <v>1.0021718535385404E-15</v>
      </c>
      <c r="DI163" s="22">
        <f t="shared" si="175"/>
        <v>15.149966390986581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-3.4106051316484809E-13</v>
      </c>
      <c r="DP163" s="17">
        <f>DO163*VLOOKUP('Données projet'!$B$14,Paramètres!$A$1:$I$89,3,0)*VLOOKUP('Données projet'!$B$14,Paramètres!$A$1:$I$89,5,0)</f>
        <v>-2.0395418687257919E-13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402.28353929315114</v>
      </c>
      <c r="DU163" s="59">
        <f t="shared" si="152"/>
        <v>376.94419168335463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34.929520834357021</v>
      </c>
      <c r="EB163" s="21">
        <f>EXP(-LN(2)/25)*EB162+(1-EXP(-LN(2)/25))/(LN(2)/25)*Calculateur!DW163*Calculateur!DY163*VLOOKUP('Données projet'!$B$14,Paramètres!$A$1:$I$89,3,0)*0.475*44/12</f>
        <v>4.0215726000784899</v>
      </c>
      <c r="EC163" s="21">
        <f>EXP(-LN(2)/2)*EC162+(1-EXP(-LN(2)/2))/(LN(2)/2)*DW163*DZ163*VLOOKUP('Données projet'!$B$14,Paramètres!$A$1:$I$89,3,0)*0.475*44/12</f>
        <v>1.0416066146881709E-12</v>
      </c>
      <c r="ED163" s="22">
        <f t="shared" si="178"/>
        <v>38.951093434436558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>
        <f>EJ163*VLOOKUP('Données projet'!$B$15,Paramètres!$A$1:$I$89,3,0)*VLOOKUP('Données projet'!$B$15,Paramètres!$A$1:$I$89,5,0)</f>
        <v>0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273.3012268683454</v>
      </c>
      <c r="EP163" s="59">
        <f t="shared" si="154"/>
        <v>254.08208375594052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21.408686665794946</v>
      </c>
      <c r="EW163" s="21">
        <f>EXP(-LN(2)/25)*EW162+(1-EXP(-LN(2)/25))/(LN(2)/25)*Calculateur!ER163*Calculateur!ET163*VLOOKUP('Données projet'!$B$15,Paramètres!$A$1:$I$89,3,0)*0.475*44/12</f>
        <v>4.5091957474471327</v>
      </c>
      <c r="EX163" s="21">
        <f>EXP(-LN(2)/2)*EX162+(1-EXP(-LN(2)/2))/(LN(2)/2)*ER163*EU163*VLOOKUP('Données projet'!$B$15,Paramètres!$A$1:$I$89,3,0)*0.475*44/12</f>
        <v>1.4953028518917153E-12</v>
      </c>
      <c r="EY163" s="22">
        <f t="shared" si="181"/>
        <v>25.917882413243575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-1.7053025658242404E-13</v>
      </c>
      <c r="O164" s="13">
        <f>N164*VLOOKUP('Données projet'!$B$9,Paramètres!$A$1:$I$89,3,0)*VLOOKUP('Données projet'!$B$9,Paramètres!$A$1:$I$89,5,0)</f>
        <v>-1.5429577615577727E-13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453.52760163325451</v>
      </c>
      <c r="T164" s="59">
        <f t="shared" si="142"/>
        <v>344.23959526427001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81.028295237587372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81.028295237587372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-1.1368683772161603E-13</v>
      </c>
      <c r="AJ164" s="13">
        <f>AI164*VLOOKUP('Données projet'!$B$10,Paramètres!$A$1:$I$89,3,0)*VLOOKUP('Données projet'!$B$10,Paramètres!$A$1:$I$89,5,0)</f>
        <v>-9.7543306765146564E-14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397.45670821030774</v>
      </c>
      <c r="AO164" s="59">
        <f t="shared" si="144"/>
        <v>256.77417912163997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61.762499162720232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61.762499162720232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293.20194140252903</v>
      </c>
      <c r="BJ164" s="59">
        <f t="shared" si="146"/>
        <v>280.69048279989266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15.990378567787134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15.990378567787134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-1.1368683772161603E-13</v>
      </c>
      <c r="BZ164" s="13">
        <f>BY164*VLOOKUP('Données projet'!$B$12,Paramètres!$A$1:$I$89,3,0)*VLOOKUP('Données projet'!$B$12,Paramètres!$A$1:$I$89,5,0)</f>
        <v>-9.0449248091317723E-14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271.25628946149067</v>
      </c>
      <c r="CE164" s="59">
        <f t="shared" si="148"/>
        <v>292.57799203101769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20.473419357349815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20.473419357349815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5.6843418860808015E-14</v>
      </c>
      <c r="CU164" s="17">
        <f>CT164*VLOOKUP('Données projet'!$B$13,Paramètres!$A$1:$I$89,3,0)*VLOOKUP('Données projet'!$B$13,Paramètres!$A$1:$I$89,5,0)</f>
        <v>3.1036506698001178E-14</v>
      </c>
      <c r="CV164" s="13">
        <f t="shared" si="173"/>
        <v>5.3428243983771088E-13</v>
      </c>
      <c r="CW164" s="20">
        <f t="shared" si="174"/>
        <v>9.8459716521636505E-13</v>
      </c>
      <c r="CX164" s="59">
        <f t="shared" si="122"/>
        <v>293.33333333333428</v>
      </c>
      <c r="CY164" s="59">
        <f ca="1">AVERAGE(OFFSET($CX$3,0,0,'Données projet'!$E$13+1,1))-AVERAGE(OFFSET($H$3,0,0,'Données projet'!$E$13+1,1))</f>
        <v>210.03861149060413</v>
      </c>
      <c r="CZ164" s="59">
        <f t="shared" si="150"/>
        <v>298.74602928001929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12.254273681345142</v>
      </c>
      <c r="DG164" s="21">
        <f>EXP(-LN(2)/25)*DG163+(1-EXP(-LN(2)/25))/(LN(2)/25)*Calculateur!DB164*Calculateur!DD164*VLOOKUP('Données projet'!$B$13,Paramètres!$A$1:$I$89,3,0)*0.475*44/12</f>
        <v>2.5781070587754957</v>
      </c>
      <c r="DH164" s="21">
        <f>EXP(-LN(2)/2)*DH163+(1-EXP(-LN(2)/2))/(LN(2)/2)*DB164*DE164*VLOOKUP('Données projet'!$B$13,Paramètres!$A$1:$I$89,3,0)*0.475*44/12</f>
        <v>7.0864251355139347E-16</v>
      </c>
      <c r="DI164" s="22">
        <f t="shared" si="175"/>
        <v>14.832380740120637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-3.4106051316484809E-13</v>
      </c>
      <c r="DP164" s="17">
        <f>DO164*VLOOKUP('Données projet'!$B$14,Paramètres!$A$1:$I$89,3,0)*VLOOKUP('Données projet'!$B$14,Paramètres!$A$1:$I$89,5,0)</f>
        <v>-2.0395418687257919E-13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402.28353929315114</v>
      </c>
      <c r="DU164" s="59">
        <f t="shared" si="152"/>
        <v>376.94419168335463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34.244574235699304</v>
      </c>
      <c r="EB164" s="21">
        <f>EXP(-LN(2)/25)*EB163+(1-EXP(-LN(2)/25))/(LN(2)/25)*Calculateur!DW164*Calculateur!DY164*VLOOKUP('Données projet'!$B$14,Paramètres!$A$1:$I$89,3,0)*0.475*44/12</f>
        <v>3.9116024858440319</v>
      </c>
      <c r="EC164" s="21">
        <f>EXP(-LN(2)/2)*EC163+(1-EXP(-LN(2)/2))/(LN(2)/2)*DW164*DZ164*VLOOKUP('Données projet'!$B$14,Paramètres!$A$1:$I$89,3,0)*0.475*44/12</f>
        <v>7.3652710057476899E-13</v>
      </c>
      <c r="ED164" s="22">
        <f t="shared" si="178"/>
        <v>38.156176721544071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>
        <f>EJ164*VLOOKUP('Données projet'!$B$15,Paramètres!$A$1:$I$89,3,0)*VLOOKUP('Données projet'!$B$15,Paramètres!$A$1:$I$89,5,0)</f>
        <v>0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273.3012268683454</v>
      </c>
      <c r="EP164" s="59">
        <f t="shared" si="154"/>
        <v>254.08208375594052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20.988875378288203</v>
      </c>
      <c r="EW164" s="21">
        <f>EXP(-LN(2)/25)*EW163+(1-EXP(-LN(2)/25))/(LN(2)/25)*Calculateur!ER164*Calculateur!ET164*VLOOKUP('Données projet'!$B$15,Paramètres!$A$1:$I$89,3,0)*0.475*44/12</f>
        <v>4.3858915526048925</v>
      </c>
      <c r="EX164" s="21">
        <f>EXP(-LN(2)/2)*EX163+(1-EXP(-LN(2)/2))/(LN(2)/2)*ER164*EU164*VLOOKUP('Données projet'!$B$15,Paramètres!$A$1:$I$89,3,0)*0.475*44/12</f>
        <v>1.0573387865002156E-12</v>
      </c>
      <c r="EY164" s="22">
        <f t="shared" si="181"/>
        <v>25.374766930894154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-1.7053025658242404E-13</v>
      </c>
      <c r="O165" s="13">
        <f>N165*VLOOKUP('Données projet'!$B$9,Paramètres!$A$1:$I$89,3,0)*VLOOKUP('Données projet'!$B$9,Paramètres!$A$1:$I$89,5,0)</f>
        <v>-1.5429577615577727E-13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453.52760163325451</v>
      </c>
      <c r="T165" s="59">
        <f t="shared" si="142"/>
        <v>344.23959526427001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79.439379790358331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79.439379790358331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-1.1368683772161603E-13</v>
      </c>
      <c r="AJ165" s="13">
        <f>AI165*VLOOKUP('Données projet'!$B$10,Paramètres!$A$1:$I$89,3,0)*VLOOKUP('Données projet'!$B$10,Paramètres!$A$1:$I$89,5,0)</f>
        <v>-9.7543306765146564E-14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397.45670821030774</v>
      </c>
      <c r="AO165" s="59">
        <f t="shared" si="144"/>
        <v>256.77417912163997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60.551374225544038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60.551374225544038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293.20194140252903</v>
      </c>
      <c r="BJ165" s="59">
        <f t="shared" si="146"/>
        <v>280.69048279989266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15.67681699724071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15.67681699724071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-1.1368683772161603E-13</v>
      </c>
      <c r="BZ165" s="13">
        <f>BY165*VLOOKUP('Données projet'!$B$12,Paramètres!$A$1:$I$89,3,0)*VLOOKUP('Données projet'!$B$12,Paramètres!$A$1:$I$89,5,0)</f>
        <v>-9.0449248091317723E-14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271.25628946149067</v>
      </c>
      <c r="CE165" s="59">
        <f t="shared" si="148"/>
        <v>292.57799203101769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20.07194809130495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20.07194809130495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5.6843418860808015E-14</v>
      </c>
      <c r="CU165" s="17">
        <f>CT165*VLOOKUP('Données projet'!$B$13,Paramètres!$A$1:$I$89,3,0)*VLOOKUP('Données projet'!$B$13,Paramètres!$A$1:$I$89,5,0)</f>
        <v>3.1036506698001178E-14</v>
      </c>
      <c r="CV165" s="13">
        <f t="shared" si="173"/>
        <v>5.3428243983771088E-13</v>
      </c>
      <c r="CW165" s="20">
        <f t="shared" si="174"/>
        <v>9.8459716521636505E-13</v>
      </c>
      <c r="CX165" s="59">
        <f t="shared" si="122"/>
        <v>293.33333333333428</v>
      </c>
      <c r="CY165" s="59">
        <f ca="1">AVERAGE(OFFSET($CX$3,0,0,'Données projet'!$E$13+1,1))-AVERAGE(OFFSET($H$3,0,0,'Données projet'!$E$13+1,1))</f>
        <v>210.03861149060413</v>
      </c>
      <c r="CZ165" s="59">
        <f t="shared" si="150"/>
        <v>298.74602928001929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12.013974848822876</v>
      </c>
      <c r="DG165" s="21">
        <f>EXP(-LN(2)/25)*DG164+(1-EXP(-LN(2)/25))/(LN(2)/25)*Calculateur!DB165*Calculateur!DD165*VLOOKUP('Données projet'!$B$13,Paramètres!$A$1:$I$89,3,0)*0.475*44/12</f>
        <v>2.5076085856765218</v>
      </c>
      <c r="DH165" s="21">
        <f>EXP(-LN(2)/2)*DH164+(1-EXP(-LN(2)/2))/(LN(2)/2)*DB165*DE165*VLOOKUP('Données projet'!$B$13,Paramètres!$A$1:$I$89,3,0)*0.475*44/12</f>
        <v>5.0108592676927022E-16</v>
      </c>
      <c r="DI165" s="22">
        <f t="shared" si="175"/>
        <v>14.521583434499398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-3.4106051316484809E-13</v>
      </c>
      <c r="DP165" s="17">
        <f>DO165*VLOOKUP('Données projet'!$B$14,Paramètres!$A$1:$I$89,3,0)*VLOOKUP('Données projet'!$B$14,Paramètres!$A$1:$I$89,5,0)</f>
        <v>-2.0395418687257919E-13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402.28353929315114</v>
      </c>
      <c r="DU165" s="59">
        <f t="shared" si="152"/>
        <v>376.94419168335463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33.573059022065088</v>
      </c>
      <c r="EB165" s="21">
        <f>EXP(-LN(2)/25)*EB164+(1-EXP(-LN(2)/25))/(LN(2)/25)*Calculateur!DW165*Calculateur!DY165*VLOOKUP('Données projet'!$B$14,Paramètres!$A$1:$I$89,3,0)*0.475*44/12</f>
        <v>3.8046395101663921</v>
      </c>
      <c r="EC165" s="21">
        <f>EXP(-LN(2)/2)*EC164+(1-EXP(-LN(2)/2))/(LN(2)/2)*DW165*DZ165*VLOOKUP('Données projet'!$B$14,Paramètres!$A$1:$I$89,3,0)*0.475*44/12</f>
        <v>5.2080330734408545E-13</v>
      </c>
      <c r="ED165" s="22">
        <f t="shared" si="178"/>
        <v>37.377698532231996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>
        <f>EJ165*VLOOKUP('Données projet'!$B$15,Paramètres!$A$1:$I$89,3,0)*VLOOKUP('Données projet'!$B$15,Paramètres!$A$1:$I$89,5,0)</f>
        <v>0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273.3012268683454</v>
      </c>
      <c r="EP165" s="59">
        <f t="shared" si="154"/>
        <v>254.08208375594052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20.577296334069864</v>
      </c>
      <c r="EW165" s="21">
        <f>EXP(-LN(2)/25)*EW164+(1-EXP(-LN(2)/25))/(LN(2)/25)*Calculateur!ER165*Calculateur!ET165*VLOOKUP('Données projet'!$B$15,Paramètres!$A$1:$I$89,3,0)*0.475*44/12</f>
        <v>4.2659591174548988</v>
      </c>
      <c r="EX165" s="21">
        <f>EXP(-LN(2)/2)*EX164+(1-EXP(-LN(2)/2))/(LN(2)/2)*ER165*EU165*VLOOKUP('Données projet'!$B$15,Paramètres!$A$1:$I$89,3,0)*0.475*44/12</f>
        <v>7.4765142594585767E-13</v>
      </c>
      <c r="EY165" s="22">
        <f t="shared" si="181"/>
        <v>24.843255451525508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-1.7053025658242404E-13</v>
      </c>
      <c r="O166" s="13">
        <f>N166*VLOOKUP('Données projet'!$B$9,Paramètres!$A$1:$I$89,3,0)*VLOOKUP('Données projet'!$B$9,Paramètres!$A$1:$I$89,5,0)</f>
        <v>-1.5429577615577727E-13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453.52760163325451</v>
      </c>
      <c r="T166" s="59">
        <f t="shared" si="142"/>
        <v>344.23959526427001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77.881622005906721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77.881622005906721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-1.1368683772161603E-13</v>
      </c>
      <c r="AJ166" s="13">
        <f>AI166*VLOOKUP('Données projet'!$B$10,Paramètres!$A$1:$I$89,3,0)*VLOOKUP('Données projet'!$B$10,Paramètres!$A$1:$I$89,5,0)</f>
        <v>-9.7543306765146564E-14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397.45670821030774</v>
      </c>
      <c r="AO166" s="59">
        <f t="shared" si="144"/>
        <v>256.77417912163997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59.363998709672593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59.363998709672593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293.20194140252903</v>
      </c>
      <c r="BJ166" s="59">
        <f t="shared" si="146"/>
        <v>280.69048279989266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15.369404177839028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15.369404177839028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-1.1368683772161603E-13</v>
      </c>
      <c r="BZ166" s="13">
        <f>BY166*VLOOKUP('Données projet'!$B$12,Paramètres!$A$1:$I$89,3,0)*VLOOKUP('Données projet'!$B$12,Paramètres!$A$1:$I$89,5,0)</f>
        <v>-9.0449248091317723E-14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271.25628946149067</v>
      </c>
      <c r="CE166" s="59">
        <f t="shared" si="148"/>
        <v>292.57799203101769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19.678349431913933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19.678349431913933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5.6843418860808015E-14</v>
      </c>
      <c r="CU166" s="17">
        <f>CT166*VLOOKUP('Données projet'!$B$13,Paramètres!$A$1:$I$89,3,0)*VLOOKUP('Données projet'!$B$13,Paramètres!$A$1:$I$89,5,0)</f>
        <v>3.1036506698001178E-14</v>
      </c>
      <c r="CV166" s="13">
        <f t="shared" si="173"/>
        <v>5.3428243983771088E-13</v>
      </c>
      <c r="CW166" s="20">
        <f t="shared" si="174"/>
        <v>9.8459716521636505E-13</v>
      </c>
      <c r="CX166" s="59">
        <f t="shared" si="122"/>
        <v>293.33333333333428</v>
      </c>
      <c r="CY166" s="59">
        <f ca="1">AVERAGE(OFFSET($CX$3,0,0,'Données projet'!$E$13+1,1))-AVERAGE(OFFSET($H$3,0,0,'Données projet'!$E$13+1,1))</f>
        <v>210.03861149060413</v>
      </c>
      <c r="CZ166" s="59">
        <f t="shared" si="150"/>
        <v>298.74602928001929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11.778388129838557</v>
      </c>
      <c r="DG166" s="21">
        <f>EXP(-LN(2)/25)*DG165+(1-EXP(-LN(2)/25))/(LN(2)/25)*Calculateur!DB166*Calculateur!DD166*VLOOKUP('Données projet'!$B$13,Paramètres!$A$1:$I$89,3,0)*0.475*44/12</f>
        <v>2.4390378970317932</v>
      </c>
      <c r="DH166" s="21">
        <f>EXP(-LN(2)/2)*DH165+(1-EXP(-LN(2)/2))/(LN(2)/2)*DB166*DE166*VLOOKUP('Données projet'!$B$13,Paramètres!$A$1:$I$89,3,0)*0.475*44/12</f>
        <v>3.5432125677569674E-16</v>
      </c>
      <c r="DI166" s="22">
        <f t="shared" si="175"/>
        <v>14.217426026870351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-3.4106051316484809E-13</v>
      </c>
      <c r="DP166" s="17">
        <f>DO166*VLOOKUP('Données projet'!$B$14,Paramètres!$A$1:$I$89,3,0)*VLOOKUP('Données projet'!$B$14,Paramètres!$A$1:$I$89,5,0)</f>
        <v>-2.0395418687257919E-13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402.28353929315114</v>
      </c>
      <c r="DU166" s="59">
        <f t="shared" si="152"/>
        <v>376.94419168335463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32.914711812186404</v>
      </c>
      <c r="EB166" s="21">
        <f>EXP(-LN(2)/25)*EB165+(1-EXP(-LN(2)/25))/(LN(2)/25)*Calculateur!DW166*Calculateur!DY166*VLOOKUP('Données projet'!$B$14,Paramètres!$A$1:$I$89,3,0)*0.475*44/12</f>
        <v>3.7006014426835958</v>
      </c>
      <c r="EC166" s="21">
        <f>EXP(-LN(2)/2)*EC165+(1-EXP(-LN(2)/2))/(LN(2)/2)*DW166*DZ166*VLOOKUP('Données projet'!$B$14,Paramètres!$A$1:$I$89,3,0)*0.475*44/12</f>
        <v>3.6826355028738449E-13</v>
      </c>
      <c r="ED166" s="22">
        <f t="shared" si="178"/>
        <v>36.615313254870372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>
        <f>EJ166*VLOOKUP('Données projet'!$B$15,Paramètres!$A$1:$I$89,3,0)*VLOOKUP('Données projet'!$B$15,Paramètres!$A$1:$I$89,5,0)</f>
        <v>0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273.3012268683454</v>
      </c>
      <c r="EP166" s="59">
        <f t="shared" si="154"/>
        <v>254.08208375594052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20.173788103870219</v>
      </c>
      <c r="EW166" s="21">
        <f>EXP(-LN(2)/25)*EW165+(1-EXP(-LN(2)/25))/(LN(2)/25)*Calculateur!ER166*Calculateur!ET166*VLOOKUP('Données projet'!$B$15,Paramètres!$A$1:$I$89,3,0)*0.475*44/12</f>
        <v>4.1493062410510548</v>
      </c>
      <c r="EX166" s="21">
        <f>EXP(-LN(2)/2)*EX165+(1-EXP(-LN(2)/2))/(LN(2)/2)*ER166*EU166*VLOOKUP('Données projet'!$B$15,Paramètres!$A$1:$I$89,3,0)*0.475*44/12</f>
        <v>5.2866939325010782E-13</v>
      </c>
      <c r="EY166" s="22">
        <f t="shared" si="181"/>
        <v>24.323094344921802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-1.7053025658242404E-13</v>
      </c>
      <c r="O167" s="13">
        <f>N167*VLOOKUP('Données projet'!$B$9,Paramètres!$A$1:$I$89,3,0)*VLOOKUP('Données projet'!$B$9,Paramètres!$A$1:$I$89,5,0)</f>
        <v>-1.5429577615577727E-13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453.52760163325451</v>
      </c>
      <c r="T167" s="59">
        <f t="shared" si="142"/>
        <v>344.23959526427001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76.354410901469777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76.354410901469777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-1.1368683772161603E-13</v>
      </c>
      <c r="AJ167" s="13">
        <f>AI167*VLOOKUP('Données projet'!$B$10,Paramètres!$A$1:$I$89,3,0)*VLOOKUP('Données projet'!$B$10,Paramètres!$A$1:$I$89,5,0)</f>
        <v>-9.7543306765146564E-14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397.45670821030774</v>
      </c>
      <c r="AO167" s="59">
        <f t="shared" si="144"/>
        <v>256.77417912163997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58.199906903439839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58.199906903439839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293.20194140252903</v>
      </c>
      <c r="BJ167" s="59">
        <f t="shared" si="146"/>
        <v>280.69048279989266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15.068019536322508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15.068019536322508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-1.1368683772161603E-13</v>
      </c>
      <c r="BZ167" s="13">
        <f>BY167*VLOOKUP('Données projet'!$B$12,Paramètres!$A$1:$I$89,3,0)*VLOOKUP('Données projet'!$B$12,Paramètres!$A$1:$I$89,5,0)</f>
        <v>-9.0449248091317723E-14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271.25628946149067</v>
      </c>
      <c r="CE167" s="59">
        <f t="shared" si="148"/>
        <v>292.57799203101769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19.292469002162097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19.292469002162097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5.6843418860808015E-14</v>
      </c>
      <c r="CU167" s="17">
        <f>CT167*VLOOKUP('Données projet'!$B$13,Paramètres!$A$1:$I$89,3,0)*VLOOKUP('Données projet'!$B$13,Paramètres!$A$1:$I$89,5,0)</f>
        <v>3.1036506698001178E-14</v>
      </c>
      <c r="CV167" s="13">
        <f t="shared" si="173"/>
        <v>5.3428243983771088E-13</v>
      </c>
      <c r="CW167" s="20">
        <f t="shared" si="174"/>
        <v>9.8459716521636505E-13</v>
      </c>
      <c r="CX167" s="59">
        <f t="shared" si="122"/>
        <v>293.33333333333428</v>
      </c>
      <c r="CY167" s="59">
        <f ca="1">AVERAGE(OFFSET($CX$3,0,0,'Données projet'!$E$13+1,1))-AVERAGE(OFFSET($H$3,0,0,'Données projet'!$E$13+1,1))</f>
        <v>210.03861149060413</v>
      </c>
      <c r="CZ167" s="59">
        <f t="shared" si="150"/>
        <v>298.74602928001929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11.547421122719811</v>
      </c>
      <c r="DG167" s="21">
        <f>EXP(-LN(2)/25)*DG166+(1-EXP(-LN(2)/25))/(LN(2)/25)*Calculateur!DB167*Calculateur!DD167*VLOOKUP('Données projet'!$B$13,Paramètres!$A$1:$I$89,3,0)*0.475*44/12</f>
        <v>2.3723422774740301</v>
      </c>
      <c r="DH167" s="21">
        <f>EXP(-LN(2)/2)*DH166+(1-EXP(-LN(2)/2))/(LN(2)/2)*DB167*DE167*VLOOKUP('Données projet'!$B$13,Paramètres!$A$1:$I$89,3,0)*0.475*44/12</f>
        <v>2.5054296338463511E-16</v>
      </c>
      <c r="DI167" s="22">
        <f t="shared" si="175"/>
        <v>13.91976340019384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-3.4106051316484809E-13</v>
      </c>
      <c r="DP167" s="17">
        <f>DO167*VLOOKUP('Données projet'!$B$14,Paramètres!$A$1:$I$89,3,0)*VLOOKUP('Données projet'!$B$14,Paramètres!$A$1:$I$89,5,0)</f>
        <v>-2.0395418687257919E-13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402.28353929315114</v>
      </c>
      <c r="DU167" s="59">
        <f t="shared" si="152"/>
        <v>376.94419168335463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32.269274389541295</v>
      </c>
      <c r="EB167" s="21">
        <f>EXP(-LN(2)/25)*EB166+(1-EXP(-LN(2)/25))/(LN(2)/25)*Calculateur!DW167*Calculateur!DY167*VLOOKUP('Données projet'!$B$14,Paramètres!$A$1:$I$89,3,0)*0.475*44/12</f>
        <v>3.5994083016272409</v>
      </c>
      <c r="EC167" s="21">
        <f>EXP(-LN(2)/2)*EC166+(1-EXP(-LN(2)/2))/(LN(2)/2)*DW167*DZ167*VLOOKUP('Données projet'!$B$14,Paramètres!$A$1:$I$89,3,0)*0.475*44/12</f>
        <v>2.6040165367204273E-13</v>
      </c>
      <c r="ED167" s="22">
        <f t="shared" si="178"/>
        <v>35.8686826911688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>
        <f>EJ167*VLOOKUP('Données projet'!$B$15,Paramètres!$A$1:$I$89,3,0)*VLOOKUP('Données projet'!$B$15,Paramètres!$A$1:$I$89,5,0)</f>
        <v>0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273.3012268683454</v>
      </c>
      <c r="EP167" s="59">
        <f t="shared" si="154"/>
        <v>254.08208375594052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19.778192423949069</v>
      </c>
      <c r="EW167" s="21">
        <f>EXP(-LN(2)/25)*EW166+(1-EXP(-LN(2)/25))/(LN(2)/25)*Calculateur!ER167*Calculateur!ET167*VLOOKUP('Données projet'!$B$15,Paramètres!$A$1:$I$89,3,0)*0.475*44/12</f>
        <v>4.0358432436869816</v>
      </c>
      <c r="EX167" s="21">
        <f>EXP(-LN(2)/2)*EX166+(1-EXP(-LN(2)/2))/(LN(2)/2)*ER167*EU167*VLOOKUP('Données projet'!$B$15,Paramètres!$A$1:$I$89,3,0)*0.475*44/12</f>
        <v>3.7382571297292883E-13</v>
      </c>
      <c r="EY167" s="22">
        <f t="shared" si="181"/>
        <v>23.814035667636421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-1.7053025658242404E-13</v>
      </c>
      <c r="O168" s="13">
        <f>N168*VLOOKUP('Données projet'!$B$9,Paramètres!$A$1:$I$89,3,0)*VLOOKUP('Données projet'!$B$9,Paramètres!$A$1:$I$89,5,0)</f>
        <v>-1.5429577615577727E-13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453.52760163325451</v>
      </c>
      <c r="T168" s="59">
        <f t="shared" si="142"/>
        <v>344.23959526427001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74.857147475284037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74.857147475284037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-1.1368683772161603E-13</v>
      </c>
      <c r="AJ168" s="13">
        <f>AI168*VLOOKUP('Données projet'!$B$10,Paramètres!$A$1:$I$89,3,0)*VLOOKUP('Données projet'!$B$10,Paramètres!$A$1:$I$89,5,0)</f>
        <v>-9.7543306765146564E-14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397.45670821030774</v>
      </c>
      <c r="AO168" s="59">
        <f t="shared" si="144"/>
        <v>256.77417912163997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57.058642227501416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57.058642227501416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293.20194140252903</v>
      </c>
      <c r="BJ168" s="59">
        <f t="shared" si="146"/>
        <v>280.69048279989266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14.772544863799645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14.772544863799645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-1.1368683772161603E-13</v>
      </c>
      <c r="BZ168" s="13">
        <f>BY168*VLOOKUP('Données projet'!$B$12,Paramètres!$A$1:$I$89,3,0)*VLOOKUP('Données projet'!$B$12,Paramètres!$A$1:$I$89,5,0)</f>
        <v>-9.0449248091317723E-14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271.25628946149067</v>
      </c>
      <c r="CE168" s="59">
        <f t="shared" si="148"/>
        <v>292.57799203101769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18.914155452273871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18.914155452273871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5.6843418860808015E-14</v>
      </c>
      <c r="CU168" s="17">
        <f>CT168*VLOOKUP('Données projet'!$B$13,Paramètres!$A$1:$I$89,3,0)*VLOOKUP('Données projet'!$B$13,Paramètres!$A$1:$I$89,5,0)</f>
        <v>3.1036506698001178E-14</v>
      </c>
      <c r="CV168" s="13">
        <f t="shared" si="173"/>
        <v>5.3428243983771088E-13</v>
      </c>
      <c r="CW168" s="20">
        <f t="shared" si="174"/>
        <v>9.8459716521636505E-13</v>
      </c>
      <c r="CX168" s="59">
        <f t="shared" si="122"/>
        <v>293.33333333333428</v>
      </c>
      <c r="CY168" s="59">
        <f ca="1">AVERAGE(OFFSET($CX$3,0,0,'Données projet'!$E$13+1,1))-AVERAGE(OFFSET($H$3,0,0,'Données projet'!$E$13+1,1))</f>
        <v>210.03861149060413</v>
      </c>
      <c r="CZ168" s="59">
        <f t="shared" si="150"/>
        <v>298.74602928001929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11.3209832377347</v>
      </c>
      <c r="DG168" s="21">
        <f>EXP(-LN(2)/25)*DG167+(1-EXP(-LN(2)/25))/(LN(2)/25)*Calculateur!DB168*Calculateur!DD168*VLOOKUP('Données projet'!$B$13,Paramètres!$A$1:$I$89,3,0)*0.475*44/12</f>
        <v>2.3074704531404446</v>
      </c>
      <c r="DH168" s="21">
        <f>EXP(-LN(2)/2)*DH167+(1-EXP(-LN(2)/2))/(LN(2)/2)*DB168*DE168*VLOOKUP('Données projet'!$B$13,Paramètres!$A$1:$I$89,3,0)*0.475*44/12</f>
        <v>1.7716062838784837E-16</v>
      </c>
      <c r="DI168" s="22">
        <f t="shared" si="175"/>
        <v>13.628453690875144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-3.4106051316484809E-13</v>
      </c>
      <c r="DP168" s="17">
        <f>DO168*VLOOKUP('Données projet'!$B$14,Paramètres!$A$1:$I$89,3,0)*VLOOKUP('Données projet'!$B$14,Paramètres!$A$1:$I$89,5,0)</f>
        <v>-2.0395418687257919E-13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402.28353929315114</v>
      </c>
      <c r="DU168" s="59">
        <f t="shared" si="152"/>
        <v>376.94419168335463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31.6364936010763</v>
      </c>
      <c r="EB168" s="21">
        <f>EXP(-LN(2)/25)*EB167+(1-EXP(-LN(2)/25))/(LN(2)/25)*Calculateur!DW168*Calculateur!DY168*VLOOKUP('Données projet'!$B$14,Paramètres!$A$1:$I$89,3,0)*0.475*44/12</f>
        <v>3.5009822923345881</v>
      </c>
      <c r="EC168" s="21">
        <f>EXP(-LN(2)/2)*EC167+(1-EXP(-LN(2)/2))/(LN(2)/2)*DW168*DZ168*VLOOKUP('Données projet'!$B$14,Paramètres!$A$1:$I$89,3,0)*0.475*44/12</f>
        <v>1.8413177514369225E-13</v>
      </c>
      <c r="ED168" s="22">
        <f t="shared" si="178"/>
        <v>35.137475893411072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>
        <f>EJ168*VLOOKUP('Données projet'!$B$15,Paramètres!$A$1:$I$89,3,0)*VLOOKUP('Données projet'!$B$15,Paramètres!$A$1:$I$89,5,0)</f>
        <v>0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273.3012268683454</v>
      </c>
      <c r="EP168" s="59">
        <f t="shared" si="154"/>
        <v>254.08208375594052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19.390354134021635</v>
      </c>
      <c r="EW168" s="21">
        <f>EXP(-LN(2)/25)*EW167+(1-EXP(-LN(2)/25))/(LN(2)/25)*Calculateur!ER168*Calculateur!ET168*VLOOKUP('Données projet'!$B$15,Paramètres!$A$1:$I$89,3,0)*0.475*44/12</f>
        <v>3.9254828979525889</v>
      </c>
      <c r="EX168" s="21">
        <f>EXP(-LN(2)/2)*EX167+(1-EXP(-LN(2)/2))/(LN(2)/2)*ER168*EU168*VLOOKUP('Données projet'!$B$15,Paramètres!$A$1:$I$89,3,0)*0.475*44/12</f>
        <v>2.6433469662505391E-13</v>
      </c>
      <c r="EY168" s="22">
        <f t="shared" si="181"/>
        <v>23.315837031974485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-1.7053025658242404E-13</v>
      </c>
      <c r="O169" s="13">
        <f>N169*VLOOKUP('Données projet'!$B$9,Paramètres!$A$1:$I$89,3,0)*VLOOKUP('Données projet'!$B$9,Paramètres!$A$1:$I$89,5,0)</f>
        <v>-1.5429577615577727E-13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453.52760163325451</v>
      </c>
      <c r="T169" s="59">
        <f t="shared" si="142"/>
        <v>344.23959526427001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73.389244471645284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73.389244471645284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-1.1368683772161603E-13</v>
      </c>
      <c r="AJ169" s="13">
        <f>AI169*VLOOKUP('Données projet'!$B$10,Paramètres!$A$1:$I$89,3,0)*VLOOKUP('Données projet'!$B$10,Paramètres!$A$1:$I$89,5,0)</f>
        <v>-9.7543306765146564E-14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397.45670821030774</v>
      </c>
      <c r="AO169" s="59">
        <f t="shared" si="144"/>
        <v>256.77417912163997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55.939757055755429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55.939757055755429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293.20194140252903</v>
      </c>
      <c r="BJ169" s="59">
        <f t="shared" si="146"/>
        <v>280.69048279989266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14.482864269383201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14.482864269383201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-1.1368683772161603E-13</v>
      </c>
      <c r="BZ169" s="13">
        <f>BY169*VLOOKUP('Données projet'!$B$12,Paramètres!$A$1:$I$89,3,0)*VLOOKUP('Données projet'!$B$12,Paramètres!$A$1:$I$89,5,0)</f>
        <v>-9.0449248091317723E-14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271.25628946149067</v>
      </c>
      <c r="CE169" s="59">
        <f t="shared" si="148"/>
        <v>292.57799203101769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18.543260400350473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18.543260400350473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5.6843418860808015E-14</v>
      </c>
      <c r="CU169" s="17">
        <f>CT169*VLOOKUP('Données projet'!$B$13,Paramètres!$A$1:$I$89,3,0)*VLOOKUP('Données projet'!$B$13,Paramètres!$A$1:$I$89,5,0)</f>
        <v>3.1036506698001178E-14</v>
      </c>
      <c r="CV169" s="13">
        <f t="shared" si="173"/>
        <v>5.3428243983771088E-13</v>
      </c>
      <c r="CW169" s="20">
        <f t="shared" si="174"/>
        <v>9.8459716521636505E-13</v>
      </c>
      <c r="CX169" s="59">
        <f t="shared" si="122"/>
        <v>293.33333333333428</v>
      </c>
      <c r="CY169" s="59">
        <f ca="1">AVERAGE(OFFSET($CX$3,0,0,'Données projet'!$E$13+1,1))-AVERAGE(OFFSET($H$3,0,0,'Données projet'!$E$13+1,1))</f>
        <v>210.03861149060413</v>
      </c>
      <c r="CZ169" s="59">
        <f t="shared" si="150"/>
        <v>298.74602928001929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11.098985661560674</v>
      </c>
      <c r="DG169" s="21">
        <f>EXP(-LN(2)/25)*DG168+(1-EXP(-LN(2)/25))/(LN(2)/25)*Calculateur!DB169*Calculateur!DD169*VLOOKUP('Données projet'!$B$13,Paramètres!$A$1:$I$89,3,0)*0.475*44/12</f>
        <v>2.2443725522547218</v>
      </c>
      <c r="DH169" s="21">
        <f>EXP(-LN(2)/2)*DH168+(1-EXP(-LN(2)/2))/(LN(2)/2)*DB169*DE169*VLOOKUP('Données projet'!$B$13,Paramètres!$A$1:$I$89,3,0)*0.475*44/12</f>
        <v>1.2527148169231756E-16</v>
      </c>
      <c r="DI169" s="22">
        <f t="shared" si="175"/>
        <v>13.343358213815396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-3.4106051316484809E-13</v>
      </c>
      <c r="DP169" s="17">
        <f>DO169*VLOOKUP('Données projet'!$B$14,Paramètres!$A$1:$I$89,3,0)*VLOOKUP('Données projet'!$B$14,Paramètres!$A$1:$I$89,5,0)</f>
        <v>-2.0395418687257919E-13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402.28353929315114</v>
      </c>
      <c r="DU169" s="59">
        <f t="shared" si="152"/>
        <v>376.94419168335463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31.016121257914932</v>
      </c>
      <c r="EB169" s="21">
        <f>EXP(-LN(2)/25)*EB168+(1-EXP(-LN(2)/25))/(LN(2)/25)*Calculateur!DW169*Calculateur!DY169*VLOOKUP('Données projet'!$B$14,Paramètres!$A$1:$I$89,3,0)*0.475*44/12</f>
        <v>3.4052477474420417</v>
      </c>
      <c r="EC169" s="21">
        <f>EXP(-LN(2)/2)*EC168+(1-EXP(-LN(2)/2))/(LN(2)/2)*DW169*DZ169*VLOOKUP('Données projet'!$B$14,Paramètres!$A$1:$I$89,3,0)*0.475*44/12</f>
        <v>1.3020082683602136E-13</v>
      </c>
      <c r="ED169" s="22">
        <f t="shared" si="178"/>
        <v>34.4213690053571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>
        <f>EJ169*VLOOKUP('Données projet'!$B$15,Paramètres!$A$1:$I$89,3,0)*VLOOKUP('Données projet'!$B$15,Paramètres!$A$1:$I$89,5,0)</f>
        <v>0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273.3012268683454</v>
      </c>
      <c r="EP169" s="59">
        <f t="shared" si="154"/>
        <v>254.08208375594052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19.010121116401677</v>
      </c>
      <c r="EW169" s="21">
        <f>EXP(-LN(2)/25)*EW168+(1-EXP(-LN(2)/25))/(LN(2)/25)*Calculateur!ER169*Calculateur!ET169*VLOOKUP('Données projet'!$B$15,Paramètres!$A$1:$I$89,3,0)*0.475*44/12</f>
        <v>3.8181403616759013</v>
      </c>
      <c r="EX169" s="21">
        <f>EXP(-LN(2)/2)*EX168+(1-EXP(-LN(2)/2))/(LN(2)/2)*ER169*EU169*VLOOKUP('Données projet'!$B$15,Paramètres!$A$1:$I$89,3,0)*0.475*44/12</f>
        <v>1.8691285648646442E-13</v>
      </c>
      <c r="EY169" s="22">
        <f t="shared" si="181"/>
        <v>22.828261478077767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-1.7053025658242404E-13</v>
      </c>
      <c r="O170" s="13">
        <f>N170*VLOOKUP('Données projet'!$B$9,Paramètres!$A$1:$I$89,3,0)*VLOOKUP('Données projet'!$B$9,Paramètres!$A$1:$I$89,5,0)</f>
        <v>-1.5429577615577727E-13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453.52760163325451</v>
      </c>
      <c r="T170" s="59">
        <f t="shared" si="142"/>
        <v>344.23959526427001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71.950126150575471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71.950126150575471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-1.1368683772161603E-13</v>
      </c>
      <c r="AJ170" s="13">
        <f>AI170*VLOOKUP('Données projet'!$B$10,Paramètres!$A$1:$I$89,3,0)*VLOOKUP('Données projet'!$B$10,Paramètres!$A$1:$I$89,5,0)</f>
        <v>-9.7543306765146564E-14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397.45670821030774</v>
      </c>
      <c r="AO170" s="59">
        <f t="shared" si="144"/>
        <v>256.77417912163997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54.842812539774812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54.842812539774812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293.20194140252903</v>
      </c>
      <c r="BJ170" s="59">
        <f t="shared" si="146"/>
        <v>280.69048279989266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14.198864134735548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14.198864134735548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-1.1368683772161603E-13</v>
      </c>
      <c r="BZ170" s="13">
        <f>BY170*VLOOKUP('Données projet'!$B$12,Paramètres!$A$1:$I$89,3,0)*VLOOKUP('Données projet'!$B$12,Paramètres!$A$1:$I$89,5,0)</f>
        <v>-9.0449248091317723E-14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271.25628946149067</v>
      </c>
      <c r="CE170" s="59">
        <f t="shared" si="148"/>
        <v>292.57799203101769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18.179638374171649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18.179638374171649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5.6843418860808015E-14</v>
      </c>
      <c r="CU170" s="17">
        <f>CT170*VLOOKUP('Données projet'!$B$13,Paramètres!$A$1:$I$89,3,0)*VLOOKUP('Données projet'!$B$13,Paramètres!$A$1:$I$89,5,0)</f>
        <v>3.1036506698001178E-14</v>
      </c>
      <c r="CV170" s="13">
        <f t="shared" si="173"/>
        <v>5.3428243983771088E-13</v>
      </c>
      <c r="CW170" s="20">
        <f t="shared" si="174"/>
        <v>9.8459716521636505E-13</v>
      </c>
      <c r="CX170" s="59">
        <f t="shared" si="122"/>
        <v>293.33333333333428</v>
      </c>
      <c r="CY170" s="59">
        <f ca="1">AVERAGE(OFFSET($CX$3,0,0,'Données projet'!$E$13+1,1))-AVERAGE(OFFSET($H$3,0,0,'Données projet'!$E$13+1,1))</f>
        <v>210.03861149060413</v>
      </c>
      <c r="CZ170" s="59">
        <f t="shared" si="150"/>
        <v>298.74602928001929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10.881341322450268</v>
      </c>
      <c r="DG170" s="21">
        <f>EXP(-LN(2)/25)*DG169+(1-EXP(-LN(2)/25))/(LN(2)/25)*Calculateur!DB170*Calculateur!DD170*VLOOKUP('Données projet'!$B$13,Paramètres!$A$1:$I$89,3,0)*0.475*44/12</f>
        <v>2.1830000667868936</v>
      </c>
      <c r="DH170" s="21">
        <f>EXP(-LN(2)/2)*DH169+(1-EXP(-LN(2)/2))/(LN(2)/2)*DB170*DE170*VLOOKUP('Données projet'!$B$13,Paramètres!$A$1:$I$89,3,0)*0.475*44/12</f>
        <v>8.8580314193924184E-17</v>
      </c>
      <c r="DI170" s="22">
        <f t="shared" si="175"/>
        <v>13.064341389237162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-3.4106051316484809E-13</v>
      </c>
      <c r="DP170" s="17">
        <f>DO170*VLOOKUP('Données projet'!$B$14,Paramètres!$A$1:$I$89,3,0)*VLOOKUP('Données projet'!$B$14,Paramètres!$A$1:$I$89,5,0)</f>
        <v>-2.0395418687257919E-13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402.28353929315114</v>
      </c>
      <c r="DU170" s="59">
        <f t="shared" si="152"/>
        <v>376.94419168335463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30.407914038013192</v>
      </c>
      <c r="EB170" s="21">
        <f>EXP(-LN(2)/25)*EB169+(1-EXP(-LN(2)/25))/(LN(2)/25)*Calculateur!DW170*Calculateur!DY170*VLOOKUP('Données projet'!$B$14,Paramètres!$A$1:$I$89,3,0)*0.475*44/12</f>
        <v>3.3121310687140428</v>
      </c>
      <c r="EC170" s="21">
        <f>EXP(-LN(2)/2)*EC169+(1-EXP(-LN(2)/2))/(LN(2)/2)*DW170*DZ170*VLOOKUP('Données projet'!$B$14,Paramètres!$A$1:$I$89,3,0)*0.475*44/12</f>
        <v>9.2065887571846124E-14</v>
      </c>
      <c r="ED170" s="22">
        <f t="shared" si="178"/>
        <v>33.720045106727326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>
        <f>EJ170*VLOOKUP('Données projet'!$B$15,Paramètres!$A$1:$I$89,3,0)*VLOOKUP('Données projet'!$B$15,Paramètres!$A$1:$I$89,5,0)</f>
        <v>0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273.3012268683454</v>
      </c>
      <c r="EP170" s="59">
        <f t="shared" si="154"/>
        <v>254.08208375594052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18.637344236338009</v>
      </c>
      <c r="EW170" s="21">
        <f>EXP(-LN(2)/25)*EW169+(1-EXP(-LN(2)/25))/(LN(2)/25)*Calculateur!ER170*Calculateur!ET170*VLOOKUP('Données projet'!$B$15,Paramètres!$A$1:$I$89,3,0)*0.475*44/12</f>
        <v>3.7137331126985988</v>
      </c>
      <c r="EX170" s="21">
        <f>EXP(-LN(2)/2)*EX169+(1-EXP(-LN(2)/2))/(LN(2)/2)*ER170*EU170*VLOOKUP('Données projet'!$B$15,Paramètres!$A$1:$I$89,3,0)*0.475*44/12</f>
        <v>1.3216734831252695E-13</v>
      </c>
      <c r="EY170" s="22">
        <f t="shared" si="181"/>
        <v>22.351077349036739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-1.7053025658242404E-13</v>
      </c>
      <c r="O171" s="13">
        <f>N171*VLOOKUP('Données projet'!$B$9,Paramètres!$A$1:$I$89,3,0)*VLOOKUP('Données projet'!$B$9,Paramètres!$A$1:$I$89,5,0)</f>
        <v>-1.5429577615577727E-13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453.52760163325451</v>
      </c>
      <c r="T171" s="59">
        <f t="shared" si="142"/>
        <v>344.23959526427001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70.53922806200633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70.53922806200633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-1.1368683772161603E-13</v>
      </c>
      <c r="AJ171" s="13">
        <f>AI171*VLOOKUP('Données projet'!$B$10,Paramètres!$A$1:$I$89,3,0)*VLOOKUP('Données projet'!$B$10,Paramètres!$A$1:$I$89,5,0)</f>
        <v>-9.7543306765146564E-14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397.45670821030774</v>
      </c>
      <c r="AO171" s="59">
        <f t="shared" si="144"/>
        <v>256.77417912163997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53.767378436682485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53.767378436682485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293.20194140252903</v>
      </c>
      <c r="BJ171" s="59">
        <f t="shared" si="146"/>
        <v>280.69048279989266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13.920433069505357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13.920433069505357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-1.1368683772161603E-13</v>
      </c>
      <c r="BZ171" s="13">
        <f>BY171*VLOOKUP('Données projet'!$B$12,Paramètres!$A$1:$I$89,3,0)*VLOOKUP('Données projet'!$B$12,Paramètres!$A$1:$I$89,5,0)</f>
        <v>-9.0449248091317723E-14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271.25628946149067</v>
      </c>
      <c r="CE171" s="59">
        <f t="shared" si="148"/>
        <v>292.57799203101769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17.823146754138655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17.823146754138655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5.6843418860808015E-14</v>
      </c>
      <c r="CU171" s="17">
        <f>CT171*VLOOKUP('Données projet'!$B$13,Paramètres!$A$1:$I$89,3,0)*VLOOKUP('Données projet'!$B$13,Paramètres!$A$1:$I$89,5,0)</f>
        <v>3.1036506698001178E-14</v>
      </c>
      <c r="CV171" s="13">
        <f t="shared" si="173"/>
        <v>5.3428243983771088E-13</v>
      </c>
      <c r="CW171" s="20">
        <f t="shared" si="174"/>
        <v>9.8459716521636505E-13</v>
      </c>
      <c r="CX171" s="59">
        <f t="shared" si="122"/>
        <v>293.33333333333428</v>
      </c>
      <c r="CY171" s="59">
        <f ca="1">AVERAGE(OFFSET($CX$3,0,0,'Données projet'!$E$13+1,1))-AVERAGE(OFFSET($H$3,0,0,'Données projet'!$E$13+1,1))</f>
        <v>210.03861149060413</v>
      </c>
      <c r="CZ171" s="59">
        <f t="shared" si="150"/>
        <v>298.74602928001929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10.66796485607988</v>
      </c>
      <c r="DG171" s="21">
        <f>EXP(-LN(2)/25)*DG170+(1-EXP(-LN(2)/25))/(LN(2)/25)*Calculateur!DB171*Calculateur!DD171*VLOOKUP('Données projet'!$B$13,Paramètres!$A$1:$I$89,3,0)*0.475*44/12</f>
        <v>2.123305815161622</v>
      </c>
      <c r="DH171" s="21">
        <f>EXP(-LN(2)/2)*DH170+(1-EXP(-LN(2)/2))/(LN(2)/2)*DB171*DE171*VLOOKUP('Données projet'!$B$13,Paramètres!$A$1:$I$89,3,0)*0.475*44/12</f>
        <v>6.2635740846158778E-17</v>
      </c>
      <c r="DI171" s="22">
        <f t="shared" si="175"/>
        <v>12.791270671241502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-3.4106051316484809E-13</v>
      </c>
      <c r="DP171" s="17">
        <f>DO171*VLOOKUP('Données projet'!$B$14,Paramètres!$A$1:$I$89,3,0)*VLOOKUP('Données projet'!$B$14,Paramètres!$A$1:$I$89,5,0)</f>
        <v>-2.0395418687257919E-13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402.28353929315114</v>
      </c>
      <c r="DU171" s="59">
        <f t="shared" si="152"/>
        <v>376.94419168335463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29.811633390723951</v>
      </c>
      <c r="EB171" s="21">
        <f>EXP(-LN(2)/25)*EB170+(1-EXP(-LN(2)/25))/(LN(2)/25)*Calculateur!DW171*Calculateur!DY171*VLOOKUP('Données projet'!$B$14,Paramètres!$A$1:$I$89,3,0)*0.475*44/12</f>
        <v>3.2215606704626545</v>
      </c>
      <c r="EC171" s="21">
        <f>EXP(-LN(2)/2)*EC170+(1-EXP(-LN(2)/2))/(LN(2)/2)*DW171*DZ171*VLOOKUP('Données projet'!$B$14,Paramètres!$A$1:$I$89,3,0)*0.475*44/12</f>
        <v>6.5100413418010682E-14</v>
      </c>
      <c r="ED171" s="22">
        <f t="shared" si="178"/>
        <v>33.03319406118667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>
        <f>EJ171*VLOOKUP('Données projet'!$B$15,Paramètres!$A$1:$I$89,3,0)*VLOOKUP('Données projet'!$B$15,Paramètres!$A$1:$I$89,5,0)</f>
        <v>0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273.3012268683454</v>
      </c>
      <c r="EP171" s="59">
        <f t="shared" si="154"/>
        <v>254.08208375594052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18.271877283520944</v>
      </c>
      <c r="EW171" s="21">
        <f>EXP(-LN(2)/25)*EW170+(1-EXP(-LN(2)/25))/(LN(2)/25)*Calculateur!ER171*Calculateur!ET171*VLOOKUP('Données projet'!$B$15,Paramètres!$A$1:$I$89,3,0)*0.475*44/12</f>
        <v>3.6121808854351189</v>
      </c>
      <c r="EX171" s="21">
        <f>EXP(-LN(2)/2)*EX170+(1-EXP(-LN(2)/2))/(LN(2)/2)*ER171*EU171*VLOOKUP('Données projet'!$B$15,Paramètres!$A$1:$I$89,3,0)*0.475*44/12</f>
        <v>9.3456428243232209E-14</v>
      </c>
      <c r="EY171" s="22">
        <f t="shared" si="181"/>
        <v>21.884058168956155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-1.7053025658242404E-13</v>
      </c>
      <c r="O172" s="13">
        <f>N172*VLOOKUP('Données projet'!$B$9,Paramètres!$A$1:$I$89,3,0)*VLOOKUP('Données projet'!$B$9,Paramètres!$A$1:$I$89,5,0)</f>
        <v>-1.5429577615577727E-13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453.52760163325451</v>
      </c>
      <c r="T172" s="59">
        <f t="shared" si="142"/>
        <v>344.23959526427001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69.155996824391167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69.155996824391167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-1.1368683772161603E-13</v>
      </c>
      <c r="AJ172" s="13">
        <f>AI172*VLOOKUP('Données projet'!$B$10,Paramètres!$A$1:$I$89,3,0)*VLOOKUP('Données projet'!$B$10,Paramètres!$A$1:$I$89,5,0)</f>
        <v>-9.7543306765146564E-14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397.45670821030774</v>
      </c>
      <c r="AO172" s="59">
        <f t="shared" si="144"/>
        <v>256.77417912163997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52.713032940401767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52.713032940401767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293.20194140252903</v>
      </c>
      <c r="BJ172" s="59">
        <f t="shared" si="146"/>
        <v>280.69048279989266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13.64746186763815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13.64746186763815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-1.1368683772161603E-13</v>
      </c>
      <c r="BZ172" s="13">
        <f>BY172*VLOOKUP('Données projet'!$B$12,Paramètres!$A$1:$I$89,3,0)*VLOOKUP('Données projet'!$B$12,Paramètres!$A$1:$I$89,5,0)</f>
        <v>-9.0449248091317723E-14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271.25628946149067</v>
      </c>
      <c r="CE172" s="59">
        <f t="shared" si="148"/>
        <v>292.57799203101769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17.47364571733609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17.47364571733609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5.6843418860808015E-14</v>
      </c>
      <c r="CU172" s="17">
        <f>CT172*VLOOKUP('Données projet'!$B$13,Paramètres!$A$1:$I$89,3,0)*VLOOKUP('Données projet'!$B$13,Paramètres!$A$1:$I$89,5,0)</f>
        <v>3.1036506698001178E-14</v>
      </c>
      <c r="CV172" s="13">
        <f t="shared" si="173"/>
        <v>5.3428243983771088E-13</v>
      </c>
      <c r="CW172" s="20">
        <f t="shared" si="174"/>
        <v>9.8459716521636505E-13</v>
      </c>
      <c r="CX172" s="59">
        <f t="shared" si="122"/>
        <v>293.33333333333428</v>
      </c>
      <c r="CY172" s="59">
        <f ca="1">AVERAGE(OFFSET($CX$3,0,0,'Données projet'!$E$13+1,1))-AVERAGE(OFFSET($H$3,0,0,'Données projet'!$E$13+1,1))</f>
        <v>210.03861149060413</v>
      </c>
      <c r="CZ172" s="59">
        <f t="shared" si="150"/>
        <v>298.74602928001929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10.458772572068222</v>
      </c>
      <c r="DG172" s="21">
        <f>EXP(-LN(2)/25)*DG171+(1-EXP(-LN(2)/25))/(LN(2)/25)*Calculateur!DB172*Calculateur!DD172*VLOOKUP('Données projet'!$B$13,Paramètres!$A$1:$I$89,3,0)*0.475*44/12</f>
        <v>2.0652439059862275</v>
      </c>
      <c r="DH172" s="21">
        <f>EXP(-LN(2)/2)*DH171+(1-EXP(-LN(2)/2))/(LN(2)/2)*DB172*DE172*VLOOKUP('Données projet'!$B$13,Paramètres!$A$1:$I$89,3,0)*0.475*44/12</f>
        <v>4.4290157096962092E-17</v>
      </c>
      <c r="DI172" s="22">
        <f t="shared" si="175"/>
        <v>12.524016478054449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-3.4106051316484809E-13</v>
      </c>
      <c r="DP172" s="17">
        <f>DO172*VLOOKUP('Données projet'!$B$14,Paramètres!$A$1:$I$89,3,0)*VLOOKUP('Données projet'!$B$14,Paramètres!$A$1:$I$89,5,0)</f>
        <v>-2.0395418687257919E-13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402.28353929315114</v>
      </c>
      <c r="DU172" s="59">
        <f t="shared" si="152"/>
        <v>376.94419168335463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29.227045443232772</v>
      </c>
      <c r="EB172" s="21">
        <f>EXP(-LN(2)/25)*EB171+(1-EXP(-LN(2)/25))/(LN(2)/25)*Calculateur!DW172*Calculateur!DY172*VLOOKUP('Données projet'!$B$14,Paramètres!$A$1:$I$89,3,0)*0.475*44/12</f>
        <v>3.1334669245143405</v>
      </c>
      <c r="EC172" s="21">
        <f>EXP(-LN(2)/2)*EC171+(1-EXP(-LN(2)/2))/(LN(2)/2)*DW172*DZ172*VLOOKUP('Données projet'!$B$14,Paramètres!$A$1:$I$89,3,0)*0.475*44/12</f>
        <v>4.6032943785923062E-14</v>
      </c>
      <c r="ED172" s="22">
        <f t="shared" si="178"/>
        <v>32.360512367747155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>
        <f>EJ172*VLOOKUP('Données projet'!$B$15,Paramètres!$A$1:$I$89,3,0)*VLOOKUP('Données projet'!$B$15,Paramètres!$A$1:$I$89,5,0)</f>
        <v>0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273.3012268683454</v>
      </c>
      <c r="EP172" s="59">
        <f t="shared" si="154"/>
        <v>254.08208375594052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17.913576914735788</v>
      </c>
      <c r="EW172" s="21">
        <f>EXP(-LN(2)/25)*EW171+(1-EXP(-LN(2)/25))/(LN(2)/25)*Calculateur!ER172*Calculateur!ET172*VLOOKUP('Données projet'!$B$15,Paramètres!$A$1:$I$89,3,0)*0.475*44/12</f>
        <v>3.5134056091665586</v>
      </c>
      <c r="EX172" s="21">
        <f>EXP(-LN(2)/2)*EX171+(1-EXP(-LN(2)/2))/(LN(2)/2)*ER172*EU172*VLOOKUP('Données projet'!$B$15,Paramètres!$A$1:$I$89,3,0)*0.475*44/12</f>
        <v>6.6083674156263477E-14</v>
      </c>
      <c r="EY172" s="22">
        <f t="shared" si="181"/>
        <v>21.426982523902414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-1.7053025658242404E-13</v>
      </c>
      <c r="O173" s="13">
        <f>N173*VLOOKUP('Données projet'!$B$9,Paramètres!$A$1:$I$89,3,0)*VLOOKUP('Données projet'!$B$9,Paramètres!$A$1:$I$89,5,0)</f>
        <v>-1.5429577615577727E-13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453.52760163325451</v>
      </c>
      <c r="T173" s="59">
        <f t="shared" si="142"/>
        <v>344.23959526427001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67.799889907657885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67.799889907657885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-1.1368683772161603E-13</v>
      </c>
      <c r="AJ173" s="13">
        <f>AI173*VLOOKUP('Données projet'!$B$10,Paramètres!$A$1:$I$89,3,0)*VLOOKUP('Données projet'!$B$10,Paramètres!$A$1:$I$89,5,0)</f>
        <v>-9.7543306765146564E-14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397.45670821030774</v>
      </c>
      <c r="AO173" s="59">
        <f t="shared" si="144"/>
        <v>256.77417912163997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51.679362516215861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51.679362516215861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293.20194140252903</v>
      </c>
      <c r="BJ173" s="59">
        <f t="shared" si="146"/>
        <v>280.69048279989266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13.379843464543566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13.379843464543566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-1.1368683772161603E-13</v>
      </c>
      <c r="BZ173" s="13">
        <f>BY173*VLOOKUP('Données projet'!$B$12,Paramètres!$A$1:$I$89,3,0)*VLOOKUP('Données projet'!$B$12,Paramètres!$A$1:$I$89,5,0)</f>
        <v>-9.0449248091317723E-14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271.25628946149067</v>
      </c>
      <c r="CE173" s="59">
        <f t="shared" si="148"/>
        <v>292.57799203101769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17.130998182690639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17.130998182690639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5.6843418860808015E-14</v>
      </c>
      <c r="CU173" s="17">
        <f>CT173*VLOOKUP('Données projet'!$B$13,Paramètres!$A$1:$I$89,3,0)*VLOOKUP('Données projet'!$B$13,Paramètres!$A$1:$I$89,5,0)</f>
        <v>3.1036506698001178E-14</v>
      </c>
      <c r="CV173" s="13">
        <f t="shared" si="173"/>
        <v>5.3428243983771088E-13</v>
      </c>
      <c r="CW173" s="20">
        <f t="shared" si="174"/>
        <v>9.8459716521636505E-13</v>
      </c>
      <c r="CX173" s="59">
        <f t="shared" si="122"/>
        <v>293.33333333333428</v>
      </c>
      <c r="CY173" s="59">
        <f ca="1">AVERAGE(OFFSET($CX$3,0,0,'Données projet'!$E$13+1,1))-AVERAGE(OFFSET($H$3,0,0,'Données projet'!$E$13+1,1))</f>
        <v>210.03861149060413</v>
      </c>
      <c r="CZ173" s="59">
        <f t="shared" si="150"/>
        <v>298.74602928001929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10.253682421151337</v>
      </c>
      <c r="DG173" s="21">
        <f>EXP(-LN(2)/25)*DG172+(1-EXP(-LN(2)/25))/(LN(2)/25)*Calculateur!DB173*Calculateur!DD173*VLOOKUP('Données projet'!$B$13,Paramètres!$A$1:$I$89,3,0)*0.475*44/12</f>
        <v>2.0087697027705773</v>
      </c>
      <c r="DH173" s="21">
        <f>EXP(-LN(2)/2)*DH172+(1-EXP(-LN(2)/2))/(LN(2)/2)*DB173*DE173*VLOOKUP('Données projet'!$B$13,Paramètres!$A$1:$I$89,3,0)*0.475*44/12</f>
        <v>3.1317870423079389E-17</v>
      </c>
      <c r="DI173" s="22">
        <f t="shared" si="175"/>
        <v>12.262452123921914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-3.4106051316484809E-13</v>
      </c>
      <c r="DP173" s="17">
        <f>DO173*VLOOKUP('Données projet'!$B$14,Paramètres!$A$1:$I$89,3,0)*VLOOKUP('Données projet'!$B$14,Paramètres!$A$1:$I$89,5,0)</f>
        <v>-2.0395418687257919E-13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402.28353929315114</v>
      </c>
      <c r="DU173" s="59">
        <f t="shared" si="152"/>
        <v>376.94419168335463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28.653920908828454</v>
      </c>
      <c r="EB173" s="21">
        <f>EXP(-LN(2)/25)*EB172+(1-EXP(-LN(2)/25))/(LN(2)/25)*Calculateur!DW173*Calculateur!DY173*VLOOKUP('Données projet'!$B$14,Paramètres!$A$1:$I$89,3,0)*0.475*44/12</f>
        <v>3.0477821066816317</v>
      </c>
      <c r="EC173" s="21">
        <f>EXP(-LN(2)/2)*EC172+(1-EXP(-LN(2)/2))/(LN(2)/2)*DW173*DZ173*VLOOKUP('Données projet'!$B$14,Paramètres!$A$1:$I$89,3,0)*0.475*44/12</f>
        <v>3.2550206709005341E-14</v>
      </c>
      <c r="ED173" s="22">
        <f t="shared" si="178"/>
        <v>31.701703015510116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>
        <f>EJ173*VLOOKUP('Données projet'!$B$15,Paramètres!$A$1:$I$89,3,0)*VLOOKUP('Données projet'!$B$15,Paramètres!$A$1:$I$89,5,0)</f>
        <v>0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273.3012268683454</v>
      </c>
      <c r="EP173" s="59">
        <f t="shared" si="154"/>
        <v>254.08208375594052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17.562302597640866</v>
      </c>
      <c r="EW173" s="21">
        <f>EXP(-LN(2)/25)*EW172+(1-EXP(-LN(2)/25))/(LN(2)/25)*Calculateur!ER173*Calculateur!ET173*VLOOKUP('Données projet'!$B$15,Paramètres!$A$1:$I$89,3,0)*0.475*44/12</f>
        <v>3.4173313480219281</v>
      </c>
      <c r="EX173" s="21">
        <f>EXP(-LN(2)/2)*EX172+(1-EXP(-LN(2)/2))/(LN(2)/2)*ER173*EU173*VLOOKUP('Données projet'!$B$15,Paramètres!$A$1:$I$89,3,0)*0.475*44/12</f>
        <v>4.6728214121616104E-14</v>
      </c>
      <c r="EY173" s="22">
        <f t="shared" si="181"/>
        <v>20.97963394566284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-1.7053025658242404E-13</v>
      </c>
      <c r="O174" s="13">
        <f>N174*VLOOKUP('Données projet'!$B$9,Paramètres!$A$1:$I$89,3,0)*VLOOKUP('Données projet'!$B$9,Paramètres!$A$1:$I$89,5,0)</f>
        <v>-1.5429577615577727E-13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453.52760163325451</v>
      </c>
      <c r="T174" s="59">
        <f t="shared" si="142"/>
        <v>344.23959526427001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66.470375420418208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66.470375420418208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-1.1368683772161603E-13</v>
      </c>
      <c r="AJ174" s="13">
        <f>AI174*VLOOKUP('Données projet'!$B$10,Paramètres!$A$1:$I$89,3,0)*VLOOKUP('Données projet'!$B$10,Paramètres!$A$1:$I$89,5,0)</f>
        <v>-9.7543306765146564E-14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397.45670821030774</v>
      </c>
      <c r="AO174" s="59">
        <f t="shared" si="144"/>
        <v>256.77417912163997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50.665961738571532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50.665961738571532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293.20194140252903</v>
      </c>
      <c r="BJ174" s="59">
        <f t="shared" si="146"/>
        <v>280.69048279989266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13.117472895102559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13.117472895102559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-1.1368683772161603E-13</v>
      </c>
      <c r="BZ174" s="13">
        <f>BY174*VLOOKUP('Données projet'!$B$12,Paramètres!$A$1:$I$89,3,0)*VLOOKUP('Données projet'!$B$12,Paramètres!$A$1:$I$89,5,0)</f>
        <v>-9.0449248091317723E-14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271.25628946149067</v>
      </c>
      <c r="CE174" s="59">
        <f t="shared" si="148"/>
        <v>292.57799203101769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16.795069757205226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16.795069757205226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5.6843418860808015E-14</v>
      </c>
      <c r="CU174" s="17">
        <f>CT174*VLOOKUP('Données projet'!$B$13,Paramètres!$A$1:$I$89,3,0)*VLOOKUP('Données projet'!$B$13,Paramètres!$A$1:$I$89,5,0)</f>
        <v>3.1036506698001178E-14</v>
      </c>
      <c r="CV174" s="13">
        <f t="shared" si="173"/>
        <v>5.3428243983771088E-13</v>
      </c>
      <c r="CW174" s="20">
        <f t="shared" si="174"/>
        <v>9.8459716521636505E-13</v>
      </c>
      <c r="CX174" s="59">
        <f t="shared" si="122"/>
        <v>293.33333333333428</v>
      </c>
      <c r="CY174" s="59">
        <f ca="1">AVERAGE(OFFSET($CX$3,0,0,'Données projet'!$E$13+1,1))-AVERAGE(OFFSET($H$3,0,0,'Données projet'!$E$13+1,1))</f>
        <v>210.03861149060413</v>
      </c>
      <c r="CZ174" s="59">
        <f t="shared" si="150"/>
        <v>298.74602928001929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10.052613963001292</v>
      </c>
      <c r="DG174" s="21">
        <f>EXP(-LN(2)/25)*DG173+(1-EXP(-LN(2)/25))/(LN(2)/25)*Calculateur!DB174*Calculateur!DD174*VLOOKUP('Données projet'!$B$13,Paramètres!$A$1:$I$89,3,0)*0.475*44/12</f>
        <v>1.9538397896117083</v>
      </c>
      <c r="DH174" s="21">
        <f>EXP(-LN(2)/2)*DH173+(1-EXP(-LN(2)/2))/(LN(2)/2)*DB174*DE174*VLOOKUP('Données projet'!$B$13,Paramètres!$A$1:$I$89,3,0)*0.475*44/12</f>
        <v>2.2145078548481046E-17</v>
      </c>
      <c r="DI174" s="22">
        <f t="shared" si="175"/>
        <v>12.006453752613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-3.4106051316484809E-13</v>
      </c>
      <c r="DP174" s="17">
        <f>DO174*VLOOKUP('Données projet'!$B$14,Paramètres!$A$1:$I$89,3,0)*VLOOKUP('Données projet'!$B$14,Paramètres!$A$1:$I$89,5,0)</f>
        <v>-2.0395418687257919E-13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402.28353929315114</v>
      </c>
      <c r="DU174" s="59">
        <f t="shared" si="152"/>
        <v>376.94419168335463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28.092034996972355</v>
      </c>
      <c r="EB174" s="21">
        <f>EXP(-LN(2)/25)*EB173+(1-EXP(-LN(2)/25))/(LN(2)/25)*Calculateur!DW174*Calculateur!DY174*VLOOKUP('Données projet'!$B$14,Paramètres!$A$1:$I$89,3,0)*0.475*44/12</f>
        <v>2.9644403446985272</v>
      </c>
      <c r="EC174" s="21">
        <f>EXP(-LN(2)/2)*EC173+(1-EXP(-LN(2)/2))/(LN(2)/2)*DW174*DZ174*VLOOKUP('Données projet'!$B$14,Paramètres!$A$1:$I$89,3,0)*0.475*44/12</f>
        <v>2.3016471892961531E-14</v>
      </c>
      <c r="ED174" s="22">
        <f t="shared" si="178"/>
        <v>31.056475341670904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>
        <f>EJ174*VLOOKUP('Données projet'!$B$15,Paramètres!$A$1:$I$89,3,0)*VLOOKUP('Données projet'!$B$15,Paramètres!$A$1:$I$89,5,0)</f>
        <v>0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273.3012268683454</v>
      </c>
      <c r="EP174" s="59">
        <f t="shared" si="154"/>
        <v>254.08208375594052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17.217916555647996</v>
      </c>
      <c r="EW174" s="21">
        <f>EXP(-LN(2)/25)*EW173+(1-EXP(-LN(2)/25))/(LN(2)/25)*Calculateur!ER174*Calculateur!ET174*VLOOKUP('Données projet'!$B$15,Paramètres!$A$1:$I$89,3,0)*0.475*44/12</f>
        <v>3.3238842426006232</v>
      </c>
      <c r="EX174" s="21">
        <f>EXP(-LN(2)/2)*EX173+(1-EXP(-LN(2)/2))/(LN(2)/2)*ER174*EU174*VLOOKUP('Données projet'!$B$15,Paramètres!$A$1:$I$89,3,0)*0.475*44/12</f>
        <v>3.3041837078131739E-14</v>
      </c>
      <c r="EY174" s="22">
        <f t="shared" si="181"/>
        <v>20.541800798248651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-1.7053025658242404E-13</v>
      </c>
      <c r="O175" s="13">
        <f>N175*VLOOKUP('Données projet'!$B$9,Paramètres!$A$1:$I$89,3,0)*VLOOKUP('Données projet'!$B$9,Paramètres!$A$1:$I$89,5,0)</f>
        <v>-1.5429577615577727E-13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453.52760163325451</v>
      </c>
      <c r="T175" s="59">
        <f t="shared" si="142"/>
        <v>344.23959526427001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65.166931901349528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65.166931901349528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-1.1368683772161603E-13</v>
      </c>
      <c r="AJ175" s="13">
        <f>AI175*VLOOKUP('Données projet'!$B$10,Paramètres!$A$1:$I$89,3,0)*VLOOKUP('Données projet'!$B$10,Paramètres!$A$1:$I$89,5,0)</f>
        <v>-9.7543306765146564E-14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397.45670821030774</v>
      </c>
      <c r="AO175" s="59">
        <f t="shared" si="144"/>
        <v>256.77417912163997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49.672433132063368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49.672433132063368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293.20194140252903</v>
      </c>
      <c r="BJ175" s="59">
        <f t="shared" si="146"/>
        <v>280.69048279989266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12.860247252498043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12.860247252498043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-1.1368683772161603E-13</v>
      </c>
      <c r="BZ175" s="13">
        <f>BY175*VLOOKUP('Données projet'!$B$12,Paramètres!$A$1:$I$89,3,0)*VLOOKUP('Données projet'!$B$12,Paramètres!$A$1:$I$89,5,0)</f>
        <v>-9.0449248091317723E-14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271.25628946149067</v>
      </c>
      <c r="CE175" s="59">
        <f t="shared" si="148"/>
        <v>292.57799203101769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16.465728683247473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16.465728683247473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5.6843418860808015E-14</v>
      </c>
      <c r="CU175" s="17">
        <f>CT175*VLOOKUP('Données projet'!$B$13,Paramètres!$A$1:$I$89,3,0)*VLOOKUP('Données projet'!$B$13,Paramètres!$A$1:$I$89,5,0)</f>
        <v>3.1036506698001178E-14</v>
      </c>
      <c r="CV175" s="13">
        <f t="shared" si="173"/>
        <v>5.3428243983771088E-13</v>
      </c>
      <c r="CW175" s="20">
        <f t="shared" si="174"/>
        <v>9.8459716521636505E-13</v>
      </c>
      <c r="CX175" s="59">
        <f t="shared" si="122"/>
        <v>293.33333333333428</v>
      </c>
      <c r="CY175" s="59">
        <f ca="1">AVERAGE(OFFSET($CX$3,0,0,'Données projet'!$E$13+1,1))-AVERAGE(OFFSET($H$3,0,0,'Données projet'!$E$13+1,1))</f>
        <v>210.03861149060413</v>
      </c>
      <c r="CZ175" s="59">
        <f t="shared" si="150"/>
        <v>298.74602928001929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9.8554883346759201</v>
      </c>
      <c r="DG175" s="21">
        <f>EXP(-LN(2)/25)*DG174+(1-EXP(-LN(2)/25))/(LN(2)/25)*Calculateur!DB175*Calculateur!DD175*VLOOKUP('Données projet'!$B$13,Paramètres!$A$1:$I$89,3,0)*0.475*44/12</f>
        <v>1.9004119378168072</v>
      </c>
      <c r="DH175" s="21">
        <f>EXP(-LN(2)/2)*DH174+(1-EXP(-LN(2)/2))/(LN(2)/2)*DB175*DE175*VLOOKUP('Données projet'!$B$13,Paramètres!$A$1:$I$89,3,0)*0.475*44/12</f>
        <v>1.5658935211539694E-17</v>
      </c>
      <c r="DI175" s="22">
        <f t="shared" si="175"/>
        <v>11.755900272492728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-3.4106051316484809E-13</v>
      </c>
      <c r="DP175" s="17">
        <f>DO175*VLOOKUP('Données projet'!$B$14,Paramètres!$A$1:$I$89,3,0)*VLOOKUP('Données projet'!$B$14,Paramètres!$A$1:$I$89,5,0)</f>
        <v>-2.0395418687257919E-13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402.28353929315114</v>
      </c>
      <c r="DU175" s="59">
        <f t="shared" si="152"/>
        <v>376.94419168335463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27.541167325131187</v>
      </c>
      <c r="EB175" s="21">
        <f>EXP(-LN(2)/25)*EB174+(1-EXP(-LN(2)/25))/(LN(2)/25)*Calculateur!DW175*Calculateur!DY175*VLOOKUP('Données projet'!$B$14,Paramètres!$A$1:$I$89,3,0)*0.475*44/12</f>
        <v>2.8833775675796036</v>
      </c>
      <c r="EC175" s="21">
        <f>EXP(-LN(2)/2)*EC174+(1-EXP(-LN(2)/2))/(LN(2)/2)*DW175*DZ175*VLOOKUP('Données projet'!$B$14,Paramètres!$A$1:$I$89,3,0)*0.475*44/12</f>
        <v>1.627510335450267E-14</v>
      </c>
      <c r="ED175" s="22">
        <f t="shared" si="178"/>
        <v>30.424544892710809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>
        <f>EJ175*VLOOKUP('Données projet'!$B$15,Paramètres!$A$1:$I$89,3,0)*VLOOKUP('Données projet'!$B$15,Paramètres!$A$1:$I$89,5,0)</f>
        <v>0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273.3012268683454</v>
      </c>
      <c r="EP175" s="59">
        <f t="shared" si="154"/>
        <v>254.08208375594052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16.880283713883863</v>
      </c>
      <c r="EW175" s="21">
        <f>EXP(-LN(2)/25)*EW174+(1-EXP(-LN(2)/25))/(LN(2)/25)*Calculateur!ER175*Calculateur!ET175*VLOOKUP('Données projet'!$B$15,Paramètres!$A$1:$I$89,3,0)*0.475*44/12</f>
        <v>3.2329924531912337</v>
      </c>
      <c r="EX175" s="21">
        <f>EXP(-LN(2)/2)*EX174+(1-EXP(-LN(2)/2))/(LN(2)/2)*ER175*EU175*VLOOKUP('Données projet'!$B$15,Paramètres!$A$1:$I$89,3,0)*0.475*44/12</f>
        <v>2.3364107060808052E-14</v>
      </c>
      <c r="EY175" s="22">
        <f t="shared" si="181"/>
        <v>20.113276167075121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-1.7053025658242404E-13</v>
      </c>
      <c r="O176" s="13">
        <f>N176*VLOOKUP('Données projet'!$B$9,Paramètres!$A$1:$I$89,3,0)*VLOOKUP('Données projet'!$B$9,Paramètres!$A$1:$I$89,5,0)</f>
        <v>-1.5429577615577727E-13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453.52760163325451</v>
      </c>
      <c r="T176" s="59">
        <f t="shared" si="142"/>
        <v>344.23959526427001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63.889048114667744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63.889048114667744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-1.1368683772161603E-13</v>
      </c>
      <c r="AJ176" s="13">
        <f>AI176*VLOOKUP('Données projet'!$B$10,Paramètres!$A$1:$I$89,3,0)*VLOOKUP('Données projet'!$B$10,Paramètres!$A$1:$I$89,5,0)</f>
        <v>-9.7543306765146564E-14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397.45670821030774</v>
      </c>
      <c r="AO176" s="59">
        <f t="shared" si="144"/>
        <v>256.77417912163997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48.69838701553622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48.69838701553622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293.20194140252903</v>
      </c>
      <c r="BJ176" s="59">
        <f t="shared" si="146"/>
        <v>280.69048279989266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12.608065647852852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12.608065647852852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-1.1368683772161603E-13</v>
      </c>
      <c r="BZ176" s="13">
        <f>BY176*VLOOKUP('Données projet'!$B$12,Paramètres!$A$1:$I$89,3,0)*VLOOKUP('Données projet'!$B$12,Paramètres!$A$1:$I$89,5,0)</f>
        <v>-9.0449248091317723E-14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271.25628946149067</v>
      </c>
      <c r="CE176" s="59">
        <f t="shared" si="148"/>
        <v>292.57799203101769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16.142845786871813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16.142845786871813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5.6843418860808015E-14</v>
      </c>
      <c r="CU176" s="17">
        <f>CT176*VLOOKUP('Données projet'!$B$13,Paramètres!$A$1:$I$89,3,0)*VLOOKUP('Données projet'!$B$13,Paramètres!$A$1:$I$89,5,0)</f>
        <v>3.1036506698001178E-14</v>
      </c>
      <c r="CV176" s="13">
        <f t="shared" si="173"/>
        <v>5.3428243983771088E-13</v>
      </c>
      <c r="CW176" s="20">
        <f t="shared" si="174"/>
        <v>9.8459716521636505E-13</v>
      </c>
      <c r="CX176" s="59">
        <f t="shared" si="122"/>
        <v>293.33333333333428</v>
      </c>
      <c r="CY176" s="59">
        <f ca="1">AVERAGE(OFFSET($CX$3,0,0,'Données projet'!$E$13+1,1))-AVERAGE(OFFSET($H$3,0,0,'Données projet'!$E$13+1,1))</f>
        <v>210.03861149060413</v>
      </c>
      <c r="CZ176" s="59">
        <f t="shared" si="150"/>
        <v>298.74602928001929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9.6622282196872469</v>
      </c>
      <c r="DG176" s="21">
        <f>EXP(-LN(2)/25)*DG175+(1-EXP(-LN(2)/25))/(LN(2)/25)*Calculateur!DB176*Calculateur!DD176*VLOOKUP('Données projet'!$B$13,Paramètres!$A$1:$I$89,3,0)*0.475*44/12</f>
        <v>1.8484450734388862</v>
      </c>
      <c r="DH176" s="21">
        <f>EXP(-LN(2)/2)*DH175+(1-EXP(-LN(2)/2))/(LN(2)/2)*DB176*DE176*VLOOKUP('Données projet'!$B$13,Paramètres!$A$1:$I$89,3,0)*0.475*44/12</f>
        <v>1.1072539274240523E-17</v>
      </c>
      <c r="DI176" s="22">
        <f t="shared" si="175"/>
        <v>11.510673293126134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-3.4106051316484809E-13</v>
      </c>
      <c r="DP176" s="17">
        <f>DO176*VLOOKUP('Données projet'!$B$14,Paramètres!$A$1:$I$89,3,0)*VLOOKUP('Données projet'!$B$14,Paramètres!$A$1:$I$89,5,0)</f>
        <v>-2.0395418687257919E-13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402.28353929315114</v>
      </c>
      <c r="DU176" s="59">
        <f t="shared" si="152"/>
        <v>376.94419168335463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27.001101832338723</v>
      </c>
      <c r="EB176" s="21">
        <f>EXP(-LN(2)/25)*EB175+(1-EXP(-LN(2)/25))/(LN(2)/25)*Calculateur!DW176*Calculateur!DY176*VLOOKUP('Données projet'!$B$14,Paramètres!$A$1:$I$89,3,0)*0.475*44/12</f>
        <v>2.804531456363903</v>
      </c>
      <c r="EC176" s="21">
        <f>EXP(-LN(2)/2)*EC175+(1-EXP(-LN(2)/2))/(LN(2)/2)*DW176*DZ176*VLOOKUP('Données projet'!$B$14,Paramètres!$A$1:$I$89,3,0)*0.475*44/12</f>
        <v>1.1508235946480765E-14</v>
      </c>
      <c r="ED176" s="22">
        <f t="shared" si="178"/>
        <v>29.805633288702637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>
        <f>EJ176*VLOOKUP('Données projet'!$B$15,Paramètres!$A$1:$I$89,3,0)*VLOOKUP('Données projet'!$B$15,Paramètres!$A$1:$I$89,5,0)</f>
        <v>0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273.3012268683454</v>
      </c>
      <c r="EP176" s="59">
        <f t="shared" si="154"/>
        <v>254.08208375594052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16.549271646211025</v>
      </c>
      <c r="EW176" s="21">
        <f>EXP(-LN(2)/25)*EW175+(1-EXP(-LN(2)/25))/(LN(2)/25)*Calculateur!ER176*Calculateur!ET176*VLOOKUP('Données projet'!$B$15,Paramètres!$A$1:$I$89,3,0)*0.475*44/12</f>
        <v>3.1445861045430354</v>
      </c>
      <c r="EX176" s="21">
        <f>EXP(-LN(2)/2)*EX175+(1-EXP(-LN(2)/2))/(LN(2)/2)*ER176*EU176*VLOOKUP('Données projet'!$B$15,Paramètres!$A$1:$I$89,3,0)*0.475*44/12</f>
        <v>1.6520918539065869E-14</v>
      </c>
      <c r="EY176" s="22">
        <f t="shared" si="181"/>
        <v>19.693857750754077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-1.7053025658242404E-13</v>
      </c>
      <c r="O177" s="13">
        <f>N177*VLOOKUP('Données projet'!$B$9,Paramètres!$A$1:$I$89,3,0)*VLOOKUP('Données projet'!$B$9,Paramètres!$A$1:$I$89,5,0)</f>
        <v>-1.5429577615577727E-13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453.52760163325451</v>
      </c>
      <c r="T177" s="59">
        <f t="shared" si="142"/>
        <v>344.23959526427001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62.63622284961064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62.63622284961064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-1.1368683772161603E-13</v>
      </c>
      <c r="AJ177" s="13">
        <f>AI177*VLOOKUP('Données projet'!$B$10,Paramètres!$A$1:$I$89,3,0)*VLOOKUP('Données projet'!$B$10,Paramètres!$A$1:$I$89,5,0)</f>
        <v>-9.7543306765146564E-14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397.45670821030774</v>
      </c>
      <c r="AO177" s="59">
        <f t="shared" si="144"/>
        <v>256.77417912163997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47.743441349244698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47.743441349244698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293.20194140252903</v>
      </c>
      <c r="BJ177" s="59">
        <f t="shared" si="146"/>
        <v>280.69048279989266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12.360829170659162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12.360829170659162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-1.1368683772161603E-13</v>
      </c>
      <c r="BZ177" s="13">
        <f>BY177*VLOOKUP('Données projet'!$B$12,Paramètres!$A$1:$I$89,3,0)*VLOOKUP('Données projet'!$B$12,Paramètres!$A$1:$I$89,5,0)</f>
        <v>-9.0449248091317723E-14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271.25628946149067</v>
      </c>
      <c r="CE177" s="59">
        <f t="shared" si="148"/>
        <v>292.57799203101769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15.826294427154959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15.826294427154959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5.6843418860808015E-14</v>
      </c>
      <c r="CU177" s="17">
        <f>CT177*VLOOKUP('Données projet'!$B$13,Paramètres!$A$1:$I$89,3,0)*VLOOKUP('Données projet'!$B$13,Paramètres!$A$1:$I$89,5,0)</f>
        <v>3.1036506698001178E-14</v>
      </c>
      <c r="CV177" s="13">
        <f t="shared" si="173"/>
        <v>5.3428243983771088E-13</v>
      </c>
      <c r="CW177" s="20">
        <f t="shared" si="174"/>
        <v>9.8459716521636505E-13</v>
      </c>
      <c r="CX177" s="59">
        <f t="shared" si="122"/>
        <v>293.33333333333428</v>
      </c>
      <c r="CY177" s="59">
        <f ca="1">AVERAGE(OFFSET($CX$3,0,0,'Données projet'!$E$13+1,1))-AVERAGE(OFFSET($H$3,0,0,'Données projet'!$E$13+1,1))</f>
        <v>210.03861149060413</v>
      </c>
      <c r="CZ177" s="59">
        <f t="shared" si="150"/>
        <v>298.74602928001929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9.472757817676472</v>
      </c>
      <c r="DG177" s="21">
        <f>EXP(-LN(2)/25)*DG176+(1-EXP(-LN(2)/25))/(LN(2)/25)*Calculateur!DB177*Calculateur!DD177*VLOOKUP('Données projet'!$B$13,Paramètres!$A$1:$I$89,3,0)*0.475*44/12</f>
        <v>1.7978992457001981</v>
      </c>
      <c r="DH177" s="21">
        <f>EXP(-LN(2)/2)*DH176+(1-EXP(-LN(2)/2))/(LN(2)/2)*DB177*DE177*VLOOKUP('Données projet'!$B$13,Paramètres!$A$1:$I$89,3,0)*0.475*44/12</f>
        <v>7.8294676057698472E-18</v>
      </c>
      <c r="DI177" s="22">
        <f t="shared" si="175"/>
        <v>11.270657063376671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-3.4106051316484809E-13</v>
      </c>
      <c r="DP177" s="17">
        <f>DO177*VLOOKUP('Données projet'!$B$14,Paramètres!$A$1:$I$89,3,0)*VLOOKUP('Données projet'!$B$14,Paramètres!$A$1:$I$89,5,0)</f>
        <v>-2.0395418687257919E-13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402.28353929315114</v>
      </c>
      <c r="DU177" s="59">
        <f t="shared" si="152"/>
        <v>376.94419168335463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26.471626694452496</v>
      </c>
      <c r="EB177" s="21">
        <f>EXP(-LN(2)/25)*EB176+(1-EXP(-LN(2)/25))/(LN(2)/25)*Calculateur!DW177*Calculateur!DY177*VLOOKUP('Données projet'!$B$14,Paramètres!$A$1:$I$89,3,0)*0.475*44/12</f>
        <v>2.7278413962057324</v>
      </c>
      <c r="EC177" s="21">
        <f>EXP(-LN(2)/2)*EC176+(1-EXP(-LN(2)/2))/(LN(2)/2)*DW177*DZ177*VLOOKUP('Données projet'!$B$14,Paramètres!$A$1:$I$89,3,0)*0.475*44/12</f>
        <v>8.1375516772513352E-15</v>
      </c>
      <c r="ED177" s="22">
        <f t="shared" si="178"/>
        <v>29.199468090658236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>
        <f>EJ177*VLOOKUP('Données projet'!$B$15,Paramètres!$A$1:$I$89,3,0)*VLOOKUP('Données projet'!$B$15,Paramètres!$A$1:$I$89,5,0)</f>
        <v>0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273.3012268683454</v>
      </c>
      <c r="EP177" s="59">
        <f t="shared" si="154"/>
        <v>254.08208375594052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16.224750523287824</v>
      </c>
      <c r="EW177" s="21">
        <f>EXP(-LN(2)/25)*EW176+(1-EXP(-LN(2)/25))/(LN(2)/25)*Calculateur!ER177*Calculateur!ET177*VLOOKUP('Données projet'!$B$15,Paramètres!$A$1:$I$89,3,0)*0.475*44/12</f>
        <v>3.0585972321477097</v>
      </c>
      <c r="EX177" s="21">
        <f>EXP(-LN(2)/2)*EX176+(1-EXP(-LN(2)/2))/(LN(2)/2)*ER177*EU177*VLOOKUP('Données projet'!$B$15,Paramètres!$A$1:$I$89,3,0)*0.475*44/12</f>
        <v>1.1682053530404026E-14</v>
      </c>
      <c r="EY177" s="22">
        <f t="shared" si="181"/>
        <v>19.283347755435546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-1.7053025658242404E-13</v>
      </c>
      <c r="O178" s="13">
        <f>N178*VLOOKUP('Données projet'!$B$9,Paramètres!$A$1:$I$89,3,0)*VLOOKUP('Données projet'!$B$9,Paramètres!$A$1:$I$89,5,0)</f>
        <v>-1.5429577615577727E-13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453.52760163325451</v>
      </c>
      <c r="T178" s="59">
        <f t="shared" si="142"/>
        <v>344.23959526427001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61.407964723853347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61.407964723853347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-1.1368683772161603E-13</v>
      </c>
      <c r="AJ178" s="13">
        <f>AI178*VLOOKUP('Données projet'!$B$10,Paramètres!$A$1:$I$89,3,0)*VLOOKUP('Données projet'!$B$10,Paramètres!$A$1:$I$89,5,0)</f>
        <v>-9.7543306765146564E-14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397.45670821030774</v>
      </c>
      <c r="AO178" s="59">
        <f t="shared" si="144"/>
        <v>256.77417912163997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46.807221585009806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46.807221585009806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293.20194140252903</v>
      </c>
      <c r="BJ178" s="59">
        <f t="shared" si="146"/>
        <v>280.69048279989266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12.11844084998388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12.11844084998388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-1.1368683772161603E-13</v>
      </c>
      <c r="BZ178" s="13">
        <f>BY178*VLOOKUP('Données projet'!$B$12,Paramètres!$A$1:$I$89,3,0)*VLOOKUP('Données projet'!$B$12,Paramètres!$A$1:$I$89,5,0)</f>
        <v>-9.0449248091317723E-14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271.25628946149067</v>
      </c>
      <c r="CE178" s="59">
        <f t="shared" si="148"/>
        <v>292.57799203101769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15.515950446524888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15.515950446524888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5.6843418860808015E-14</v>
      </c>
      <c r="CU178" s="17">
        <f>CT178*VLOOKUP('Données projet'!$B$13,Paramètres!$A$1:$I$89,3,0)*VLOOKUP('Données projet'!$B$13,Paramètres!$A$1:$I$89,5,0)</f>
        <v>3.1036506698001178E-14</v>
      </c>
      <c r="CV178" s="13">
        <f t="shared" si="173"/>
        <v>5.3428243983771088E-13</v>
      </c>
      <c r="CW178" s="20">
        <f t="shared" si="174"/>
        <v>9.8459716521636505E-13</v>
      </c>
      <c r="CX178" s="59">
        <f t="shared" si="122"/>
        <v>293.33333333333428</v>
      </c>
      <c r="CY178" s="59">
        <f ca="1">AVERAGE(OFFSET($CX$3,0,0,'Données projet'!$E$13+1,1))-AVERAGE(OFFSET($H$3,0,0,'Données projet'!$E$13+1,1))</f>
        <v>210.03861149060413</v>
      </c>
      <c r="CZ178" s="59">
        <f t="shared" si="150"/>
        <v>298.74602928001929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9.2870028146835928</v>
      </c>
      <c r="DG178" s="21">
        <f>EXP(-LN(2)/25)*DG177+(1-EXP(-LN(2)/25))/(LN(2)/25)*Calculateur!DB178*Calculateur!DD178*VLOOKUP('Données projet'!$B$13,Paramètres!$A$1:$I$89,3,0)*0.475*44/12</f>
        <v>1.748735596279114</v>
      </c>
      <c r="DH178" s="21">
        <f>EXP(-LN(2)/2)*DH177+(1-EXP(-LN(2)/2))/(LN(2)/2)*DB178*DE178*VLOOKUP('Données projet'!$B$13,Paramètres!$A$1:$I$89,3,0)*0.475*44/12</f>
        <v>5.5362696371202615E-18</v>
      </c>
      <c r="DI178" s="22">
        <f t="shared" si="175"/>
        <v>11.035738410962708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-3.4106051316484809E-13</v>
      </c>
      <c r="DP178" s="17">
        <f>DO178*VLOOKUP('Données projet'!$B$14,Paramètres!$A$1:$I$89,3,0)*VLOOKUP('Données projet'!$B$14,Paramètres!$A$1:$I$89,5,0)</f>
        <v>-2.0395418687257919E-13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402.28353929315114</v>
      </c>
      <c r="DU178" s="59">
        <f t="shared" si="152"/>
        <v>376.94419168335463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25.952534241072271</v>
      </c>
      <c r="EB178" s="21">
        <f>EXP(-LN(2)/25)*EB177+(1-EXP(-LN(2)/25))/(LN(2)/25)*Calculateur!DW178*Calculateur!DY178*VLOOKUP('Données projet'!$B$14,Paramètres!$A$1:$I$89,3,0)*0.475*44/12</f>
        <v>2.6532484297755423</v>
      </c>
      <c r="EC178" s="21">
        <f>EXP(-LN(2)/2)*EC177+(1-EXP(-LN(2)/2))/(LN(2)/2)*DW178*DZ178*VLOOKUP('Données projet'!$B$14,Paramètres!$A$1:$I$89,3,0)*0.475*44/12</f>
        <v>5.7541179732403827E-15</v>
      </c>
      <c r="ED178" s="22">
        <f t="shared" si="178"/>
        <v>28.60578267084782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>
        <f>EJ178*VLOOKUP('Données projet'!$B$15,Paramètres!$A$1:$I$89,3,0)*VLOOKUP('Données projet'!$B$15,Paramètres!$A$1:$I$89,5,0)</f>
        <v>0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273.3012268683454</v>
      </c>
      <c r="EP178" s="59">
        <f t="shared" si="154"/>
        <v>254.08208375594052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15.906593061646808</v>
      </c>
      <c r="EW178" s="21">
        <f>EXP(-LN(2)/25)*EW177+(1-EXP(-LN(2)/25))/(LN(2)/25)*Calculateur!ER178*Calculateur!ET178*VLOOKUP('Données projet'!$B$15,Paramètres!$A$1:$I$89,3,0)*0.475*44/12</f>
        <v>2.9749597299899926</v>
      </c>
      <c r="EX178" s="21">
        <f>EXP(-LN(2)/2)*EX177+(1-EXP(-LN(2)/2))/(LN(2)/2)*ER178*EU178*VLOOKUP('Données projet'!$B$15,Paramètres!$A$1:$I$89,3,0)*0.475*44/12</f>
        <v>8.2604592695329346E-15</v>
      </c>
      <c r="EY178" s="22">
        <f t="shared" si="181"/>
        <v>18.881552791636807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-1.7053025658242404E-13</v>
      </c>
      <c r="O179" s="13">
        <f>N179*VLOOKUP('Données projet'!$B$9,Paramètres!$A$1:$I$89,3,0)*VLOOKUP('Données projet'!$B$9,Paramètres!$A$1:$I$89,5,0)</f>
        <v>-1.5429577615577727E-13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453.52760163325451</v>
      </c>
      <c r="T179" s="59">
        <f t="shared" si="142"/>
        <v>344.23959526427001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60.203791990778676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60.203791990778676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-1.1368683772161603E-13</v>
      </c>
      <c r="AJ179" s="13">
        <f>AI179*VLOOKUP('Données projet'!$B$10,Paramètres!$A$1:$I$89,3,0)*VLOOKUP('Données projet'!$B$10,Paramètres!$A$1:$I$89,5,0)</f>
        <v>-9.7543306765146564E-14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397.45670821030774</v>
      </c>
      <c r="AO179" s="59">
        <f t="shared" si="144"/>
        <v>256.77417912163997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45.889360519313897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45.889360519313897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293.20194140252903</v>
      </c>
      <c r="BJ179" s="59">
        <f t="shared" si="146"/>
        <v>280.69048279989266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11.880805616434763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11.880805616434763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-1.1368683772161603E-13</v>
      </c>
      <c r="BZ179" s="13">
        <f>BY179*VLOOKUP('Données projet'!$B$12,Paramètres!$A$1:$I$89,3,0)*VLOOKUP('Données projet'!$B$12,Paramètres!$A$1:$I$89,5,0)</f>
        <v>-9.0449248091317723E-14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271.25628946149067</v>
      </c>
      <c r="CE179" s="59">
        <f t="shared" si="148"/>
        <v>292.57799203101769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15.211692122063836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15.211692122063836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5.6843418860808015E-14</v>
      </c>
      <c r="CU179" s="17">
        <f>CT179*VLOOKUP('Données projet'!$B$13,Paramètres!$A$1:$I$89,3,0)*VLOOKUP('Données projet'!$B$13,Paramètres!$A$1:$I$89,5,0)</f>
        <v>3.1036506698001178E-14</v>
      </c>
      <c r="CV179" s="13">
        <f t="shared" si="173"/>
        <v>5.3428243983771088E-13</v>
      </c>
      <c r="CW179" s="20">
        <f t="shared" si="174"/>
        <v>9.8459716521636505E-13</v>
      </c>
      <c r="CX179" s="59">
        <f t="shared" si="122"/>
        <v>293.33333333333428</v>
      </c>
      <c r="CY179" s="59">
        <f ca="1">AVERAGE(OFFSET($CX$3,0,0,'Données projet'!$E$13+1,1))-AVERAGE(OFFSET($H$3,0,0,'Données projet'!$E$13+1,1))</f>
        <v>210.03861149060413</v>
      </c>
      <c r="CZ179" s="59">
        <f t="shared" si="150"/>
        <v>298.74602928001929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9.104890354000041</v>
      </c>
      <c r="DG179" s="21">
        <f>EXP(-LN(2)/25)*DG178+(1-EXP(-LN(2)/25))/(LN(2)/25)*Calculateur!DB179*Calculateur!DD179*VLOOKUP('Données projet'!$B$13,Paramètres!$A$1:$I$89,3,0)*0.475*44/12</f>
        <v>1.7009163294368534</v>
      </c>
      <c r="DH179" s="21">
        <f>EXP(-LN(2)/2)*DH178+(1-EXP(-LN(2)/2))/(LN(2)/2)*DB179*DE179*VLOOKUP('Données projet'!$B$13,Paramètres!$A$1:$I$89,3,0)*0.475*44/12</f>
        <v>3.9147338028849236E-18</v>
      </c>
      <c r="DI179" s="22">
        <f t="shared" si="175"/>
        <v>10.805806683436895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-3.4106051316484809E-13</v>
      </c>
      <c r="DP179" s="17">
        <f>DO179*VLOOKUP('Données projet'!$B$14,Paramètres!$A$1:$I$89,3,0)*VLOOKUP('Données projet'!$B$14,Paramètres!$A$1:$I$89,5,0)</f>
        <v>-2.0395418687257919E-13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402.28353929315114</v>
      </c>
      <c r="DU179" s="59">
        <f t="shared" si="152"/>
        <v>376.94419168335463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25.443620874087699</v>
      </c>
      <c r="EB179" s="21">
        <f>EXP(-LN(2)/25)*EB178+(1-EXP(-LN(2)/25))/(LN(2)/25)*Calculateur!DW179*Calculateur!DY179*VLOOKUP('Données projet'!$B$14,Paramètres!$A$1:$I$89,3,0)*0.475*44/12</f>
        <v>2.5806952119350592</v>
      </c>
      <c r="EC179" s="21">
        <f>EXP(-LN(2)/2)*EC178+(1-EXP(-LN(2)/2))/(LN(2)/2)*DW179*DZ179*VLOOKUP('Données projet'!$B$14,Paramètres!$A$1:$I$89,3,0)*0.475*44/12</f>
        <v>4.0687758386256676E-15</v>
      </c>
      <c r="ED179" s="22">
        <f t="shared" si="178"/>
        <v>28.024316086022761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>
        <f>EJ179*VLOOKUP('Données projet'!$B$15,Paramètres!$A$1:$I$89,3,0)*VLOOKUP('Données projet'!$B$15,Paramètres!$A$1:$I$89,5,0)</f>
        <v>0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273.3012268683454</v>
      </c>
      <c r="EP179" s="59">
        <f t="shared" si="154"/>
        <v>254.08208375594052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15.594674473771683</v>
      </c>
      <c r="EW179" s="21">
        <f>EXP(-LN(2)/25)*EW178+(1-EXP(-LN(2)/25))/(LN(2)/25)*Calculateur!ER179*Calculateur!ET179*VLOOKUP('Données projet'!$B$15,Paramètres!$A$1:$I$89,3,0)*0.475*44/12</f>
        <v>2.8936092997270833</v>
      </c>
      <c r="EX179" s="21">
        <f>EXP(-LN(2)/2)*EX178+(1-EXP(-LN(2)/2))/(LN(2)/2)*ER179*EU179*VLOOKUP('Données projet'!$B$15,Paramètres!$A$1:$I$89,3,0)*0.475*44/12</f>
        <v>5.841026765202013E-15</v>
      </c>
      <c r="EY179" s="22">
        <f t="shared" si="181"/>
        <v>18.488283773498772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-1.7053025658242404E-13</v>
      </c>
      <c r="O180" s="13">
        <f>N180*VLOOKUP('Données projet'!$B$9,Paramètres!$A$1:$I$89,3,0)*VLOOKUP('Données projet'!$B$9,Paramètres!$A$1:$I$89,5,0)</f>
        <v>-1.5429577615577727E-13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453.52760163325451</v>
      </c>
      <c r="T180" s="59">
        <f t="shared" si="142"/>
        <v>344.23959526427001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59.023232350526754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59.023232350526754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-1.1368683772161603E-13</v>
      </c>
      <c r="AJ180" s="13">
        <f>AI180*VLOOKUP('Données projet'!$B$10,Paramètres!$A$1:$I$89,3,0)*VLOOKUP('Données projet'!$B$10,Paramètres!$A$1:$I$89,5,0)</f>
        <v>-9.7543306765146564E-14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397.45670821030774</v>
      </c>
      <c r="AO180" s="59">
        <f t="shared" si="144"/>
        <v>256.77417912163997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44.989498149276308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44.989498149276308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293.20194140252903</v>
      </c>
      <c r="BJ180" s="59">
        <f t="shared" si="146"/>
        <v>280.69048279989266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11.647830264872363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11.647830264872363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-1.1368683772161603E-13</v>
      </c>
      <c r="BZ180" s="13">
        <f>BY180*VLOOKUP('Données projet'!$B$12,Paramètres!$A$1:$I$89,3,0)*VLOOKUP('Données projet'!$B$12,Paramètres!$A$1:$I$89,5,0)</f>
        <v>-9.0449248091317723E-14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271.25628946149067</v>
      </c>
      <c r="CE180" s="59">
        <f t="shared" si="148"/>
        <v>292.57799203101769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14.91340011776621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14.91340011776621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5.6843418860808015E-14</v>
      </c>
      <c r="CU180" s="17">
        <f>CT180*VLOOKUP('Données projet'!$B$13,Paramètres!$A$1:$I$89,3,0)*VLOOKUP('Données projet'!$B$13,Paramètres!$A$1:$I$89,5,0)</f>
        <v>3.1036506698001178E-14</v>
      </c>
      <c r="CV180" s="13">
        <f t="shared" si="173"/>
        <v>5.3428243983771088E-13</v>
      </c>
      <c r="CW180" s="20">
        <f t="shared" si="174"/>
        <v>9.8459716521636505E-13</v>
      </c>
      <c r="CX180" s="59">
        <f t="shared" si="122"/>
        <v>293.33333333333428</v>
      </c>
      <c r="CY180" s="59">
        <f ca="1">AVERAGE(OFFSET($CX$3,0,0,'Données projet'!$E$13+1,1))-AVERAGE(OFFSET($H$3,0,0,'Données projet'!$E$13+1,1))</f>
        <v>210.03861149060413</v>
      </c>
      <c r="CZ180" s="59">
        <f t="shared" si="150"/>
        <v>298.74602928001929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8.9263490075928598</v>
      </c>
      <c r="DG180" s="21">
        <f>EXP(-LN(2)/25)*DG179+(1-EXP(-LN(2)/25))/(LN(2)/25)*Calculateur!DB180*Calculateur!DD180*VLOOKUP('Données projet'!$B$13,Paramètres!$A$1:$I$89,3,0)*0.475*44/12</f>
        <v>1.6544046829611003</v>
      </c>
      <c r="DH180" s="21">
        <f>EXP(-LN(2)/2)*DH179+(1-EXP(-LN(2)/2))/(LN(2)/2)*DB180*DE180*VLOOKUP('Données projet'!$B$13,Paramètres!$A$1:$I$89,3,0)*0.475*44/12</f>
        <v>2.7681348185601308E-18</v>
      </c>
      <c r="DI180" s="22">
        <f t="shared" si="175"/>
        <v>10.58075369055396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-3.4106051316484809E-13</v>
      </c>
      <c r="DP180" s="17">
        <f>DO180*VLOOKUP('Données projet'!$B$14,Paramètres!$A$1:$I$89,3,0)*VLOOKUP('Données projet'!$B$14,Paramètres!$A$1:$I$89,5,0)</f>
        <v>-2.0395418687257919E-13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402.28353929315114</v>
      </c>
      <c r="DU180" s="59">
        <f t="shared" si="152"/>
        <v>376.94419168335463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24.944686987823189</v>
      </c>
      <c r="EB180" s="21">
        <f>EXP(-LN(2)/25)*EB179+(1-EXP(-LN(2)/25))/(LN(2)/25)*Calculateur!DW180*Calculateur!DY180*VLOOKUP('Données projet'!$B$14,Paramètres!$A$1:$I$89,3,0)*0.475*44/12</f>
        <v>2.5101259656518322</v>
      </c>
      <c r="EC180" s="21">
        <f>EXP(-LN(2)/2)*EC179+(1-EXP(-LN(2)/2))/(LN(2)/2)*DW180*DZ180*VLOOKUP('Données projet'!$B$14,Paramètres!$A$1:$I$89,3,0)*0.475*44/12</f>
        <v>2.8770589866201914E-15</v>
      </c>
      <c r="ED180" s="22">
        <f t="shared" si="178"/>
        <v>27.454812953475024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>
        <f>EJ180*VLOOKUP('Données projet'!$B$15,Paramètres!$A$1:$I$89,3,0)*VLOOKUP('Données projet'!$B$15,Paramètres!$A$1:$I$89,5,0)</f>
        <v>0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273.3012268683454</v>
      </c>
      <c r="EP180" s="59">
        <f t="shared" si="154"/>
        <v>254.08208375594052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15.288872419153236</v>
      </c>
      <c r="EW180" s="21">
        <f>EXP(-LN(2)/25)*EW179+(1-EXP(-LN(2)/25))/(LN(2)/25)*Calculateur!ER180*Calculateur!ET180*VLOOKUP('Données projet'!$B$15,Paramètres!$A$1:$I$89,3,0)*0.475*44/12</f>
        <v>2.8144834012577467</v>
      </c>
      <c r="EX180" s="21">
        <f>EXP(-LN(2)/2)*EX179+(1-EXP(-LN(2)/2))/(LN(2)/2)*ER180*EU180*VLOOKUP('Données projet'!$B$15,Paramètres!$A$1:$I$89,3,0)*0.475*44/12</f>
        <v>4.1302296347664673E-15</v>
      </c>
      <c r="EY180" s="22">
        <f t="shared" si="181"/>
        <v>18.103355820410986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-1.7053025658242404E-13</v>
      </c>
      <c r="O181" s="13">
        <f>N181*VLOOKUP('Données projet'!$B$9,Paramètres!$A$1:$I$89,3,0)*VLOOKUP('Données projet'!$B$9,Paramètres!$A$1:$I$89,5,0)</f>
        <v>-1.5429577615577727E-13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453.52760163325451</v>
      </c>
      <c r="T181" s="59">
        <f t="shared" si="142"/>
        <v>344.23959526427001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57.865822764749893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57.865822764749893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-1.1368683772161603E-13</v>
      </c>
      <c r="AJ181" s="13">
        <f>AI181*VLOOKUP('Données projet'!$B$10,Paramètres!$A$1:$I$89,3,0)*VLOOKUP('Données projet'!$B$10,Paramètres!$A$1:$I$89,5,0)</f>
        <v>-9.7543306765146564E-14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397.45670821030774</v>
      </c>
      <c r="AO181" s="59">
        <f t="shared" si="144"/>
        <v>256.77417912163997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44.10728153145331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44.10728153145331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293.20194140252903</v>
      </c>
      <c r="BJ181" s="59">
        <f t="shared" si="146"/>
        <v>280.69048279989266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11.419423417853169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11.419423417853169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-1.1368683772161603E-13</v>
      </c>
      <c r="BZ181" s="13">
        <f>BY181*VLOOKUP('Données projet'!$B$12,Paramètres!$A$1:$I$89,3,0)*VLOOKUP('Données projet'!$B$12,Paramètres!$A$1:$I$89,5,0)</f>
        <v>-9.0449248091317723E-14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271.25628946149067</v>
      </c>
      <c r="CE181" s="59">
        <f t="shared" si="148"/>
        <v>292.57799203101769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14.620957437732704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14.620957437732704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5.6843418860808015E-14</v>
      </c>
      <c r="CU181" s="17">
        <f>CT181*VLOOKUP('Données projet'!$B$13,Paramètres!$A$1:$I$89,3,0)*VLOOKUP('Données projet'!$B$13,Paramètres!$A$1:$I$89,5,0)</f>
        <v>3.1036506698001178E-14</v>
      </c>
      <c r="CV181" s="13">
        <f t="shared" si="173"/>
        <v>5.3428243983771088E-13</v>
      </c>
      <c r="CW181" s="20">
        <f t="shared" si="174"/>
        <v>9.8459716521636505E-13</v>
      </c>
      <c r="CX181" s="59">
        <f t="shared" si="122"/>
        <v>293.33333333333428</v>
      </c>
      <c r="CY181" s="59">
        <f ca="1">AVERAGE(OFFSET($CX$3,0,0,'Données projet'!$E$13+1,1))-AVERAGE(OFFSET($H$3,0,0,'Données projet'!$E$13+1,1))</f>
        <v>210.03861149060413</v>
      </c>
      <c r="CZ181" s="59">
        <f t="shared" si="150"/>
        <v>298.74602928001929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8.7513087480892544</v>
      </c>
      <c r="DG181" s="21">
        <f>EXP(-LN(2)/25)*DG180+(1-EXP(-LN(2)/25))/(LN(2)/25)*Calculateur!DB181*Calculateur!DD181*VLOOKUP('Données projet'!$B$13,Paramètres!$A$1:$I$89,3,0)*0.475*44/12</f>
        <v>1.6091648999041679</v>
      </c>
      <c r="DH181" s="21">
        <f>EXP(-LN(2)/2)*DH180+(1-EXP(-LN(2)/2))/(LN(2)/2)*DB181*DE181*VLOOKUP('Données projet'!$B$13,Paramètres!$A$1:$I$89,3,0)*0.475*44/12</f>
        <v>1.9573669014424618E-18</v>
      </c>
      <c r="DI181" s="22">
        <f t="shared" si="175"/>
        <v>10.360473647993423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-3.4106051316484809E-13</v>
      </c>
      <c r="DP181" s="17">
        <f>DO181*VLOOKUP('Données projet'!$B$14,Paramètres!$A$1:$I$89,3,0)*VLOOKUP('Données projet'!$B$14,Paramètres!$A$1:$I$89,5,0)</f>
        <v>-2.0395418687257919E-13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402.28353929315114</v>
      </c>
      <c r="DU181" s="59">
        <f t="shared" si="152"/>
        <v>376.94419168335463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24.455536890748707</v>
      </c>
      <c r="EB181" s="21">
        <f>EXP(-LN(2)/25)*EB180+(1-EXP(-LN(2)/25))/(LN(2)/25)*Calculateur!DW181*Calculateur!DY181*VLOOKUP('Données projet'!$B$14,Paramètres!$A$1:$I$89,3,0)*0.475*44/12</f>
        <v>2.4414864391192954</v>
      </c>
      <c r="EC181" s="21">
        <f>EXP(-LN(2)/2)*EC180+(1-EXP(-LN(2)/2))/(LN(2)/2)*DW181*DZ181*VLOOKUP('Données projet'!$B$14,Paramètres!$A$1:$I$89,3,0)*0.475*44/12</f>
        <v>2.0343879193128338E-15</v>
      </c>
      <c r="ED181" s="22">
        <f t="shared" si="178"/>
        <v>26.897023329868006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>
        <f>EJ181*VLOOKUP('Données projet'!$B$15,Paramètres!$A$1:$I$89,3,0)*VLOOKUP('Données projet'!$B$15,Paramètres!$A$1:$I$89,5,0)</f>
        <v>0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273.3012268683454</v>
      </c>
      <c r="EP181" s="59">
        <f t="shared" si="154"/>
        <v>254.08208375594052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14.98906695630502</v>
      </c>
      <c r="EW181" s="21">
        <f>EXP(-LN(2)/25)*EW180+(1-EXP(-LN(2)/25))/(LN(2)/25)*Calculateur!ER181*Calculateur!ET181*VLOOKUP('Données projet'!$B$15,Paramètres!$A$1:$I$89,3,0)*0.475*44/12</f>
        <v>2.7375212046431039</v>
      </c>
      <c r="EX181" s="21">
        <f>EXP(-LN(2)/2)*EX180+(1-EXP(-LN(2)/2))/(LN(2)/2)*ER181*EU181*VLOOKUP('Données projet'!$B$15,Paramètres!$A$1:$I$89,3,0)*0.475*44/12</f>
        <v>2.9205133826010065E-15</v>
      </c>
      <c r="EY181" s="22">
        <f t="shared" si="181"/>
        <v>17.726588160948129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-1.7053025658242404E-13</v>
      </c>
      <c r="O182" s="13">
        <f>N182*VLOOKUP('Données projet'!$B$9,Paramètres!$A$1:$I$89,3,0)*VLOOKUP('Données projet'!$B$9,Paramètres!$A$1:$I$89,5,0)</f>
        <v>-1.5429577615577727E-13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453.52760163325451</v>
      </c>
      <c r="T182" s="59">
        <f t="shared" si="142"/>
        <v>344.23959526427001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56.731109274999973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56.731109274999973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-1.1368683772161603E-13</v>
      </c>
      <c r="AJ182" s="13">
        <f>AI182*VLOOKUP('Données projet'!$B$10,Paramètres!$A$1:$I$89,3,0)*VLOOKUP('Données projet'!$B$10,Paramètres!$A$1:$I$89,5,0)</f>
        <v>-9.7543306765146564E-14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397.45670821030774</v>
      </c>
      <c r="AO182" s="59">
        <f t="shared" si="144"/>
        <v>256.77417912163997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43.242364643406816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43.242364643406816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293.20194140252903</v>
      </c>
      <c r="BJ182" s="59">
        <f t="shared" si="146"/>
        <v>280.69048279989266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11.1954954897896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11.1954954897896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-1.1368683772161603E-13</v>
      </c>
      <c r="BZ182" s="13">
        <f>BY182*VLOOKUP('Données projet'!$B$12,Paramètres!$A$1:$I$89,3,0)*VLOOKUP('Données projet'!$B$12,Paramètres!$A$1:$I$89,5,0)</f>
        <v>-9.0449248091317723E-14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271.25628946149067</v>
      </c>
      <c r="CE182" s="59">
        <f t="shared" si="148"/>
        <v>292.57799203101769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14.334249380282232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14.334249380282232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5.6843418860808015E-14</v>
      </c>
      <c r="CU182" s="17">
        <f>CT182*VLOOKUP('Données projet'!$B$13,Paramètres!$A$1:$I$89,3,0)*VLOOKUP('Données projet'!$B$13,Paramètres!$A$1:$I$89,5,0)</f>
        <v>3.1036506698001178E-14</v>
      </c>
      <c r="CV182" s="13">
        <f t="shared" si="173"/>
        <v>5.3428243983771088E-13</v>
      </c>
      <c r="CW182" s="20">
        <f t="shared" si="174"/>
        <v>9.8459716521636505E-13</v>
      </c>
      <c r="CX182" s="59">
        <f t="shared" si="122"/>
        <v>293.33333333333428</v>
      </c>
      <c r="CY182" s="59">
        <f ca="1">AVERAGE(OFFSET($CX$3,0,0,'Données projet'!$E$13+1,1))-AVERAGE(OFFSET($H$3,0,0,'Données projet'!$E$13+1,1))</f>
        <v>210.03861149060413</v>
      </c>
      <c r="CZ182" s="59">
        <f t="shared" si="150"/>
        <v>298.74602928001929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8.5797009213104989</v>
      </c>
      <c r="DG182" s="21">
        <f>EXP(-LN(2)/25)*DG181+(1-EXP(-LN(2)/25))/(LN(2)/25)*Calculateur!DB182*Calculateur!DD182*VLOOKUP('Données projet'!$B$13,Paramètres!$A$1:$I$89,3,0)*0.475*44/12</f>
        <v>1.5651622010939841</v>
      </c>
      <c r="DH182" s="21">
        <f>EXP(-LN(2)/2)*DH181+(1-EXP(-LN(2)/2))/(LN(2)/2)*DB182*DE182*VLOOKUP('Données projet'!$B$13,Paramètres!$A$1:$I$89,3,0)*0.475*44/12</f>
        <v>1.3840674092800654E-18</v>
      </c>
      <c r="DI182" s="22">
        <f t="shared" si="175"/>
        <v>10.144863122404484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-3.4106051316484809E-13</v>
      </c>
      <c r="DP182" s="17">
        <f>DO182*VLOOKUP('Données projet'!$B$14,Paramètres!$A$1:$I$89,3,0)*VLOOKUP('Données projet'!$B$14,Paramètres!$A$1:$I$89,5,0)</f>
        <v>-2.0395418687257919E-13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402.28353929315114</v>
      </c>
      <c r="DU182" s="59">
        <f t="shared" si="152"/>
        <v>376.94419168335463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23.975978728725757</v>
      </c>
      <c r="EB182" s="21">
        <f>EXP(-LN(2)/25)*EB181+(1-EXP(-LN(2)/25))/(LN(2)/25)*Calculateur!DW182*Calculateur!DY182*VLOOKUP('Données projet'!$B$14,Paramètres!$A$1:$I$89,3,0)*0.475*44/12</f>
        <v>2.3747238640493866</v>
      </c>
      <c r="EC182" s="21">
        <f>EXP(-LN(2)/2)*EC181+(1-EXP(-LN(2)/2))/(LN(2)/2)*DW182*DZ182*VLOOKUP('Données projet'!$B$14,Paramètres!$A$1:$I$89,3,0)*0.475*44/12</f>
        <v>1.4385294933100957E-15</v>
      </c>
      <c r="ED182" s="22">
        <f t="shared" si="178"/>
        <v>26.350702592775143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>
        <f>EJ182*VLOOKUP('Données projet'!$B$15,Paramètres!$A$1:$I$89,3,0)*VLOOKUP('Données projet'!$B$15,Paramètres!$A$1:$I$89,5,0)</f>
        <v>0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273.3012268683454</v>
      </c>
      <c r="EP182" s="59">
        <f t="shared" si="154"/>
        <v>254.08208375594052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14.695140495719983</v>
      </c>
      <c r="EW182" s="21">
        <f>EXP(-LN(2)/25)*EW181+(1-EXP(-LN(2)/25))/(LN(2)/25)*Calculateur!ER182*Calculateur!ET182*VLOOKUP('Données projet'!$B$15,Paramètres!$A$1:$I$89,3,0)*0.475*44/12</f>
        <v>2.6626635433421546</v>
      </c>
      <c r="EX182" s="21">
        <f>EXP(-LN(2)/2)*EX181+(1-EXP(-LN(2)/2))/(LN(2)/2)*ER182*EU182*VLOOKUP('Données projet'!$B$15,Paramètres!$A$1:$I$89,3,0)*0.475*44/12</f>
        <v>2.0651148173832337E-15</v>
      </c>
      <c r="EY182" s="22">
        <f t="shared" si="181"/>
        <v>17.357804039062142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-1.7053025658242404E-13</v>
      </c>
      <c r="O183" s="13">
        <f>N183*VLOOKUP('Données projet'!$B$9,Paramètres!$A$1:$I$89,3,0)*VLOOKUP('Données projet'!$B$9,Paramètres!$A$1:$I$89,5,0)</f>
        <v>-1.5429577615577727E-13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453.52760163325451</v>
      </c>
      <c r="T183" s="59">
        <f t="shared" si="142"/>
        <v>344.23959526427001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55.618646824677164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55.618646824677164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-1.1368683772161603E-13</v>
      </c>
      <c r="AJ183" s="13">
        <f>AI183*VLOOKUP('Données projet'!$B$10,Paramètres!$A$1:$I$89,3,0)*VLOOKUP('Données projet'!$B$10,Paramètres!$A$1:$I$89,5,0)</f>
        <v>-9.7543306765146564E-14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397.45670821030774</v>
      </c>
      <c r="AO183" s="59">
        <f t="shared" si="144"/>
        <v>256.77417912163997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42.394408247987705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42.394408247987705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293.20194140252903</v>
      </c>
      <c r="BJ183" s="59">
        <f t="shared" si="146"/>
        <v>280.69048279989266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10.975958651812808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10.975958651812808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-1.1368683772161603E-13</v>
      </c>
      <c r="BZ183" s="13">
        <f>BY183*VLOOKUP('Données projet'!$B$12,Paramètres!$A$1:$I$89,3,0)*VLOOKUP('Données projet'!$B$12,Paramètres!$A$1:$I$89,5,0)</f>
        <v>-9.0449248091317723E-14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271.25628946149067</v>
      </c>
      <c r="CE183" s="59">
        <f t="shared" si="148"/>
        <v>292.57799203101769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14.053163492963717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14.053163492963717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5.6843418860808015E-14</v>
      </c>
      <c r="CU183" s="17">
        <f>CT183*VLOOKUP('Données projet'!$B$13,Paramètres!$A$1:$I$89,3,0)*VLOOKUP('Données projet'!$B$13,Paramètres!$A$1:$I$89,5,0)</f>
        <v>3.1036506698001178E-14</v>
      </c>
      <c r="CV183" s="13">
        <f t="shared" si="173"/>
        <v>5.3428243983771088E-13</v>
      </c>
      <c r="CW183" s="20">
        <f t="shared" si="174"/>
        <v>9.8459716521636505E-13</v>
      </c>
      <c r="CX183" s="59">
        <f t="shared" si="122"/>
        <v>293.33333333333428</v>
      </c>
      <c r="CY183" s="59">
        <f ca="1">AVERAGE(OFFSET($CX$3,0,0,'Données projet'!$E$13+1,1))-AVERAGE(OFFSET($H$3,0,0,'Données projet'!$E$13+1,1))</f>
        <v>210.03861149060413</v>
      </c>
      <c r="CZ183" s="59">
        <f t="shared" si="150"/>
        <v>298.74602928001929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8.4114582193444356</v>
      </c>
      <c r="DG183" s="21">
        <f>EXP(-LN(2)/25)*DG182+(1-EXP(-LN(2)/25))/(LN(2)/25)*Calculateur!DB183*Calculateur!DD183*VLOOKUP('Données projet'!$B$13,Paramètres!$A$1:$I$89,3,0)*0.475*44/12</f>
        <v>1.522362758396766</v>
      </c>
      <c r="DH183" s="21">
        <f>EXP(-LN(2)/2)*DH182+(1-EXP(-LN(2)/2))/(LN(2)/2)*DB183*DE183*VLOOKUP('Données projet'!$B$13,Paramètres!$A$1:$I$89,3,0)*0.475*44/12</f>
        <v>9.786834507212309E-19</v>
      </c>
      <c r="DI183" s="22">
        <f t="shared" si="175"/>
        <v>9.9338209777412025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-3.4106051316484809E-13</v>
      </c>
      <c r="DP183" s="17">
        <f>DO183*VLOOKUP('Données projet'!$B$14,Paramètres!$A$1:$I$89,3,0)*VLOOKUP('Données projet'!$B$14,Paramètres!$A$1:$I$89,5,0)</f>
        <v>-2.0395418687257919E-13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402.28353929315114</v>
      </c>
      <c r="DU183" s="59">
        <f t="shared" si="152"/>
        <v>376.94419168335463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23.505824409758478</v>
      </c>
      <c r="EB183" s="21">
        <f>EXP(-LN(2)/25)*EB182+(1-EXP(-LN(2)/25))/(LN(2)/25)*Calculateur!DW183*Calculateur!DY183*VLOOKUP('Données projet'!$B$14,Paramètres!$A$1:$I$89,3,0)*0.475*44/12</f>
        <v>2.3097869151056556</v>
      </c>
      <c r="EC183" s="21">
        <f>EXP(-LN(2)/2)*EC182+(1-EXP(-LN(2)/2))/(LN(2)/2)*DW183*DZ183*VLOOKUP('Données projet'!$B$14,Paramètres!$A$1:$I$89,3,0)*0.475*44/12</f>
        <v>1.0171939596564169E-15</v>
      </c>
      <c r="ED183" s="22">
        <f t="shared" si="178"/>
        <v>25.815611324864133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>
        <f>EJ183*VLOOKUP('Données projet'!$B$15,Paramètres!$A$1:$I$89,3,0)*VLOOKUP('Données projet'!$B$15,Paramètres!$A$1:$I$89,5,0)</f>
        <v>0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273.3012268683454</v>
      </c>
      <c r="EP183" s="59">
        <f t="shared" si="154"/>
        <v>254.08208375594052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14.406977753749578</v>
      </c>
      <c r="EW183" s="21">
        <f>EXP(-LN(2)/25)*EW182+(1-EXP(-LN(2)/25))/(LN(2)/25)*Calculateur!ER183*Calculateur!ET183*VLOOKUP('Données projet'!$B$15,Paramètres!$A$1:$I$89,3,0)*0.475*44/12</f>
        <v>2.5898528687260733</v>
      </c>
      <c r="EX183" s="21">
        <f>EXP(-LN(2)/2)*EX182+(1-EXP(-LN(2)/2))/(LN(2)/2)*ER183*EU183*VLOOKUP('Données projet'!$B$15,Paramètres!$A$1:$I$89,3,0)*0.475*44/12</f>
        <v>1.4602566913005033E-15</v>
      </c>
      <c r="EY183" s="22">
        <f t="shared" si="181"/>
        <v>16.996830622475652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-1.7053025658242404E-13</v>
      </c>
      <c r="O184" s="13">
        <f>N184*VLOOKUP('Données projet'!$B$9,Paramètres!$A$1:$I$89,3,0)*VLOOKUP('Données projet'!$B$9,Paramètres!$A$1:$I$89,5,0)</f>
        <v>-1.5429577615577727E-13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453.52760163325451</v>
      </c>
      <c r="T184" s="59">
        <f t="shared" si="142"/>
        <v>344.23959526427001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54.527999084470089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54.527999084470089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-1.1368683772161603E-13</v>
      </c>
      <c r="AJ184" s="13">
        <f>AI184*VLOOKUP('Données projet'!$B$10,Paramètres!$A$1:$I$89,3,0)*VLOOKUP('Données projet'!$B$10,Paramètres!$A$1:$I$89,5,0)</f>
        <v>-9.7543306765146564E-14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397.45670821030774</v>
      </c>
      <c r="AO184" s="59">
        <f t="shared" si="144"/>
        <v>256.77417912163997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41.563079760280431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41.563079760280431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293.20194140252903</v>
      </c>
      <c r="BJ184" s="59">
        <f t="shared" si="146"/>
        <v>280.69048279989266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10.760726797324493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10.760726797324493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-1.1368683772161603E-13</v>
      </c>
      <c r="BZ184" s="13">
        <f>BY184*VLOOKUP('Données projet'!$B$12,Paramètres!$A$1:$I$89,3,0)*VLOOKUP('Données projet'!$B$12,Paramètres!$A$1:$I$89,5,0)</f>
        <v>-9.0449248091317723E-14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271.25628946149067</v>
      </c>
      <c r="CE184" s="59">
        <f t="shared" si="148"/>
        <v>292.57799203101769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13.777589528450056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13.777589528450056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5.6843418860808015E-14</v>
      </c>
      <c r="CU184" s="17">
        <f>CT184*VLOOKUP('Données projet'!$B$13,Paramètres!$A$1:$I$89,3,0)*VLOOKUP('Données projet'!$B$13,Paramètres!$A$1:$I$89,5,0)</f>
        <v>3.1036506698001178E-14</v>
      </c>
      <c r="CV184" s="13">
        <f t="shared" si="173"/>
        <v>5.3428243983771088E-13</v>
      </c>
      <c r="CW184" s="20">
        <f t="shared" si="174"/>
        <v>9.8459716521636505E-13</v>
      </c>
      <c r="CX184" s="59">
        <f t="shared" si="122"/>
        <v>293.33333333333428</v>
      </c>
      <c r="CY184" s="59">
        <f ca="1">AVERAGE(OFFSET($CX$3,0,0,'Données projet'!$E$13+1,1))-AVERAGE(OFFSET($H$3,0,0,'Données projet'!$E$13+1,1))</f>
        <v>210.03861149060413</v>
      </c>
      <c r="CZ184" s="59">
        <f t="shared" si="150"/>
        <v>298.74602928001929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8.2465146541460115</v>
      </c>
      <c r="DG184" s="21">
        <f>EXP(-LN(2)/25)*DG183+(1-EXP(-LN(2)/25))/(LN(2)/25)*Calculateur!DB184*Calculateur!DD184*VLOOKUP('Données projet'!$B$13,Paramètres!$A$1:$I$89,3,0)*0.475*44/12</f>
        <v>1.4807336687108283</v>
      </c>
      <c r="DH184" s="21">
        <f>EXP(-LN(2)/2)*DH183+(1-EXP(-LN(2)/2))/(LN(2)/2)*DB184*DE184*VLOOKUP('Données projet'!$B$13,Paramètres!$A$1:$I$89,3,0)*0.475*44/12</f>
        <v>6.9203370464003269E-19</v>
      </c>
      <c r="DI184" s="22">
        <f t="shared" si="175"/>
        <v>9.7272483228568394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-3.4106051316484809E-13</v>
      </c>
      <c r="DP184" s="17">
        <f>DO184*VLOOKUP('Données projet'!$B$14,Paramètres!$A$1:$I$89,3,0)*VLOOKUP('Données projet'!$B$14,Paramètres!$A$1:$I$89,5,0)</f>
        <v>-2.0395418687257919E-13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402.28353929315114</v>
      </c>
      <c r="DU184" s="59">
        <f t="shared" si="152"/>
        <v>376.94419168335463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23.044889530220331</v>
      </c>
      <c r="EB184" s="21">
        <f>EXP(-LN(2)/25)*EB183+(1-EXP(-LN(2)/25))/(LN(2)/25)*Calculateur!DW184*Calculateur!DY184*VLOOKUP('Données projet'!$B$14,Paramètres!$A$1:$I$89,3,0)*0.475*44/12</f>
        <v>2.2466256704456766</v>
      </c>
      <c r="EC184" s="21">
        <f>EXP(-LN(2)/2)*EC183+(1-EXP(-LN(2)/2))/(LN(2)/2)*DW184*DZ184*VLOOKUP('Données projet'!$B$14,Paramètres!$A$1:$I$89,3,0)*0.475*44/12</f>
        <v>7.1926474665504784E-16</v>
      </c>
      <c r="ED184" s="22">
        <f t="shared" si="178"/>
        <v>25.291515200666009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>
        <f>EJ184*VLOOKUP('Données projet'!$B$15,Paramètres!$A$1:$I$89,3,0)*VLOOKUP('Données projet'!$B$15,Paramètres!$A$1:$I$89,5,0)</f>
        <v>0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273.3012268683454</v>
      </c>
      <c r="EP184" s="59">
        <f t="shared" si="154"/>
        <v>254.08208375594052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14.124465707387296</v>
      </c>
      <c r="EW184" s="21">
        <f>EXP(-LN(2)/25)*EW183+(1-EXP(-LN(2)/25))/(LN(2)/25)*Calculateur!ER184*Calculateur!ET184*VLOOKUP('Données projet'!$B$15,Paramètres!$A$1:$I$89,3,0)*0.475*44/12</f>
        <v>2.5190332058363158</v>
      </c>
      <c r="EX184" s="21">
        <f>EXP(-LN(2)/2)*EX183+(1-EXP(-LN(2)/2))/(LN(2)/2)*ER184*EU184*VLOOKUP('Données projet'!$B$15,Paramètres!$A$1:$I$89,3,0)*0.475*44/12</f>
        <v>1.0325574086916168E-15</v>
      </c>
      <c r="EY184" s="22">
        <f t="shared" si="181"/>
        <v>16.643498913223613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-1.7053025658242404E-13</v>
      </c>
      <c r="O185" s="13">
        <f>N185*VLOOKUP('Données projet'!$B$9,Paramètres!$A$1:$I$89,3,0)*VLOOKUP('Données projet'!$B$9,Paramètres!$A$1:$I$89,5,0)</f>
        <v>-1.5429577615577727E-13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453.52760163325451</v>
      </c>
      <c r="T185" s="59">
        <f t="shared" si="142"/>
        <v>344.23959526427001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53.458738281219041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53.458738281219041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-1.1368683772161603E-13</v>
      </c>
      <c r="AJ185" s="13">
        <f>AI185*VLOOKUP('Données projet'!$B$10,Paramètres!$A$1:$I$89,3,0)*VLOOKUP('Données projet'!$B$10,Paramètres!$A$1:$I$89,5,0)</f>
        <v>-9.7543306765146564E-14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397.45670821030774</v>
      </c>
      <c r="AO185" s="59">
        <f t="shared" si="144"/>
        <v>256.77417912163997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40.748053117156786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40.748053117156786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293.20194140252903</v>
      </c>
      <c r="BJ185" s="59">
        <f t="shared" si="146"/>
        <v>280.69048279989266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10.549715508224224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10.549715508224224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-1.1368683772161603E-13</v>
      </c>
      <c r="BZ185" s="13">
        <f>BY185*VLOOKUP('Données projet'!$B$12,Paramètres!$A$1:$I$89,3,0)*VLOOKUP('Données projet'!$B$12,Paramètres!$A$1:$I$89,5,0)</f>
        <v>-9.0449248091317723E-14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271.25628946149067</v>
      </c>
      <c r="CE185" s="59">
        <f t="shared" si="148"/>
        <v>292.57799203101769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13.507419401296985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13.507419401296985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5.6843418860808015E-14</v>
      </c>
      <c r="CU185" s="17">
        <f>CT185*VLOOKUP('Données projet'!$B$13,Paramètres!$A$1:$I$89,3,0)*VLOOKUP('Données projet'!$B$13,Paramètres!$A$1:$I$89,5,0)</f>
        <v>3.1036506698001178E-14</v>
      </c>
      <c r="CV185" s="13">
        <f t="shared" si="173"/>
        <v>5.3428243983771088E-13</v>
      </c>
      <c r="CW185" s="20">
        <f t="shared" si="174"/>
        <v>9.8459716521636505E-13</v>
      </c>
      <c r="CX185" s="59">
        <f t="shared" si="122"/>
        <v>293.33333333333428</v>
      </c>
      <c r="CY185" s="59">
        <f ca="1">AVERAGE(OFFSET($CX$3,0,0,'Données projet'!$E$13+1,1))-AVERAGE(OFFSET($H$3,0,0,'Données projet'!$E$13+1,1))</f>
        <v>210.03861149060413</v>
      </c>
      <c r="CZ185" s="59">
        <f t="shared" si="150"/>
        <v>298.74602928001929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8.0848055316554888</v>
      </c>
      <c r="DG185" s="21">
        <f>EXP(-LN(2)/25)*DG184+(1-EXP(-LN(2)/25))/(LN(2)/25)*Calculateur!DB185*Calculateur!DD185*VLOOKUP('Données projet'!$B$13,Paramètres!$A$1:$I$89,3,0)*0.475*44/12</f>
        <v>1.4402429286715315</v>
      </c>
      <c r="DH185" s="21">
        <f>EXP(-LN(2)/2)*DH184+(1-EXP(-LN(2)/2))/(LN(2)/2)*DB185*DE185*VLOOKUP('Données projet'!$B$13,Paramètres!$A$1:$I$89,3,0)*0.475*44/12</f>
        <v>4.8934172536061545E-19</v>
      </c>
      <c r="DI185" s="22">
        <f t="shared" si="175"/>
        <v>9.5250484603270209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-3.4106051316484809E-13</v>
      </c>
      <c r="DP185" s="17">
        <f>DO185*VLOOKUP('Données projet'!$B$14,Paramètres!$A$1:$I$89,3,0)*VLOOKUP('Données projet'!$B$14,Paramètres!$A$1:$I$89,5,0)</f>
        <v>-2.0395418687257919E-13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402.28353929315114</v>
      </c>
      <c r="DU185" s="59">
        <f t="shared" si="152"/>
        <v>376.94419168335463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22.592993302527411</v>
      </c>
      <c r="EB185" s="21">
        <f>EXP(-LN(2)/25)*EB184+(1-EXP(-LN(2)/25))/(LN(2)/25)*Calculateur!DW185*Calculateur!DY185*VLOOKUP('Données projet'!$B$14,Paramètres!$A$1:$I$89,3,0)*0.475*44/12</f>
        <v>2.1851915733424305</v>
      </c>
      <c r="EC185" s="21">
        <f>EXP(-LN(2)/2)*EC184+(1-EXP(-LN(2)/2))/(LN(2)/2)*DW185*DZ185*VLOOKUP('Données projet'!$B$14,Paramètres!$A$1:$I$89,3,0)*0.475*44/12</f>
        <v>5.0859697982820845E-16</v>
      </c>
      <c r="ED185" s="22">
        <f t="shared" si="178"/>
        <v>24.77818487586984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>
        <f>EJ185*VLOOKUP('Données projet'!$B$15,Paramètres!$A$1:$I$89,3,0)*VLOOKUP('Données projet'!$B$15,Paramètres!$A$1:$I$89,5,0)</f>
        <v>0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273.3012268683454</v>
      </c>
      <c r="EP185" s="59">
        <f t="shared" si="154"/>
        <v>254.08208375594052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13.847493549938845</v>
      </c>
      <c r="EW185" s="21">
        <f>EXP(-LN(2)/25)*EW184+(1-EXP(-LN(2)/25))/(LN(2)/25)*Calculateur!ER185*Calculateur!ET185*VLOOKUP('Données projet'!$B$15,Paramètres!$A$1:$I$89,3,0)*0.475*44/12</f>
        <v>2.4501501103525229</v>
      </c>
      <c r="EX185" s="21">
        <f>EXP(-LN(2)/2)*EX184+(1-EXP(-LN(2)/2))/(LN(2)/2)*ER185*EU185*VLOOKUP('Données projet'!$B$15,Paramètres!$A$1:$I$89,3,0)*0.475*44/12</f>
        <v>7.3012834565025163E-16</v>
      </c>
      <c r="EY185" s="22">
        <f t="shared" si="181"/>
        <v>16.297643660291367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-1.7053025658242404E-13</v>
      </c>
      <c r="O186" s="13">
        <f>N186*VLOOKUP('Données projet'!$B$9,Paramètres!$A$1:$I$89,3,0)*VLOOKUP('Données projet'!$B$9,Paramètres!$A$1:$I$89,5,0)</f>
        <v>-1.5429577615577727E-13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453.52760163325451</v>
      </c>
      <c r="T186" s="59">
        <f t="shared" si="142"/>
        <v>344.23959526427001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52.410445030135051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52.410445030135051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-1.1368683772161603E-13</v>
      </c>
      <c r="AJ186" s="13">
        <f>AI186*VLOOKUP('Données projet'!$B$10,Paramètres!$A$1:$I$89,3,0)*VLOOKUP('Données projet'!$B$10,Paramètres!$A$1:$I$89,5,0)</f>
        <v>-9.7543306765146564E-14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397.45670821030774</v>
      </c>
      <c r="AO186" s="59">
        <f t="shared" si="144"/>
        <v>256.77417912163997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39.949008649387629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39.949008649387629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293.20194140252903</v>
      </c>
      <c r="BJ186" s="59">
        <f t="shared" si="146"/>
        <v>280.69048279989266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10.342842021799035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10.342842021799035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-1.1368683772161603E-13</v>
      </c>
      <c r="BZ186" s="13">
        <f>BY186*VLOOKUP('Données projet'!$B$12,Paramètres!$A$1:$I$89,3,0)*VLOOKUP('Données projet'!$B$12,Paramètres!$A$1:$I$89,5,0)</f>
        <v>-9.0449248091317723E-14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271.25628946149067</v>
      </c>
      <c r="CE186" s="59">
        <f t="shared" si="148"/>
        <v>292.57799203101769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13.242547145549882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13.242547145549882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5.6843418860808015E-14</v>
      </c>
      <c r="CU186" s="17">
        <f>CT186*VLOOKUP('Données projet'!$B$13,Paramètres!$A$1:$I$89,3,0)*VLOOKUP('Données projet'!$B$13,Paramètres!$A$1:$I$89,5,0)</f>
        <v>3.1036506698001178E-14</v>
      </c>
      <c r="CV186" s="13">
        <f t="shared" si="173"/>
        <v>5.3428243983771088E-13</v>
      </c>
      <c r="CW186" s="20">
        <f t="shared" si="174"/>
        <v>9.8459716521636505E-13</v>
      </c>
      <c r="CX186" s="59">
        <f t="shared" si="122"/>
        <v>293.33333333333428</v>
      </c>
      <c r="CY186" s="59">
        <f ca="1">AVERAGE(OFFSET($CX$3,0,0,'Données projet'!$E$13+1,1))-AVERAGE(OFFSET($H$3,0,0,'Données projet'!$E$13+1,1))</f>
        <v>210.03861149060413</v>
      </c>
      <c r="CZ186" s="59">
        <f t="shared" si="150"/>
        <v>298.74602928001929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7.9262674264241788</v>
      </c>
      <c r="DG186" s="21">
        <f>EXP(-LN(2)/25)*DG185+(1-EXP(-LN(2)/25))/(LN(2)/25)*Calculateur!DB186*Calculateur!DD186*VLOOKUP('Données projet'!$B$13,Paramètres!$A$1:$I$89,3,0)*0.475*44/12</f>
        <v>1.4008594100479246</v>
      </c>
      <c r="DH186" s="21">
        <f>EXP(-LN(2)/2)*DH185+(1-EXP(-LN(2)/2))/(LN(2)/2)*DB186*DE186*VLOOKUP('Données projet'!$B$13,Paramètres!$A$1:$I$89,3,0)*0.475*44/12</f>
        <v>3.4601685232001634E-19</v>
      </c>
      <c r="DI186" s="22">
        <f t="shared" si="175"/>
        <v>9.3271268364721038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-3.4106051316484809E-13</v>
      </c>
      <c r="DP186" s="17">
        <f>DO186*VLOOKUP('Données projet'!$B$14,Paramètres!$A$1:$I$89,3,0)*VLOOKUP('Données projet'!$B$14,Paramètres!$A$1:$I$89,5,0)</f>
        <v>-2.0395418687257919E-13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402.28353929315114</v>
      </c>
      <c r="DU186" s="59">
        <f t="shared" si="152"/>
        <v>376.94419168335463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22.149958484230066</v>
      </c>
      <c r="EB186" s="21">
        <f>EXP(-LN(2)/25)*EB185+(1-EXP(-LN(2)/25))/(LN(2)/25)*Calculateur!DW186*Calculateur!DY186*VLOOKUP('Données projet'!$B$14,Paramètres!$A$1:$I$89,3,0)*0.475*44/12</f>
        <v>2.125437394855151</v>
      </c>
      <c r="EC186" s="21">
        <f>EXP(-LN(2)/2)*EC185+(1-EXP(-LN(2)/2))/(LN(2)/2)*DW186*DZ186*VLOOKUP('Données projet'!$B$14,Paramètres!$A$1:$I$89,3,0)*0.475*44/12</f>
        <v>3.5963237332752392E-16</v>
      </c>
      <c r="ED186" s="22">
        <f t="shared" si="178"/>
        <v>24.275395879085217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>
        <f>EJ186*VLOOKUP('Données projet'!$B$15,Paramètres!$A$1:$I$89,3,0)*VLOOKUP('Données projet'!$B$15,Paramètres!$A$1:$I$89,5,0)</f>
        <v>0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273.3012268683454</v>
      </c>
      <c r="EP186" s="59">
        <f t="shared" si="154"/>
        <v>254.08208375594052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13.575952647561623</v>
      </c>
      <c r="EW186" s="21">
        <f>EXP(-LN(2)/25)*EW185+(1-EXP(-LN(2)/25))/(LN(2)/25)*Calculateur!ER186*Calculateur!ET186*VLOOKUP('Données projet'!$B$15,Paramètres!$A$1:$I$89,3,0)*0.475*44/12</f>
        <v>2.3831506267371387</v>
      </c>
      <c r="EX186" s="21">
        <f>EXP(-LN(2)/2)*EX185+(1-EXP(-LN(2)/2))/(LN(2)/2)*ER186*EU186*VLOOKUP('Données projet'!$B$15,Paramètres!$A$1:$I$89,3,0)*0.475*44/12</f>
        <v>5.1627870434580842E-16</v>
      </c>
      <c r="EY186" s="22">
        <f t="shared" si="181"/>
        <v>15.959103274298762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-1.7053025658242404E-13</v>
      </c>
      <c r="O187" s="13">
        <f>N187*VLOOKUP('Données projet'!$B$9,Paramètres!$A$1:$I$89,3,0)*VLOOKUP('Données projet'!$B$9,Paramètres!$A$1:$I$89,5,0)</f>
        <v>-1.5429577615577727E-13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453.52760163325451</v>
      </c>
      <c r="T187" s="59">
        <f t="shared" si="142"/>
        <v>344.23959526427001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51.382708170309073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51.382708170309073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-1.1368683772161603E-13</v>
      </c>
      <c r="AJ187" s="13">
        <f>AI187*VLOOKUP('Données projet'!$B$10,Paramètres!$A$1:$I$89,3,0)*VLOOKUP('Données projet'!$B$10,Paramètres!$A$1:$I$89,5,0)</f>
        <v>-9.7543306765146564E-14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397.45670821030774</v>
      </c>
      <c r="AO187" s="59">
        <f t="shared" si="144"/>
        <v>256.77417912163997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39.165632956262421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39.165632956262421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293.20194140252903</v>
      </c>
      <c r="BJ187" s="59">
        <f t="shared" si="146"/>
        <v>280.69048279989266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10.140025198262276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10.140025198262276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-1.1368683772161603E-13</v>
      </c>
      <c r="BZ187" s="13">
        <f>BY187*VLOOKUP('Données projet'!$B$12,Paramètres!$A$1:$I$89,3,0)*VLOOKUP('Données projet'!$B$12,Paramètres!$A$1:$I$89,5,0)</f>
        <v>-9.0449248091317723E-14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271.25628946149067</v>
      </c>
      <c r="CE187" s="59">
        <f t="shared" si="148"/>
        <v>292.57799203101769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12.982868873181854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12.982868873181854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5.6843418860808015E-14</v>
      </c>
      <c r="CU187" s="17">
        <f>CT187*VLOOKUP('Données projet'!$B$13,Paramètres!$A$1:$I$89,3,0)*VLOOKUP('Données projet'!$B$13,Paramètres!$A$1:$I$89,5,0)</f>
        <v>3.1036506698001178E-14</v>
      </c>
      <c r="CV187" s="13">
        <f t="shared" si="173"/>
        <v>5.3428243983771088E-13</v>
      </c>
      <c r="CW187" s="20">
        <f t="shared" si="174"/>
        <v>9.8459716521636505E-13</v>
      </c>
      <c r="CX187" s="59">
        <f t="shared" si="122"/>
        <v>293.33333333333428</v>
      </c>
      <c r="CY187" s="59">
        <f ca="1">AVERAGE(OFFSET($CX$3,0,0,'Données projet'!$E$13+1,1))-AVERAGE(OFFSET($H$3,0,0,'Données projet'!$E$13+1,1))</f>
        <v>210.03861149060413</v>
      </c>
      <c r="CZ187" s="59">
        <f t="shared" si="150"/>
        <v>298.74602928001929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7.7708381567377591</v>
      </c>
      <c r="DG187" s="21">
        <f>EXP(-LN(2)/25)*DG186+(1-EXP(-LN(2)/25))/(LN(2)/25)*Calculateur!DB187*Calculateur!DD187*VLOOKUP('Données projet'!$B$13,Paramètres!$A$1:$I$89,3,0)*0.475*44/12</f>
        <v>1.3625528358121695</v>
      </c>
      <c r="DH187" s="21">
        <f>EXP(-LN(2)/2)*DH186+(1-EXP(-LN(2)/2))/(LN(2)/2)*DB187*DE187*VLOOKUP('Données projet'!$B$13,Paramètres!$A$1:$I$89,3,0)*0.475*44/12</f>
        <v>2.4467086268030773E-19</v>
      </c>
      <c r="DI187" s="22">
        <f t="shared" si="175"/>
        <v>9.1333909925499288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-3.4106051316484809E-13</v>
      </c>
      <c r="DP187" s="17">
        <f>DO187*VLOOKUP('Données projet'!$B$14,Paramètres!$A$1:$I$89,3,0)*VLOOKUP('Données projet'!$B$14,Paramètres!$A$1:$I$89,5,0)</f>
        <v>-2.0395418687257919E-13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402.28353929315114</v>
      </c>
      <c r="DU187" s="59">
        <f t="shared" si="152"/>
        <v>376.94419168335463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21.715611308494974</v>
      </c>
      <c r="EB187" s="21">
        <f>EXP(-LN(2)/25)*EB186+(1-EXP(-LN(2)/25))/(LN(2)/25)*Calculateur!DW187*Calculateur!DY187*VLOOKUP('Données projet'!$B$14,Paramètres!$A$1:$I$89,3,0)*0.475*44/12</f>
        <v>2.0673171975209419</v>
      </c>
      <c r="EC187" s="21">
        <f>EXP(-LN(2)/2)*EC186+(1-EXP(-LN(2)/2))/(LN(2)/2)*DW187*DZ187*VLOOKUP('Données projet'!$B$14,Paramètres!$A$1:$I$89,3,0)*0.475*44/12</f>
        <v>2.5429848991410423E-16</v>
      </c>
      <c r="ED187" s="22">
        <f t="shared" si="178"/>
        <v>23.782928506015917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>
        <f>EJ187*VLOOKUP('Données projet'!$B$15,Paramètres!$A$1:$I$89,3,0)*VLOOKUP('Données projet'!$B$15,Paramètres!$A$1:$I$89,5,0)</f>
        <v>0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273.3012268683454</v>
      </c>
      <c r="EP187" s="59">
        <f t="shared" si="154"/>
        <v>254.08208375594052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13.309736496656422</v>
      </c>
      <c r="EW187" s="21">
        <f>EXP(-LN(2)/25)*EW186+(1-EXP(-LN(2)/25))/(LN(2)/25)*Calculateur!ER187*Calculateur!ET187*VLOOKUP('Données projet'!$B$15,Paramètres!$A$1:$I$89,3,0)*0.475*44/12</f>
        <v>2.317983247524567</v>
      </c>
      <c r="EX187" s="21">
        <f>EXP(-LN(2)/2)*EX186+(1-EXP(-LN(2)/2))/(LN(2)/2)*ER187*EU187*VLOOKUP('Données projet'!$B$15,Paramètres!$A$1:$I$89,3,0)*0.475*44/12</f>
        <v>3.6506417282512582E-16</v>
      </c>
      <c r="EY187" s="22">
        <f t="shared" si="181"/>
        <v>15.62771974418099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-1.7053025658242404E-13</v>
      </c>
      <c r="O188" s="13">
        <f>N188*VLOOKUP('Données projet'!$B$9,Paramètres!$A$1:$I$89,3,0)*VLOOKUP('Données projet'!$B$9,Paramètres!$A$1:$I$89,5,0)</f>
        <v>-1.5429577615577727E-13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453.52760163325451</v>
      </c>
      <c r="T188" s="59">
        <f t="shared" si="142"/>
        <v>344.23959526427001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50.375124603446693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50.375124603446693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-1.1368683772161603E-13</v>
      </c>
      <c r="AJ188" s="13">
        <f>AI188*VLOOKUP('Données projet'!$B$10,Paramètres!$A$1:$I$89,3,0)*VLOOKUP('Données projet'!$B$10,Paramètres!$A$1:$I$89,5,0)</f>
        <v>-9.7543306765146564E-14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397.45670821030774</v>
      </c>
      <c r="AO188" s="59">
        <f t="shared" si="144"/>
        <v>256.77417912163997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38.397618782667408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38.397618782667408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293.20194140252903</v>
      </c>
      <c r="BJ188" s="59">
        <f t="shared" si="146"/>
        <v>280.69048279989266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9.9411854889290243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9.9411854889290243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-1.1368683772161603E-13</v>
      </c>
      <c r="BZ188" s="13">
        <f>BY188*VLOOKUP('Données projet'!$B$12,Paramètres!$A$1:$I$89,3,0)*VLOOKUP('Données projet'!$B$12,Paramètres!$A$1:$I$89,5,0)</f>
        <v>-9.0449248091317723E-14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271.25628946149067</v>
      </c>
      <c r="CE188" s="59">
        <f t="shared" si="148"/>
        <v>292.57799203101769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12.728282733346857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12.728282733346857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5.6843418860808015E-14</v>
      </c>
      <c r="CU188" s="17">
        <f>CT188*VLOOKUP('Données projet'!$B$13,Paramètres!$A$1:$I$89,3,0)*VLOOKUP('Données projet'!$B$13,Paramètres!$A$1:$I$89,5,0)</f>
        <v>3.1036506698001178E-14</v>
      </c>
      <c r="CV188" s="13">
        <f t="shared" si="173"/>
        <v>5.3428243983771088E-13</v>
      </c>
      <c r="CW188" s="20">
        <f t="shared" si="174"/>
        <v>9.8459716521636505E-13</v>
      </c>
      <c r="CX188" s="59">
        <f t="shared" si="122"/>
        <v>293.33333333333428</v>
      </c>
      <c r="CY188" s="59">
        <f ca="1">AVERAGE(OFFSET($CX$3,0,0,'Données projet'!$E$13+1,1))-AVERAGE(OFFSET($H$3,0,0,'Données projet'!$E$13+1,1))</f>
        <v>210.03861149060413</v>
      </c>
      <c r="CZ188" s="59">
        <f t="shared" si="150"/>
        <v>298.74602928001929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7.6184567602273967</v>
      </c>
      <c r="DG188" s="21">
        <f>EXP(-LN(2)/25)*DG187+(1-EXP(-LN(2)/25))/(LN(2)/25)*Calculateur!DB188*Calculateur!DD188*VLOOKUP('Données projet'!$B$13,Paramètres!$A$1:$I$89,3,0)*0.475*44/12</f>
        <v>1.3252937568633463</v>
      </c>
      <c r="DH188" s="21">
        <f>EXP(-LN(2)/2)*DH187+(1-EXP(-LN(2)/2))/(LN(2)/2)*DB188*DE188*VLOOKUP('Données projet'!$B$13,Paramètres!$A$1:$I$89,3,0)*0.475*44/12</f>
        <v>1.7300842616000817E-19</v>
      </c>
      <c r="DI188" s="22">
        <f t="shared" si="175"/>
        <v>8.9437505170907432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-3.4106051316484809E-13</v>
      </c>
      <c r="DP188" s="17">
        <f>DO188*VLOOKUP('Données projet'!$B$14,Paramètres!$A$1:$I$89,3,0)*VLOOKUP('Données projet'!$B$14,Paramètres!$A$1:$I$89,5,0)</f>
        <v>-2.0395418687257919E-13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402.28353929315114</v>
      </c>
      <c r="DU188" s="59">
        <f t="shared" si="152"/>
        <v>376.94419168335463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21.289781415950429</v>
      </c>
      <c r="EB188" s="21">
        <f>EXP(-LN(2)/25)*EB187+(1-EXP(-LN(2)/25))/(LN(2)/25)*Calculateur!DW188*Calculateur!DY188*VLOOKUP('Données projet'!$B$14,Paramètres!$A$1:$I$89,3,0)*0.475*44/12</f>
        <v>2.0107863000392454</v>
      </c>
      <c r="EC188" s="21">
        <f>EXP(-LN(2)/2)*EC187+(1-EXP(-LN(2)/2))/(LN(2)/2)*DW188*DZ188*VLOOKUP('Données projet'!$B$14,Paramètres!$A$1:$I$89,3,0)*0.475*44/12</f>
        <v>1.7981618666376196E-16</v>
      </c>
      <c r="ED188" s="22">
        <f t="shared" si="178"/>
        <v>23.300567715989676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>
        <f>EJ188*VLOOKUP('Données projet'!$B$15,Paramètres!$A$1:$I$89,3,0)*VLOOKUP('Données projet'!$B$15,Paramètres!$A$1:$I$89,5,0)</f>
        <v>0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273.3012268683454</v>
      </c>
      <c r="EP188" s="59">
        <f t="shared" si="154"/>
        <v>254.08208375594052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13.048740682094653</v>
      </c>
      <c r="EW188" s="21">
        <f>EXP(-LN(2)/25)*EW187+(1-EXP(-LN(2)/25))/(LN(2)/25)*Calculateur!ER188*Calculateur!ET188*VLOOKUP('Données projet'!$B$15,Paramètres!$A$1:$I$89,3,0)*0.475*44/12</f>
        <v>2.2545978737235663</v>
      </c>
      <c r="EX188" s="21">
        <f>EXP(-LN(2)/2)*EX187+(1-EXP(-LN(2)/2))/(LN(2)/2)*ER188*EU188*VLOOKUP('Données projet'!$B$15,Paramètres!$A$1:$I$89,3,0)*0.475*44/12</f>
        <v>2.5813935217290421E-16</v>
      </c>
      <c r="EY188" s="22">
        <f t="shared" si="181"/>
        <v>15.30333855581822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-1.7053025658242404E-13</v>
      </c>
      <c r="O189" s="13">
        <f>N189*VLOOKUP('Données projet'!$B$9,Paramètres!$A$1:$I$89,3,0)*VLOOKUP('Données projet'!$B$9,Paramètres!$A$1:$I$89,5,0)</f>
        <v>-1.5429577615577727E-13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453.52760163325451</v>
      </c>
      <c r="T189" s="59">
        <f t="shared" si="142"/>
        <v>344.23959526427001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49.38729913576519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49.38729913576519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-1.1368683772161603E-13</v>
      </c>
      <c r="AJ189" s="13">
        <f>AI189*VLOOKUP('Données projet'!$B$10,Paramètres!$A$1:$I$89,3,0)*VLOOKUP('Données projet'!$B$10,Paramètres!$A$1:$I$89,5,0)</f>
        <v>-9.7543306765146564E-14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397.45670821030774</v>
      </c>
      <c r="AO189" s="59">
        <f t="shared" si="144"/>
        <v>256.77417912163997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37.644664898574199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37.644664898574199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293.20194140252903</v>
      </c>
      <c r="BJ189" s="59">
        <f t="shared" si="146"/>
        <v>280.69048279989266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9.7462449050155513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9.7462449050155513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-1.1368683772161603E-13</v>
      </c>
      <c r="BZ189" s="13">
        <f>BY189*VLOOKUP('Données projet'!$B$12,Paramètres!$A$1:$I$89,3,0)*VLOOKUP('Données projet'!$B$12,Paramètres!$A$1:$I$89,5,0)</f>
        <v>-9.0449248091317723E-14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271.25628946149067</v>
      </c>
      <c r="CE189" s="59">
        <f t="shared" si="148"/>
        <v>292.57799203101769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12.478688872431812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12.478688872431812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5.6843418860808015E-14</v>
      </c>
      <c r="CU189" s="17">
        <f>CT189*VLOOKUP('Données projet'!$B$13,Paramètres!$A$1:$I$89,3,0)*VLOOKUP('Données projet'!$B$13,Paramètres!$A$1:$I$89,5,0)</f>
        <v>3.1036506698001178E-14</v>
      </c>
      <c r="CV189" s="13">
        <f t="shared" si="173"/>
        <v>5.3428243983771088E-13</v>
      </c>
      <c r="CW189" s="20">
        <f t="shared" si="174"/>
        <v>9.8459716521636505E-13</v>
      </c>
      <c r="CX189" s="59">
        <f t="shared" si="122"/>
        <v>293.33333333333428</v>
      </c>
      <c r="CY189" s="59">
        <f ca="1">AVERAGE(OFFSET($CX$3,0,0,'Données projet'!$E$13+1,1))-AVERAGE(OFFSET($H$3,0,0,'Données projet'!$E$13+1,1))</f>
        <v>210.03861149060413</v>
      </c>
      <c r="CZ189" s="59">
        <f t="shared" si="150"/>
        <v>298.74602928001929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7.4690634699591278</v>
      </c>
      <c r="DG189" s="21">
        <f>EXP(-LN(2)/25)*DG188+(1-EXP(-LN(2)/25))/(LN(2)/25)*Calculateur!DB189*Calculateur!DD189*VLOOKUP('Données projet'!$B$13,Paramètres!$A$1:$I$89,3,0)*0.475*44/12</f>
        <v>1.2890535293877483</v>
      </c>
      <c r="DH189" s="21">
        <f>EXP(-LN(2)/2)*DH188+(1-EXP(-LN(2)/2))/(LN(2)/2)*DB189*DE189*VLOOKUP('Données projet'!$B$13,Paramètres!$A$1:$I$89,3,0)*0.475*44/12</f>
        <v>1.2233543134015386E-19</v>
      </c>
      <c r="DI189" s="22">
        <f t="shared" si="175"/>
        <v>8.7581169993468766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-3.4106051316484809E-13</v>
      </c>
      <c r="DP189" s="17">
        <f>DO189*VLOOKUP('Données projet'!$B$14,Paramètres!$A$1:$I$89,3,0)*VLOOKUP('Données projet'!$B$14,Paramètres!$A$1:$I$89,5,0)</f>
        <v>-2.0395418687257919E-13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402.28353929315114</v>
      </c>
      <c r="DU189" s="59">
        <f t="shared" si="152"/>
        <v>376.94419168335463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20.872301787868096</v>
      </c>
      <c r="EB189" s="21">
        <f>EXP(-LN(2)/25)*EB188+(1-EXP(-LN(2)/25))/(LN(2)/25)*Calculateur!DW189*Calculateur!DY189*VLOOKUP('Données projet'!$B$14,Paramètres!$A$1:$I$89,3,0)*0.475*44/12</f>
        <v>1.9558012429220164</v>
      </c>
      <c r="EC189" s="21">
        <f>EXP(-LN(2)/2)*EC188+(1-EXP(-LN(2)/2))/(LN(2)/2)*DW189*DZ189*VLOOKUP('Données projet'!$B$14,Paramètres!$A$1:$I$89,3,0)*0.475*44/12</f>
        <v>1.2714924495705211E-16</v>
      </c>
      <c r="ED189" s="22">
        <f t="shared" si="178"/>
        <v>22.828103030790114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>
        <f>EJ189*VLOOKUP('Données projet'!$B$15,Paramètres!$A$1:$I$89,3,0)*VLOOKUP('Données projet'!$B$15,Paramètres!$A$1:$I$89,5,0)</f>
        <v>0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273.3012268683454</v>
      </c>
      <c r="EP189" s="59">
        <f t="shared" si="154"/>
        <v>254.08208375594052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12.792862836264712</v>
      </c>
      <c r="EW189" s="21">
        <f>EXP(-LN(2)/25)*EW188+(1-EXP(-LN(2)/25))/(LN(2)/25)*Calculateur!ER189*Calculateur!ET189*VLOOKUP('Données projet'!$B$15,Paramètres!$A$1:$I$89,3,0)*0.475*44/12</f>
        <v>2.1929457763024462</v>
      </c>
      <c r="EX189" s="21">
        <f>EXP(-LN(2)/2)*EX188+(1-EXP(-LN(2)/2))/(LN(2)/2)*ER189*EU189*VLOOKUP('Données projet'!$B$15,Paramètres!$A$1:$I$89,3,0)*0.475*44/12</f>
        <v>1.8253208641256291E-16</v>
      </c>
      <c r="EY189" s="22">
        <f t="shared" si="181"/>
        <v>14.985808612567158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-1.7053025658242404E-13</v>
      </c>
      <c r="O190" s="13">
        <f>N190*VLOOKUP('Données projet'!$B$9,Paramètres!$A$1:$I$89,3,0)*VLOOKUP('Données projet'!$B$9,Paramètres!$A$1:$I$89,5,0)</f>
        <v>-1.5429577615577727E-13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453.52760163325451</v>
      </c>
      <c r="T190" s="59">
        <f t="shared" si="142"/>
        <v>344.23959526427001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48.418844322990878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48.418844322990878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-1.1368683772161603E-13</v>
      </c>
      <c r="AJ190" s="13">
        <f>AI190*VLOOKUP('Données projet'!$B$10,Paramètres!$A$1:$I$89,3,0)*VLOOKUP('Données projet'!$B$10,Paramètres!$A$1:$I$89,5,0)</f>
        <v>-9.7543306765146564E-14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397.45670821030774</v>
      </c>
      <c r="AO190" s="59">
        <f t="shared" si="144"/>
        <v>256.77417912163997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36.906475980891535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36.906475980891535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293.20194140252903</v>
      </c>
      <c r="BJ190" s="59">
        <f t="shared" si="146"/>
        <v>280.69048279989266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9.5551269870506061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9.5551269870506061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-1.1368683772161603E-13</v>
      </c>
      <c r="BZ190" s="13">
        <f>BY190*VLOOKUP('Données projet'!$B$12,Paramètres!$A$1:$I$89,3,0)*VLOOKUP('Données projet'!$B$12,Paramètres!$A$1:$I$89,5,0)</f>
        <v>-9.0449248091317723E-14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271.25628946149067</v>
      </c>
      <c r="CE190" s="59">
        <f t="shared" si="148"/>
        <v>292.57799203101769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12.233989394892088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12.233989394892088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5.6843418860808015E-14</v>
      </c>
      <c r="CU190" s="17">
        <f>CT190*VLOOKUP('Données projet'!$B$13,Paramètres!$A$1:$I$89,3,0)*VLOOKUP('Données projet'!$B$13,Paramètres!$A$1:$I$89,5,0)</f>
        <v>3.1036506698001178E-14</v>
      </c>
      <c r="CV190" s="13">
        <f t="shared" si="173"/>
        <v>5.3428243983771088E-13</v>
      </c>
      <c r="CW190" s="20">
        <f t="shared" si="174"/>
        <v>9.8459716521636505E-13</v>
      </c>
      <c r="CX190" s="59">
        <f t="shared" si="122"/>
        <v>293.33333333333428</v>
      </c>
      <c r="CY190" s="59">
        <f ca="1">AVERAGE(OFFSET($CX$3,0,0,'Données projet'!$E$13+1,1))-AVERAGE(OFFSET($H$3,0,0,'Données projet'!$E$13+1,1))</f>
        <v>210.03861149060413</v>
      </c>
      <c r="CZ190" s="59">
        <f t="shared" si="150"/>
        <v>298.74602928001929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7.3225996909921101</v>
      </c>
      <c r="DG190" s="21">
        <f>EXP(-LN(2)/25)*DG189+(1-EXP(-LN(2)/25))/(LN(2)/25)*Calculateur!DB190*Calculateur!DD190*VLOOKUP('Données projet'!$B$13,Paramètres!$A$1:$I$89,3,0)*0.475*44/12</f>
        <v>1.2538042928382613</v>
      </c>
      <c r="DH190" s="21">
        <f>EXP(-LN(2)/2)*DH189+(1-EXP(-LN(2)/2))/(LN(2)/2)*DB190*DE190*VLOOKUP('Données projet'!$B$13,Paramètres!$A$1:$I$89,3,0)*0.475*44/12</f>
        <v>8.6504213080004086E-20</v>
      </c>
      <c r="DI190" s="22">
        <f t="shared" si="175"/>
        <v>8.5764039838303709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-3.4106051316484809E-13</v>
      </c>
      <c r="DP190" s="17">
        <f>DO190*VLOOKUP('Données projet'!$B$14,Paramètres!$A$1:$I$89,3,0)*VLOOKUP('Données projet'!$B$14,Paramètres!$A$1:$I$89,5,0)</f>
        <v>-2.0395418687257919E-13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402.28353929315114</v>
      </c>
      <c r="DU190" s="59">
        <f t="shared" si="152"/>
        <v>376.94419168335463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20.463008680655026</v>
      </c>
      <c r="EB190" s="21">
        <f>EXP(-LN(2)/25)*EB189+(1-EXP(-LN(2)/25))/(LN(2)/25)*Calculateur!DW190*Calculateur!DY190*VLOOKUP('Données projet'!$B$14,Paramètres!$A$1:$I$89,3,0)*0.475*44/12</f>
        <v>1.9023197550831965</v>
      </c>
      <c r="EC190" s="21">
        <f>EXP(-LN(2)/2)*EC189+(1-EXP(-LN(2)/2))/(LN(2)/2)*DW190*DZ190*VLOOKUP('Données projet'!$B$14,Paramètres!$A$1:$I$89,3,0)*0.475*44/12</f>
        <v>8.990809333188098E-17</v>
      </c>
      <c r="ED190" s="22">
        <f t="shared" si="178"/>
        <v>22.365328435738224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>
        <f>EJ190*VLOOKUP('Données projet'!$B$15,Paramètres!$A$1:$I$89,3,0)*VLOOKUP('Données projet'!$B$15,Paramètres!$A$1:$I$89,5,0)</f>
        <v>0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273.3012268683454</v>
      </c>
      <c r="EP190" s="59">
        <f t="shared" si="154"/>
        <v>254.08208375594052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12.542002598921421</v>
      </c>
      <c r="EW190" s="21">
        <f>EXP(-LN(2)/25)*EW189+(1-EXP(-LN(2)/25))/(LN(2)/25)*Calculateur!ER190*Calculateur!ET190*VLOOKUP('Données projet'!$B$15,Paramètres!$A$1:$I$89,3,0)*0.475*44/12</f>
        <v>2.1329795587274494</v>
      </c>
      <c r="EX190" s="21">
        <f>EXP(-LN(2)/2)*EX189+(1-EXP(-LN(2)/2))/(LN(2)/2)*ER190*EU190*VLOOKUP('Données projet'!$B$15,Paramètres!$A$1:$I$89,3,0)*0.475*44/12</f>
        <v>1.290696760864521E-16</v>
      </c>
      <c r="EY190" s="22">
        <f t="shared" si="181"/>
        <v>14.67498215764887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-1.7053025658242404E-13</v>
      </c>
      <c r="O191" s="13">
        <f>N191*VLOOKUP('Données projet'!$B$9,Paramètres!$A$1:$I$89,3,0)*VLOOKUP('Données projet'!$B$9,Paramètres!$A$1:$I$89,5,0)</f>
        <v>-1.5429577615577727E-13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453.52760163325451</v>
      </c>
      <c r="T191" s="59">
        <f t="shared" si="142"/>
        <v>344.23959526427001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47.469380318395963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47.469380318395963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-1.1368683772161603E-13</v>
      </c>
      <c r="AJ191" s="13">
        <f>AI191*VLOOKUP('Données projet'!$B$10,Paramètres!$A$1:$I$89,3,0)*VLOOKUP('Données projet'!$B$10,Paramètres!$A$1:$I$89,5,0)</f>
        <v>-9.7543306765146564E-14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397.45670821030774</v>
      </c>
      <c r="AO191" s="59">
        <f t="shared" si="144"/>
        <v>256.77417912163997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36.182762497633853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36.182762497633853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293.20194140252903</v>
      </c>
      <c r="BJ191" s="59">
        <f t="shared" si="146"/>
        <v>280.69048279989266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9.3677567748865336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9.3677567748865336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-1.1368683772161603E-13</v>
      </c>
      <c r="BZ191" s="13">
        <f>BY191*VLOOKUP('Données projet'!$B$12,Paramètres!$A$1:$I$89,3,0)*VLOOKUP('Données projet'!$B$12,Paramètres!$A$1:$I$89,5,0)</f>
        <v>-9.0449248091317723E-14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271.25628946149067</v>
      </c>
      <c r="CE191" s="59">
        <f t="shared" si="148"/>
        <v>292.57799203101769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11.994088324854975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11.994088324854975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5.6843418860808015E-14</v>
      </c>
      <c r="CU191" s="17">
        <f>CT191*VLOOKUP('Données projet'!$B$13,Paramètres!$A$1:$I$89,3,0)*VLOOKUP('Données projet'!$B$13,Paramètres!$A$1:$I$89,5,0)</f>
        <v>3.1036506698001178E-14</v>
      </c>
      <c r="CV191" s="13">
        <f t="shared" si="173"/>
        <v>5.3428243983771088E-13</v>
      </c>
      <c r="CW191" s="20">
        <f t="shared" si="174"/>
        <v>9.8459716521636505E-13</v>
      </c>
      <c r="CX191" s="59">
        <f t="shared" si="122"/>
        <v>293.33333333333428</v>
      </c>
      <c r="CY191" s="59">
        <f ca="1">AVERAGE(OFFSET($CX$3,0,0,'Données projet'!$E$13+1,1))-AVERAGE(OFFSET($H$3,0,0,'Données projet'!$E$13+1,1))</f>
        <v>210.03861149060413</v>
      </c>
      <c r="CZ191" s="59">
        <f t="shared" si="150"/>
        <v>298.74602928001929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7.1790079773965516</v>
      </c>
      <c r="DG191" s="21">
        <f>EXP(-LN(2)/25)*DG190+(1-EXP(-LN(2)/25))/(LN(2)/25)*Calculateur!DB191*Calculateur!DD191*VLOOKUP('Données projet'!$B$13,Paramètres!$A$1:$I$89,3,0)*0.475*44/12</f>
        <v>1.219518948515897</v>
      </c>
      <c r="DH191" s="21">
        <f>EXP(-LN(2)/2)*DH190+(1-EXP(-LN(2)/2))/(LN(2)/2)*DB191*DE191*VLOOKUP('Données projet'!$B$13,Paramètres!$A$1:$I$89,3,0)*0.475*44/12</f>
        <v>6.1167715670076931E-20</v>
      </c>
      <c r="DI191" s="22">
        <f t="shared" si="175"/>
        <v>8.3985269259124493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-3.4106051316484809E-13</v>
      </c>
      <c r="DP191" s="17">
        <f>DO191*VLOOKUP('Données projet'!$B$14,Paramètres!$A$1:$I$89,3,0)*VLOOKUP('Données projet'!$B$14,Paramètres!$A$1:$I$89,5,0)</f>
        <v>-2.0395418687257919E-13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402.28353929315114</v>
      </c>
      <c r="DU191" s="59">
        <f t="shared" si="152"/>
        <v>376.94419168335463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20.06174156163026</v>
      </c>
      <c r="EB191" s="21">
        <f>EXP(-LN(2)/25)*EB190+(1-EXP(-LN(2)/25))/(LN(2)/25)*Calculateur!DW191*Calculateur!DY191*VLOOKUP('Données projet'!$B$14,Paramètres!$A$1:$I$89,3,0)*0.475*44/12</f>
        <v>1.8503007213417983</v>
      </c>
      <c r="EC191" s="21">
        <f>EXP(-LN(2)/2)*EC190+(1-EXP(-LN(2)/2))/(LN(2)/2)*DW191*DZ191*VLOOKUP('Données projet'!$B$14,Paramètres!$A$1:$I$89,3,0)*0.475*44/12</f>
        <v>6.3574622478526056E-17</v>
      </c>
      <c r="ED191" s="22">
        <f t="shared" si="178"/>
        <v>21.91204228297206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>
        <f>EJ191*VLOOKUP('Données projet'!$B$15,Paramètres!$A$1:$I$89,3,0)*VLOOKUP('Données projet'!$B$15,Paramètres!$A$1:$I$89,5,0)</f>
        <v>0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273.3012268683454</v>
      </c>
      <c r="EP191" s="59">
        <f t="shared" si="154"/>
        <v>254.08208375594052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12.296061577822796</v>
      </c>
      <c r="EW191" s="21">
        <f>EXP(-LN(2)/25)*EW190+(1-EXP(-LN(2)/25))/(LN(2)/25)*Calculateur!ER191*Calculateur!ET191*VLOOKUP('Données projet'!$B$15,Paramètres!$A$1:$I$89,3,0)*0.475*44/12</f>
        <v>2.0746531205255274</v>
      </c>
      <c r="EX191" s="21">
        <f>EXP(-LN(2)/2)*EX190+(1-EXP(-LN(2)/2))/(LN(2)/2)*ER191*EU191*VLOOKUP('Données projet'!$B$15,Paramètres!$A$1:$I$89,3,0)*0.475*44/12</f>
        <v>9.1266043206281454E-17</v>
      </c>
      <c r="EY191" s="22">
        <f t="shared" si="181"/>
        <v>14.370714698348323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-1.7053025658242404E-13</v>
      </c>
      <c r="O192" s="13">
        <f>N192*VLOOKUP('Données projet'!$B$9,Paramètres!$A$1:$I$89,3,0)*VLOOKUP('Données projet'!$B$9,Paramètres!$A$1:$I$89,5,0)</f>
        <v>-1.5429577615577727E-13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453.52760163325451</v>
      </c>
      <c r="T192" s="59">
        <f t="shared" si="142"/>
        <v>344.23959526427001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46.538534723815296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46.538534723815296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-1.1368683772161603E-13</v>
      </c>
      <c r="AJ192" s="13">
        <f>AI192*VLOOKUP('Données projet'!$B$10,Paramètres!$A$1:$I$89,3,0)*VLOOKUP('Données projet'!$B$10,Paramètres!$A$1:$I$89,5,0)</f>
        <v>-9.7543306765146564E-14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397.45670821030774</v>
      </c>
      <c r="AO192" s="59">
        <f t="shared" si="144"/>
        <v>256.77417912163997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35.473240594361215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35.473240594361215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293.20194140252903</v>
      </c>
      <c r="BJ192" s="59">
        <f t="shared" si="146"/>
        <v>280.69048279989266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9.1840607782984538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9.1840607782984538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-1.1368683772161603E-13</v>
      </c>
      <c r="BZ192" s="13">
        <f>BY192*VLOOKUP('Données projet'!$B$12,Paramètres!$A$1:$I$89,3,0)*VLOOKUP('Données projet'!$B$12,Paramètres!$A$1:$I$89,5,0)</f>
        <v>-9.0449248091317723E-14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271.25628946149067</v>
      </c>
      <c r="CE192" s="59">
        <f t="shared" si="148"/>
        <v>292.57799203101769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11.758891568476084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11.758891568476084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5.6843418860808015E-14</v>
      </c>
      <c r="CU192" s="17">
        <f>CT192*VLOOKUP('Données projet'!$B$13,Paramètres!$A$1:$I$89,3,0)*VLOOKUP('Données projet'!$B$13,Paramètres!$A$1:$I$89,5,0)</f>
        <v>3.1036506698001178E-14</v>
      </c>
      <c r="CV192" s="13">
        <f t="shared" si="173"/>
        <v>5.3428243983771088E-13</v>
      </c>
      <c r="CW192" s="20">
        <f t="shared" si="174"/>
        <v>9.8459716521636505E-13</v>
      </c>
      <c r="CX192" s="59">
        <f t="shared" si="122"/>
        <v>293.33333333333428</v>
      </c>
      <c r="CY192" s="59">
        <f ca="1">AVERAGE(OFFSET($CX$3,0,0,'Données projet'!$E$13+1,1))-AVERAGE(OFFSET($H$3,0,0,'Données projet'!$E$13+1,1))</f>
        <v>210.03861149060413</v>
      </c>
      <c r="CZ192" s="59">
        <f t="shared" si="150"/>
        <v>298.74602928001929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7.0382320097223046</v>
      </c>
      <c r="DG192" s="21">
        <f>EXP(-LN(2)/25)*DG191+(1-EXP(-LN(2)/25))/(LN(2)/25)*Calculateur!DB192*Calculateur!DD192*VLOOKUP('Données projet'!$B$13,Paramètres!$A$1:$I$89,3,0)*0.475*44/12</f>
        <v>1.1861711387370155</v>
      </c>
      <c r="DH192" s="21">
        <f>EXP(-LN(2)/2)*DH191+(1-EXP(-LN(2)/2))/(LN(2)/2)*DB192*DE192*VLOOKUP('Données projet'!$B$13,Paramètres!$A$1:$I$89,3,0)*0.475*44/12</f>
        <v>4.3252106540002043E-20</v>
      </c>
      <c r="DI192" s="22">
        <f t="shared" si="175"/>
        <v>8.2244031484593201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-3.4106051316484809E-13</v>
      </c>
      <c r="DP192" s="17">
        <f>DO192*VLOOKUP('Données projet'!$B$14,Paramètres!$A$1:$I$89,3,0)*VLOOKUP('Données projet'!$B$14,Paramètres!$A$1:$I$89,5,0)</f>
        <v>-2.0395418687257919E-13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402.28353929315114</v>
      </c>
      <c r="DU192" s="59">
        <f t="shared" si="152"/>
        <v>376.94419168335463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19.668343046060794</v>
      </c>
      <c r="EB192" s="21">
        <f>EXP(-LN(2)/25)*EB191+(1-EXP(-LN(2)/25))/(LN(2)/25)*Calculateur!DW192*Calculateur!DY192*VLOOKUP('Données projet'!$B$14,Paramètres!$A$1:$I$89,3,0)*0.475*44/12</f>
        <v>1.7997041508136209</v>
      </c>
      <c r="EC192" s="21">
        <f>EXP(-LN(2)/2)*EC191+(1-EXP(-LN(2)/2))/(LN(2)/2)*DW192*DZ192*VLOOKUP('Données projet'!$B$14,Paramètres!$A$1:$I$89,3,0)*0.475*44/12</f>
        <v>4.495404666594049E-17</v>
      </c>
      <c r="ED192" s="22">
        <f t="shared" si="178"/>
        <v>21.468047196874416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>
        <f>EJ192*VLOOKUP('Données projet'!$B$15,Paramètres!$A$1:$I$89,3,0)*VLOOKUP('Données projet'!$B$15,Paramètres!$A$1:$I$89,5,0)</f>
        <v>0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273.3012268683454</v>
      </c>
      <c r="EP192" s="59">
        <f t="shared" si="154"/>
        <v>254.08208375594052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12.054943310138704</v>
      </c>
      <c r="EW192" s="21">
        <f>EXP(-LN(2)/25)*EW191+(1-EXP(-LN(2)/25))/(LN(2)/25)*Calculateur!ER192*Calculateur!ET192*VLOOKUP('Données projet'!$B$15,Paramètres!$A$1:$I$89,3,0)*0.475*44/12</f>
        <v>2.0179216218434908</v>
      </c>
      <c r="EX192" s="21">
        <f>EXP(-LN(2)/2)*EX191+(1-EXP(-LN(2)/2))/(LN(2)/2)*ER192*EU192*VLOOKUP('Données projet'!$B$15,Paramètres!$A$1:$I$89,3,0)*0.475*44/12</f>
        <v>6.4534838043226052E-17</v>
      </c>
      <c r="EY192" s="22">
        <f t="shared" si="181"/>
        <v>14.072864931982195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-1.7053025658242404E-13</v>
      </c>
      <c r="O193" s="13">
        <f>N193*VLOOKUP('Données projet'!$B$9,Paramètres!$A$1:$I$89,3,0)*VLOOKUP('Données projet'!$B$9,Paramètres!$A$1:$I$89,5,0)</f>
        <v>-1.5429577615577727E-13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453.52760163325451</v>
      </c>
      <c r="T193" s="59">
        <f t="shared" si="142"/>
        <v>344.23959526427001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45.625942443584606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45.625942443584606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-1.1368683772161603E-13</v>
      </c>
      <c r="AJ193" s="13">
        <f>AI193*VLOOKUP('Données projet'!$B$10,Paramètres!$A$1:$I$89,3,0)*VLOOKUP('Données projet'!$B$10,Paramètres!$A$1:$I$89,5,0)</f>
        <v>-9.7543306765146564E-14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397.45670821030774</v>
      </c>
      <c r="AO193" s="59">
        <f t="shared" si="144"/>
        <v>256.77417912163997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34.777631982846124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34.777631982846124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293.20194140252903</v>
      </c>
      <c r="BJ193" s="59">
        <f t="shared" si="146"/>
        <v>280.69048279989266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9.003966948159972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9.003966948159972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-1.1368683772161603E-13</v>
      </c>
      <c r="BZ193" s="13">
        <f>BY193*VLOOKUP('Données projet'!$B$12,Paramètres!$A$1:$I$89,3,0)*VLOOKUP('Données projet'!$B$12,Paramètres!$A$1:$I$89,5,0)</f>
        <v>-9.0449248091317723E-14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271.25628946149067</v>
      </c>
      <c r="CE193" s="59">
        <f t="shared" si="148"/>
        <v>292.57799203101769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11.528306877033927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11.528306877033927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5.6843418860808015E-14</v>
      </c>
      <c r="CU193" s="17">
        <f>CT193*VLOOKUP('Données projet'!$B$13,Paramètres!$A$1:$I$89,3,0)*VLOOKUP('Données projet'!$B$13,Paramètres!$A$1:$I$89,5,0)</f>
        <v>3.1036506698001178E-14</v>
      </c>
      <c r="CV193" s="13">
        <f t="shared" si="173"/>
        <v>5.3428243983771088E-13</v>
      </c>
      <c r="CW193" s="20">
        <f t="shared" si="174"/>
        <v>9.8459716521636505E-13</v>
      </c>
      <c r="CX193" s="59">
        <f t="shared" si="122"/>
        <v>293.33333333333428</v>
      </c>
      <c r="CY193" s="59">
        <f ca="1">AVERAGE(OFFSET($CX$3,0,0,'Données projet'!$E$13+1,1))-AVERAGE(OFFSET($H$3,0,0,'Données projet'!$E$13+1,1))</f>
        <v>210.03861149060413</v>
      </c>
      <c r="CZ193" s="59">
        <f t="shared" si="150"/>
        <v>298.74602928001929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6.9002165729092875</v>
      </c>
      <c r="DG193" s="21">
        <f>EXP(-LN(2)/25)*DG192+(1-EXP(-LN(2)/25))/(LN(2)/25)*Calculateur!DB193*Calculateur!DD193*VLOOKUP('Données projet'!$B$13,Paramètres!$A$1:$I$89,3,0)*0.475*44/12</f>
        <v>1.1537352265702228</v>
      </c>
      <c r="DH193" s="21">
        <f>EXP(-LN(2)/2)*DH192+(1-EXP(-LN(2)/2))/(LN(2)/2)*DB193*DE193*VLOOKUP('Données projet'!$B$13,Paramètres!$A$1:$I$89,3,0)*0.475*44/12</f>
        <v>3.0583857835038466E-20</v>
      </c>
      <c r="DI193" s="22">
        <f t="shared" si="175"/>
        <v>8.0539517994795098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-3.4106051316484809E-13</v>
      </c>
      <c r="DP193" s="17">
        <f>DO193*VLOOKUP('Données projet'!$B$14,Paramètres!$A$1:$I$89,3,0)*VLOOKUP('Données projet'!$B$14,Paramètres!$A$1:$I$89,5,0)</f>
        <v>-2.0395418687257919E-13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402.28353929315114</v>
      </c>
      <c r="DU193" s="59">
        <f t="shared" si="152"/>
        <v>376.94419168335463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19.282658835432244</v>
      </c>
      <c r="EB193" s="21">
        <f>EXP(-LN(2)/25)*EB192+(1-EXP(-LN(2)/25))/(LN(2)/25)*Calculateur!DW193*Calculateur!DY193*VLOOKUP('Données projet'!$B$14,Paramètres!$A$1:$I$89,3,0)*0.475*44/12</f>
        <v>1.7504911461672945</v>
      </c>
      <c r="EC193" s="21">
        <f>EXP(-LN(2)/2)*EC192+(1-EXP(-LN(2)/2))/(LN(2)/2)*DW193*DZ193*VLOOKUP('Données projet'!$B$14,Paramètres!$A$1:$I$89,3,0)*0.475*44/12</f>
        <v>3.1787311239263028E-17</v>
      </c>
      <c r="ED193" s="22">
        <f t="shared" si="178"/>
        <v>21.033149981599539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>
        <f>EJ193*VLOOKUP('Données projet'!$B$15,Paramètres!$A$1:$I$89,3,0)*VLOOKUP('Données projet'!$B$15,Paramètres!$A$1:$I$89,5,0)</f>
        <v>0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273.3012268683454</v>
      </c>
      <c r="EP193" s="59">
        <f t="shared" si="154"/>
        <v>254.08208375594052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11.818553224616275</v>
      </c>
      <c r="EW193" s="21">
        <f>EXP(-LN(2)/25)*EW192+(1-EXP(-LN(2)/25))/(LN(2)/25)*Calculateur!ER193*Calculateur!ET193*VLOOKUP('Données projet'!$B$15,Paramètres!$A$1:$I$89,3,0)*0.475*44/12</f>
        <v>1.9627414489762944</v>
      </c>
      <c r="EX193" s="21">
        <f>EXP(-LN(2)/2)*EX192+(1-EXP(-LN(2)/2))/(LN(2)/2)*ER193*EU193*VLOOKUP('Données projet'!$B$15,Paramètres!$A$1:$I$89,3,0)*0.475*44/12</f>
        <v>4.5633021603140727E-17</v>
      </c>
      <c r="EY193" s="22">
        <f t="shared" si="181"/>
        <v>13.781294673592569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-1.7053025658242404E-13</v>
      </c>
      <c r="O194" s="13">
        <f>N194*VLOOKUP('Données projet'!$B$9,Paramètres!$A$1:$I$89,3,0)*VLOOKUP('Données projet'!$B$9,Paramètres!$A$1:$I$89,5,0)</f>
        <v>-1.5429577615577727E-13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453.52760163325451</v>
      </c>
      <c r="T194" s="59">
        <f t="shared" si="142"/>
        <v>344.23959526427001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44.731245541342908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44.731245541342908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-1.1368683772161603E-13</v>
      </c>
      <c r="AJ194" s="13">
        <f>AI194*VLOOKUP('Données projet'!$B$10,Paramètres!$A$1:$I$89,3,0)*VLOOKUP('Données projet'!$B$10,Paramètres!$A$1:$I$89,5,0)</f>
        <v>-9.7543306765146564E-14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397.45670821030774</v>
      </c>
      <c r="AO194" s="59">
        <f t="shared" si="144"/>
        <v>256.77417912163997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34.095663831923481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34.095663831923481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293.20194140252903</v>
      </c>
      <c r="BJ194" s="59">
        <f t="shared" si="146"/>
        <v>280.69048279989266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8.8274046481841157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8.8274046481841157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-1.1368683772161603E-13</v>
      </c>
      <c r="BZ194" s="13">
        <f>BY194*VLOOKUP('Données projet'!$B$12,Paramètres!$A$1:$I$89,3,0)*VLOOKUP('Données projet'!$B$12,Paramètres!$A$1:$I$89,5,0)</f>
        <v>-9.0449248091317723E-14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271.25628946149067</v>
      </c>
      <c r="CE194" s="59">
        <f t="shared" si="148"/>
        <v>292.57799203101769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11.302243810748177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11.302243810748177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5.6843418860808015E-14</v>
      </c>
      <c r="CU194" s="17">
        <f>CT194*VLOOKUP('Données projet'!$B$13,Paramètres!$A$1:$I$89,3,0)*VLOOKUP('Données projet'!$B$13,Paramètres!$A$1:$I$89,5,0)</f>
        <v>3.1036506698001178E-14</v>
      </c>
      <c r="CV194" s="13">
        <f t="shared" si="173"/>
        <v>5.3428243983771088E-13</v>
      </c>
      <c r="CW194" s="20">
        <f t="shared" si="174"/>
        <v>9.8459716521636505E-13</v>
      </c>
      <c r="CX194" s="59">
        <f t="shared" si="122"/>
        <v>293.33333333333428</v>
      </c>
      <c r="CY194" s="59">
        <f ca="1">AVERAGE(OFFSET($CX$3,0,0,'Données projet'!$E$13+1,1))-AVERAGE(OFFSET($H$3,0,0,'Données projet'!$E$13+1,1))</f>
        <v>210.03861149060413</v>
      </c>
      <c r="CZ194" s="59">
        <f t="shared" si="150"/>
        <v>298.74602928001929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6.7649075346310692</v>
      </c>
      <c r="DG194" s="21">
        <f>EXP(-LN(2)/25)*DG193+(1-EXP(-LN(2)/25))/(LN(2)/25)*Calculateur!DB194*Calculateur!DD194*VLOOKUP('Données projet'!$B$13,Paramètres!$A$1:$I$89,3,0)*0.475*44/12</f>
        <v>1.1221862761273613</v>
      </c>
      <c r="DH194" s="21">
        <f>EXP(-LN(2)/2)*DH193+(1-EXP(-LN(2)/2))/(LN(2)/2)*DB194*DE194*VLOOKUP('Données projet'!$B$13,Paramètres!$A$1:$I$89,3,0)*0.475*44/12</f>
        <v>2.1626053270001022E-20</v>
      </c>
      <c r="DI194" s="22">
        <f t="shared" si="175"/>
        <v>7.8870938107584303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-3.4106051316484809E-13</v>
      </c>
      <c r="DP194" s="17">
        <f>DO194*VLOOKUP('Données projet'!$B$14,Paramètres!$A$1:$I$89,3,0)*VLOOKUP('Données projet'!$B$14,Paramètres!$A$1:$I$89,5,0)</f>
        <v>-2.0395418687257919E-13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402.28353929315114</v>
      </c>
      <c r="DU194" s="59">
        <f t="shared" si="152"/>
        <v>376.94419168335463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18.904537656929978</v>
      </c>
      <c r="EB194" s="21">
        <f>EXP(-LN(2)/25)*EB193+(1-EXP(-LN(2)/25))/(LN(2)/25)*Calculateur!DW194*Calculateur!DY194*VLOOKUP('Données projet'!$B$14,Paramètres!$A$1:$I$89,3,0)*0.475*44/12</f>
        <v>1.7026238737210213</v>
      </c>
      <c r="EC194" s="21">
        <f>EXP(-LN(2)/2)*EC193+(1-EXP(-LN(2)/2))/(LN(2)/2)*DW194*DZ194*VLOOKUP('Données projet'!$B$14,Paramètres!$A$1:$I$89,3,0)*0.475*44/12</f>
        <v>2.2477023332970245E-17</v>
      </c>
      <c r="ED194" s="22">
        <f t="shared" si="178"/>
        <v>20.607161530650998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>
        <f>EJ194*VLOOKUP('Données projet'!$B$15,Paramètres!$A$1:$I$89,3,0)*VLOOKUP('Données projet'!$B$15,Paramètres!$A$1:$I$89,5,0)</f>
        <v>0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273.3012268683454</v>
      </c>
      <c r="EP194" s="59">
        <f t="shared" si="154"/>
        <v>254.08208375594052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11.586798604487226</v>
      </c>
      <c r="EW194" s="21">
        <f>EXP(-LN(2)/25)*EW193+(1-EXP(-LN(2)/25))/(LN(2)/25)*Calculateur!ER194*Calculateur!ET194*VLOOKUP('Données projet'!$B$15,Paramètres!$A$1:$I$89,3,0)*0.475*44/12</f>
        <v>1.9090701808379507</v>
      </c>
      <c r="EX194" s="21">
        <f>EXP(-LN(2)/2)*EX193+(1-EXP(-LN(2)/2))/(LN(2)/2)*ER194*EU194*VLOOKUP('Données projet'!$B$15,Paramètres!$A$1:$I$89,3,0)*0.475*44/12</f>
        <v>3.2267419021613026E-17</v>
      </c>
      <c r="EY194" s="22">
        <f t="shared" si="181"/>
        <v>13.495868785325177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-1.7053025658242404E-13</v>
      </c>
      <c r="O195" s="13">
        <f>N195*VLOOKUP('Données projet'!$B$9,Paramètres!$A$1:$I$89,3,0)*VLOOKUP('Données projet'!$B$9,Paramètres!$A$1:$I$89,5,0)</f>
        <v>-1.5429577615577727E-13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453.52760163325451</v>
      </c>
      <c r="T195" s="59">
        <f t="shared" si="142"/>
        <v>344.23959526427001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43.854093099642945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43.854093099642945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-1.1368683772161603E-13</v>
      </c>
      <c r="AJ195" s="13">
        <f>AI195*VLOOKUP('Données projet'!$B$10,Paramètres!$A$1:$I$89,3,0)*VLOOKUP('Données projet'!$B$10,Paramètres!$A$1:$I$89,5,0)</f>
        <v>-9.7543306765146564E-14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397.45670821030774</v>
      </c>
      <c r="AO195" s="59">
        <f t="shared" si="144"/>
        <v>256.77417912163997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33.427068660480934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33.427068660480934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293.20194140252903</v>
      </c>
      <c r="BJ195" s="59">
        <f t="shared" si="146"/>
        <v>280.69048279989266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8.6543046272184156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8.6543046272184156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-1.1368683772161603E-13</v>
      </c>
      <c r="BZ195" s="13">
        <f>BY195*VLOOKUP('Données projet'!$B$12,Paramètres!$A$1:$I$89,3,0)*VLOOKUP('Données projet'!$B$12,Paramètres!$A$1:$I$89,5,0)</f>
        <v>-9.0449248091317723E-14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271.25628946149067</v>
      </c>
      <c r="CE195" s="59">
        <f t="shared" si="148"/>
        <v>292.57799203101769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11.080613703307435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11.080613703307435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5.6843418860808015E-14</v>
      </c>
      <c r="CU195" s="17">
        <f>CT195*VLOOKUP('Données projet'!$B$13,Paramètres!$A$1:$I$89,3,0)*VLOOKUP('Données projet'!$B$13,Paramètres!$A$1:$I$89,5,0)</f>
        <v>3.1036506698001178E-14</v>
      </c>
      <c r="CV195" s="13">
        <f t="shared" si="173"/>
        <v>5.3428243983771088E-13</v>
      </c>
      <c r="CW195" s="20">
        <f t="shared" si="174"/>
        <v>9.8459716521636505E-13</v>
      </c>
      <c r="CX195" s="59">
        <f t="shared" si="122"/>
        <v>293.33333333333428</v>
      </c>
      <c r="CY195" s="59">
        <f ca="1">AVERAGE(OFFSET($CX$3,0,0,'Données projet'!$E$13+1,1))-AVERAGE(OFFSET($H$3,0,0,'Données projet'!$E$13+1,1))</f>
        <v>210.03861149060413</v>
      </c>
      <c r="CZ195" s="59">
        <f t="shared" si="150"/>
        <v>298.74602928001929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6.6322518240631227</v>
      </c>
      <c r="DG195" s="21">
        <f>EXP(-LN(2)/25)*DG194+(1-EXP(-LN(2)/25))/(LN(2)/25)*Calculateur!DB195*Calculateur!DD195*VLOOKUP('Données projet'!$B$13,Paramètres!$A$1:$I$89,3,0)*0.475*44/12</f>
        <v>1.0915000333934473</v>
      </c>
      <c r="DH195" s="21">
        <f>EXP(-LN(2)/2)*DH194+(1-EXP(-LN(2)/2))/(LN(2)/2)*DB195*DE195*VLOOKUP('Données projet'!$B$13,Paramètres!$A$1:$I$89,3,0)*0.475*44/12</f>
        <v>1.5291928917519233E-20</v>
      </c>
      <c r="DI195" s="22">
        <f t="shared" si="175"/>
        <v>7.7237518574565698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-3.4106051316484809E-13</v>
      </c>
      <c r="DP195" s="17">
        <f>DO195*VLOOKUP('Données projet'!$B$14,Paramètres!$A$1:$I$89,3,0)*VLOOKUP('Données projet'!$B$14,Paramètres!$A$1:$I$89,5,0)</f>
        <v>-2.0395418687257919E-13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402.28353929315114</v>
      </c>
      <c r="DU195" s="59">
        <f t="shared" si="152"/>
        <v>376.94419168335463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18.533831204106995</v>
      </c>
      <c r="EB195" s="21">
        <f>EXP(-LN(2)/25)*EB194+(1-EXP(-LN(2)/25))/(LN(2)/25)*Calculateur!DW195*Calculateur!DY195*VLOOKUP('Données projet'!$B$14,Paramètres!$A$1:$I$89,3,0)*0.475*44/12</f>
        <v>1.6560655343570219</v>
      </c>
      <c r="EC195" s="21">
        <f>EXP(-LN(2)/2)*EC194+(1-EXP(-LN(2)/2))/(LN(2)/2)*DW195*DZ195*VLOOKUP('Données projet'!$B$14,Paramètres!$A$1:$I$89,3,0)*0.475*44/12</f>
        <v>1.5893655619631514E-17</v>
      </c>
      <c r="ED195" s="22">
        <f t="shared" si="178"/>
        <v>20.189896738464018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>
        <f>EJ195*VLOOKUP('Données projet'!$B$15,Paramètres!$A$1:$I$89,3,0)*VLOOKUP('Données projet'!$B$15,Paramètres!$A$1:$I$89,5,0)</f>
        <v>0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273.3012268683454</v>
      </c>
      <c r="EP195" s="59">
        <f t="shared" si="154"/>
        <v>254.08208375594052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11.359588551102547</v>
      </c>
      <c r="EW195" s="21">
        <f>EXP(-LN(2)/25)*EW194+(1-EXP(-LN(2)/25))/(LN(2)/25)*Calculateur!ER195*Calculateur!ET195*VLOOKUP('Données projet'!$B$15,Paramètres!$A$1:$I$89,3,0)*0.475*44/12</f>
        <v>1.8568665563492994</v>
      </c>
      <c r="EX195" s="21">
        <f>EXP(-LN(2)/2)*EX194+(1-EXP(-LN(2)/2))/(LN(2)/2)*ER195*EU195*VLOOKUP('Données projet'!$B$15,Paramètres!$A$1:$I$89,3,0)*0.475*44/12</f>
        <v>2.2816510801570363E-17</v>
      </c>
      <c r="EY195" s="22">
        <f t="shared" si="181"/>
        <v>13.216455107451846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-1.7053025658242404E-13</v>
      </c>
      <c r="O196" s="13">
        <f>N196*VLOOKUP('Données projet'!$B$9,Paramètres!$A$1:$I$89,3,0)*VLOOKUP('Données projet'!$B$9,Paramètres!$A$1:$I$89,5,0)</f>
        <v>-1.5429577615577727E-13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453.52760163325451</v>
      </c>
      <c r="T196" s="59">
        <f t="shared" si="142"/>
        <v>344.23959526427001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42.994141082314556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42.994141082314556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-1.1368683772161603E-13</v>
      </c>
      <c r="AJ196" s="13">
        <f>AI196*VLOOKUP('Données projet'!$B$10,Paramètres!$A$1:$I$89,3,0)*VLOOKUP('Données projet'!$B$10,Paramètres!$A$1:$I$89,5,0)</f>
        <v>-9.7543306765146564E-14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397.45670821030774</v>
      </c>
      <c r="AO196" s="59">
        <f t="shared" si="144"/>
        <v>256.77417912163997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32.771584232547589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32.771584232547589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293.20194140252903</v>
      </c>
      <c r="BJ196" s="59">
        <f t="shared" si="146"/>
        <v>280.69048279989266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8.4845989920832654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8.4845989920832654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-1.1368683772161603E-13</v>
      </c>
      <c r="BZ196" s="13">
        <f>BY196*VLOOKUP('Données projet'!$B$12,Paramètres!$A$1:$I$89,3,0)*VLOOKUP('Données projet'!$B$12,Paramètres!$A$1:$I$89,5,0)</f>
        <v>-9.0449248091317723E-14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271.25628946149067</v>
      </c>
      <c r="CE196" s="59">
        <f t="shared" si="148"/>
        <v>292.57799203101769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10.863329627092588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10.863329627092588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5.6843418860808015E-14</v>
      </c>
      <c r="CU196" s="17">
        <f>CT196*VLOOKUP('Données projet'!$B$13,Paramètres!$A$1:$I$89,3,0)*VLOOKUP('Données projet'!$B$13,Paramètres!$A$1:$I$89,5,0)</f>
        <v>3.1036506698001178E-14</v>
      </c>
      <c r="CV196" s="13">
        <f t="shared" si="173"/>
        <v>5.3428243983771088E-13</v>
      </c>
      <c r="CW196" s="20">
        <f t="shared" si="174"/>
        <v>9.8459716521636505E-13</v>
      </c>
      <c r="CX196" s="59">
        <f t="shared" ref="CX196:CX203" si="196">CW196+(CO196+CP196)*44/12</f>
        <v>293.33333333333428</v>
      </c>
      <c r="CY196" s="59">
        <f ca="1">AVERAGE(OFFSET($CX$3,0,0,'Données projet'!$E$13+1,1))-AVERAGE(OFFSET($H$3,0,0,'Données projet'!$E$13+1,1))</f>
        <v>210.03861149060413</v>
      </c>
      <c r="CZ196" s="59">
        <f t="shared" si="150"/>
        <v>298.74602928001929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6.5021974110674199</v>
      </c>
      <c r="DG196" s="21">
        <f>EXP(-LN(2)/25)*DG195+(1-EXP(-LN(2)/25))/(LN(2)/25)*Calculateur!DB196*Calculateur!DD196*VLOOKUP('Données projet'!$B$13,Paramètres!$A$1:$I$89,3,0)*0.475*44/12</f>
        <v>1.0616529075808114</v>
      </c>
      <c r="DH196" s="21">
        <f>EXP(-LN(2)/2)*DH195+(1-EXP(-LN(2)/2))/(LN(2)/2)*DB196*DE196*VLOOKUP('Données projet'!$B$13,Paramètres!$A$1:$I$89,3,0)*0.475*44/12</f>
        <v>1.0813026635000511E-20</v>
      </c>
      <c r="DI196" s="22">
        <f t="shared" si="175"/>
        <v>7.5638503186482318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-3.4106051316484809E-13</v>
      </c>
      <c r="DP196" s="17">
        <f>DO196*VLOOKUP('Données projet'!$B$14,Paramètres!$A$1:$I$89,3,0)*VLOOKUP('Données projet'!$B$14,Paramètres!$A$1:$I$89,5,0)</f>
        <v>-2.0395418687257919E-13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402.28353929315114</v>
      </c>
      <c r="DU196" s="59">
        <f t="shared" si="152"/>
        <v>376.94419168335463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18.170394078715262</v>
      </c>
      <c r="EB196" s="21">
        <f>EXP(-LN(2)/25)*EB195+(1-EXP(-LN(2)/25))/(LN(2)/25)*Calculateur!DW196*Calculateur!DY196*VLOOKUP('Données projet'!$B$14,Paramètres!$A$1:$I$89,3,0)*0.475*44/12</f>
        <v>1.6107803352313277</v>
      </c>
      <c r="EC196" s="21">
        <f>EXP(-LN(2)/2)*EC195+(1-EXP(-LN(2)/2))/(LN(2)/2)*DW196*DZ196*VLOOKUP('Données projet'!$B$14,Paramètres!$A$1:$I$89,3,0)*0.475*44/12</f>
        <v>1.1238511666485122E-17</v>
      </c>
      <c r="ED196" s="22">
        <f t="shared" si="178"/>
        <v>19.781174413946591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>
        <f>EJ196*VLOOKUP('Données projet'!$B$15,Paramètres!$A$1:$I$89,3,0)*VLOOKUP('Données projet'!$B$15,Paramètres!$A$1:$I$89,5,0)</f>
        <v>0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273.3012268683454</v>
      </c>
      <c r="EP196" s="59">
        <f t="shared" si="154"/>
        <v>254.08208375594052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11.136833948280293</v>
      </c>
      <c r="EW196" s="21">
        <f>EXP(-LN(2)/25)*EW195+(1-EXP(-LN(2)/25))/(LN(2)/25)*Calculateur!ER196*Calculateur!ET196*VLOOKUP('Données projet'!$B$15,Paramètres!$A$1:$I$89,3,0)*0.475*44/12</f>
        <v>1.8060904427175595</v>
      </c>
      <c r="EX196" s="21">
        <f>EXP(-LN(2)/2)*EX195+(1-EXP(-LN(2)/2))/(LN(2)/2)*ER196*EU196*VLOOKUP('Données projet'!$B$15,Paramètres!$A$1:$I$89,3,0)*0.475*44/12</f>
        <v>1.6133709510806513E-17</v>
      </c>
      <c r="EY196" s="22">
        <f t="shared" si="181"/>
        <v>12.942924390997852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-1.7053025658242404E-13</v>
      </c>
      <c r="O197" s="13">
        <f>N197*VLOOKUP('Données projet'!$B$9,Paramètres!$A$1:$I$89,3,0)*VLOOKUP('Données projet'!$B$9,Paramètres!$A$1:$I$89,5,0)</f>
        <v>-1.5429577615577727E-13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453.52760163325451</v>
      </c>
      <c r="T197" s="59">
        <f t="shared" ref="T197:T203" si="204">$T$3</f>
        <v>344.23959526427001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42.151052199527037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42.151052199527037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-1.1368683772161603E-13</v>
      </c>
      <c r="AJ197" s="13">
        <f>AI197*VLOOKUP('Données projet'!$B$10,Paramètres!$A$1:$I$89,3,0)*VLOOKUP('Données projet'!$B$10,Paramètres!$A$1:$I$89,5,0)</f>
        <v>-9.7543306765146564E-14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397.45670821030774</v>
      </c>
      <c r="AO197" s="59">
        <f t="shared" ref="AO197:AO203" si="205">$AO$3</f>
        <v>256.77417912163997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32.128953454439994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32.128953454439994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293.20194140252903</v>
      </c>
      <c r="BJ197" s="59">
        <f t="shared" ref="BJ197:BJ203" si="206">$BJ$3</f>
        <v>280.69048279989266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8.3182211809428992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8.3182211809428992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-1.1368683772161603E-13</v>
      </c>
      <c r="BZ197" s="13">
        <f>BY197*VLOOKUP('Données projet'!$B$12,Paramètres!$A$1:$I$89,3,0)*VLOOKUP('Données projet'!$B$12,Paramètres!$A$1:$I$89,5,0)</f>
        <v>-9.0449248091317723E-14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271.25628946149067</v>
      </c>
      <c r="CE197" s="59">
        <f t="shared" ref="CE197:CE203" si="207">$CE$3</f>
        <v>292.57799203101769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10.650306359082114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10.650306359082114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5.6843418860808015E-14</v>
      </c>
      <c r="CU197" s="17">
        <f>CT197*VLOOKUP('Données projet'!$B$13,Paramètres!$A$1:$I$89,3,0)*VLOOKUP('Données projet'!$B$13,Paramètres!$A$1:$I$89,5,0)</f>
        <v>3.1036506698001178E-14</v>
      </c>
      <c r="CV197" s="13">
        <f t="shared" si="173"/>
        <v>5.3428243983771088E-13</v>
      </c>
      <c r="CW197" s="20">
        <f t="shared" si="174"/>
        <v>9.8459716521636505E-13</v>
      </c>
      <c r="CX197" s="59">
        <f t="shared" si="196"/>
        <v>293.33333333333428</v>
      </c>
      <c r="CY197" s="59">
        <f ca="1">AVERAGE(OFFSET($CX$3,0,0,'Données projet'!$E$13+1,1))-AVERAGE(OFFSET($H$3,0,0,'Données projet'!$E$13+1,1))</f>
        <v>210.03861149060413</v>
      </c>
      <c r="CZ197" s="59">
        <f t="shared" ref="CZ197:CZ203" si="208">$CZ$3</f>
        <v>298.74602928001929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6.3746932857852032</v>
      </c>
      <c r="DG197" s="21">
        <f>EXP(-LN(2)/25)*DG196+(1-EXP(-LN(2)/25))/(LN(2)/25)*Calculateur!DB197*Calculateur!DD197*VLOOKUP('Données projet'!$B$13,Paramètres!$A$1:$I$89,3,0)*0.475*44/12</f>
        <v>1.0326219529931142</v>
      </c>
      <c r="DH197" s="21">
        <f>EXP(-LN(2)/2)*DH196+(1-EXP(-LN(2)/2))/(LN(2)/2)*DB197*DE197*VLOOKUP('Données projet'!$B$13,Paramètres!$A$1:$I$89,3,0)*0.475*44/12</f>
        <v>7.6459644587596164E-21</v>
      </c>
      <c r="DI197" s="22">
        <f t="shared" si="175"/>
        <v>7.4073152387783177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-3.4106051316484809E-13</v>
      </c>
      <c r="DP197" s="17">
        <f>DO197*VLOOKUP('Données projet'!$B$14,Paramètres!$A$1:$I$89,3,0)*VLOOKUP('Données projet'!$B$14,Paramètres!$A$1:$I$89,5,0)</f>
        <v>-2.0395418687257919E-13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402.28353929315114</v>
      </c>
      <c r="DU197" s="59">
        <f t="shared" ref="DU197:DU203" si="209">$DU$3</f>
        <v>376.94419168335463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17.814083733677702</v>
      </c>
      <c r="EB197" s="21">
        <f>EXP(-LN(2)/25)*EB196+(1-EXP(-LN(2)/25))/(LN(2)/25)*Calculateur!DW197*Calculateur!DY197*VLOOKUP('Données projet'!$B$14,Paramètres!$A$1:$I$89,3,0)*0.475*44/12</f>
        <v>1.5667334622571707</v>
      </c>
      <c r="EC197" s="21">
        <f>EXP(-LN(2)/2)*EC196+(1-EXP(-LN(2)/2))/(LN(2)/2)*DW197*DZ197*VLOOKUP('Données projet'!$B$14,Paramètres!$A$1:$I$89,3,0)*0.475*44/12</f>
        <v>7.9468278098157571E-18</v>
      </c>
      <c r="ED197" s="22">
        <f t="shared" si="178"/>
        <v>19.380817195934874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>
        <f>EJ197*VLOOKUP('Données projet'!$B$15,Paramètres!$A$1:$I$89,3,0)*VLOOKUP('Données projet'!$B$15,Paramètres!$A$1:$I$89,5,0)</f>
        <v>0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273.3012268683454</v>
      </c>
      <c r="EP197" s="59">
        <f t="shared" ref="EP197:EP203" si="210">$EP$3</f>
        <v>254.08208375594052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10.918447427352492</v>
      </c>
      <c r="EW197" s="21">
        <f>EXP(-LN(2)/25)*EW196+(1-EXP(-LN(2)/25))/(LN(2)/25)*Calculateur!ER197*Calculateur!ET197*VLOOKUP('Données projet'!$B$15,Paramètres!$A$1:$I$89,3,0)*0.475*44/12</f>
        <v>1.7567028045832793</v>
      </c>
      <c r="EX197" s="21">
        <f>EXP(-LN(2)/2)*EX196+(1-EXP(-LN(2)/2))/(LN(2)/2)*ER197*EU197*VLOOKUP('Données projet'!$B$15,Paramètres!$A$1:$I$89,3,0)*0.475*44/12</f>
        <v>1.1408255400785182E-17</v>
      </c>
      <c r="EY197" s="22">
        <f t="shared" si="181"/>
        <v>12.675150231935771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-1.7053025658242404E-13</v>
      </c>
      <c r="O198" s="13">
        <f>N198*VLOOKUP('Données projet'!$B$9,Paramètres!$A$1:$I$89,3,0)*VLOOKUP('Données projet'!$B$9,Paramètres!$A$1:$I$89,5,0)</f>
        <v>-1.5429577615577727E-13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453.52760163325451</v>
      </c>
      <c r="T198" s="59">
        <f t="shared" si="204"/>
        <v>344.23959526427001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41.324495775497539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41.324495775497539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-1.1368683772161603E-13</v>
      </c>
      <c r="AJ198" s="13">
        <f>AI198*VLOOKUP('Données projet'!$B$10,Paramètres!$A$1:$I$89,3,0)*VLOOKUP('Données projet'!$B$10,Paramètres!$A$1:$I$89,5,0)</f>
        <v>-9.7543306765146564E-14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397.45670821030774</v>
      </c>
      <c r="AO198" s="59">
        <f t="shared" si="205"/>
        <v>256.77417912163997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31.498924273925017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31.498924273925017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293.20194140252903</v>
      </c>
      <c r="BJ198" s="59">
        <f t="shared" si="206"/>
        <v>280.69048279989266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8.1551059371985524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8.1551059371985524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-1.1368683772161603E-13</v>
      </c>
      <c r="BZ198" s="13">
        <f>BY198*VLOOKUP('Données projet'!$B$12,Paramètres!$A$1:$I$89,3,0)*VLOOKUP('Données projet'!$B$12,Paramètres!$A$1:$I$89,5,0)</f>
        <v>-9.0449248091317723E-14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271.25628946149067</v>
      </c>
      <c r="CE198" s="59">
        <f t="shared" si="207"/>
        <v>292.57799203101769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10.441460347425961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10.441460347425961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5.6843418860808015E-14</v>
      </c>
      <c r="CU198" s="17">
        <f>CT198*VLOOKUP('Données projet'!$B$13,Paramètres!$A$1:$I$89,3,0)*VLOOKUP('Données projet'!$B$13,Paramètres!$A$1:$I$89,5,0)</f>
        <v>3.1036506698001178E-14</v>
      </c>
      <c r="CV198" s="13">
        <f t="shared" si="173"/>
        <v>5.3428243983771088E-13</v>
      </c>
      <c r="CW198" s="20">
        <f t="shared" si="174"/>
        <v>9.8459716521636505E-13</v>
      </c>
      <c r="CX198" s="59">
        <f t="shared" si="196"/>
        <v>293.33333333333428</v>
      </c>
      <c r="CY198" s="59">
        <f ca="1">AVERAGE(OFFSET($CX$3,0,0,'Données projet'!$E$13+1,1))-AVERAGE(OFFSET($H$3,0,0,'Données projet'!$E$13+1,1))</f>
        <v>210.03861149060413</v>
      </c>
      <c r="CZ198" s="59">
        <f t="shared" si="208"/>
        <v>298.74602928001929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6.2496894386299342</v>
      </c>
      <c r="DG198" s="21">
        <f>EXP(-LN(2)/25)*DG197+(1-EXP(-LN(2)/25))/(LN(2)/25)*Calculateur!DB198*Calculateur!DD198*VLOOKUP('Données projet'!$B$13,Paramètres!$A$1:$I$89,3,0)*0.475*44/12</f>
        <v>1.0043848513852891</v>
      </c>
      <c r="DH198" s="21">
        <f>EXP(-LN(2)/2)*DH197+(1-EXP(-LN(2)/2))/(LN(2)/2)*DB198*DE198*VLOOKUP('Données projet'!$B$13,Paramètres!$A$1:$I$89,3,0)*0.475*44/12</f>
        <v>5.4065133175002554E-21</v>
      </c>
      <c r="DI198" s="22">
        <f t="shared" si="175"/>
        <v>7.2540742900152235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-3.4106051316484809E-13</v>
      </c>
      <c r="DP198" s="17">
        <f>DO198*VLOOKUP('Données projet'!$B$14,Paramètres!$A$1:$I$89,3,0)*VLOOKUP('Données projet'!$B$14,Paramètres!$A$1:$I$89,5,0)</f>
        <v>-2.0395418687257919E-13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402.28353929315114</v>
      </c>
      <c r="DU198" s="59">
        <f t="shared" si="209"/>
        <v>376.94419168335463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17.464760417178478</v>
      </c>
      <c r="EB198" s="21">
        <f>EXP(-LN(2)/25)*EB197+(1-EXP(-LN(2)/25))/(LN(2)/25)*Calculateur!DW198*Calculateur!DY198*VLOOKUP('Données projet'!$B$14,Paramètres!$A$1:$I$89,3,0)*0.475*44/12</f>
        <v>1.5238910533408163</v>
      </c>
      <c r="EC198" s="21">
        <f>EXP(-LN(2)/2)*EC197+(1-EXP(-LN(2)/2))/(LN(2)/2)*DW198*DZ198*VLOOKUP('Données projet'!$B$14,Paramètres!$A$1:$I$89,3,0)*0.475*44/12</f>
        <v>5.6192558332425612E-18</v>
      </c>
      <c r="ED198" s="22">
        <f t="shared" si="178"/>
        <v>18.988651470519294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>
        <f>EJ198*VLOOKUP('Données projet'!$B$15,Paramètres!$A$1:$I$89,3,0)*VLOOKUP('Données projet'!$B$15,Paramètres!$A$1:$I$89,5,0)</f>
        <v>0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273.3012268683454</v>
      </c>
      <c r="EP198" s="59">
        <f t="shared" si="210"/>
        <v>254.08208375594052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10.704343332897459</v>
      </c>
      <c r="EW198" s="21">
        <f>EXP(-LN(2)/25)*EW197+(1-EXP(-LN(2)/25))/(LN(2)/25)*Calculateur!ER198*Calculateur!ET198*VLOOKUP('Données projet'!$B$15,Paramètres!$A$1:$I$89,3,0)*0.475*44/12</f>
        <v>1.708665674010964</v>
      </c>
      <c r="EX198" s="21">
        <f>EXP(-LN(2)/2)*EX197+(1-EXP(-LN(2)/2))/(LN(2)/2)*ER198*EU198*VLOOKUP('Données projet'!$B$15,Paramètres!$A$1:$I$89,3,0)*0.475*44/12</f>
        <v>8.0668547554032565E-18</v>
      </c>
      <c r="EY198" s="22">
        <f t="shared" si="181"/>
        <v>12.413009006908423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-1.7053025658242404E-13</v>
      </c>
      <c r="O199" s="13">
        <f>N199*VLOOKUP('Données projet'!$B$9,Paramètres!$A$1:$I$89,3,0)*VLOOKUP('Données projet'!$B$9,Paramètres!$A$1:$I$89,5,0)</f>
        <v>-1.5429577615577727E-13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453.52760163325451</v>
      </c>
      <c r="T199" s="59">
        <f t="shared" si="204"/>
        <v>344.23959526427001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40.514147618793622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40.514147618793622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-1.1368683772161603E-13</v>
      </c>
      <c r="AJ199" s="13">
        <f>AI199*VLOOKUP('Données projet'!$B$10,Paramètres!$A$1:$I$89,3,0)*VLOOKUP('Données projet'!$B$10,Paramètres!$A$1:$I$89,5,0)</f>
        <v>-9.7543306765146564E-14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397.45670821030774</v>
      </c>
      <c r="AO199" s="59">
        <f t="shared" si="205"/>
        <v>256.77417912163997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30.881249581360084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30.881249581360084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293.20194140252903</v>
      </c>
      <c r="BJ199" s="59">
        <f t="shared" si="206"/>
        <v>280.69048279989266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7.9951892838935565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7.9951892838935565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-1.1368683772161603E-13</v>
      </c>
      <c r="BZ199" s="13">
        <f>BY199*VLOOKUP('Données projet'!$B$12,Paramètres!$A$1:$I$89,3,0)*VLOOKUP('Données projet'!$B$12,Paramètres!$A$1:$I$89,5,0)</f>
        <v>-9.0449248091317723E-14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271.25628946149067</v>
      </c>
      <c r="CE199" s="59">
        <f t="shared" si="207"/>
        <v>292.57799203101769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10.236709678674897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10.236709678674897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5.6843418860808015E-14</v>
      </c>
      <c r="CU199" s="17">
        <f>CT199*VLOOKUP('Données projet'!$B$13,Paramètres!$A$1:$I$89,3,0)*VLOOKUP('Données projet'!$B$13,Paramètres!$A$1:$I$89,5,0)</f>
        <v>3.1036506698001178E-14</v>
      </c>
      <c r="CV199" s="13">
        <f t="shared" si="173"/>
        <v>5.3428243983771088E-13</v>
      </c>
      <c r="CW199" s="20">
        <f t="shared" si="174"/>
        <v>9.8459716521636505E-13</v>
      </c>
      <c r="CX199" s="59">
        <f t="shared" si="196"/>
        <v>293.33333333333428</v>
      </c>
      <c r="CY199" s="59">
        <f ca="1">AVERAGE(OFFSET($CX$3,0,0,'Données projet'!$E$13+1,1))-AVERAGE(OFFSET($H$3,0,0,'Données projet'!$E$13+1,1))</f>
        <v>210.03861149060413</v>
      </c>
      <c r="CZ199" s="59">
        <f t="shared" si="208"/>
        <v>298.74602928001929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6.1271368406725619</v>
      </c>
      <c r="DG199" s="21">
        <f>EXP(-LN(2)/25)*DG198+(1-EXP(-LN(2)/25))/(LN(2)/25)*Calculateur!DB199*Calculateur!DD199*VLOOKUP('Données projet'!$B$13,Paramètres!$A$1:$I$89,3,0)*0.475*44/12</f>
        <v>0.97691989480585462</v>
      </c>
      <c r="DH199" s="21">
        <f>EXP(-LN(2)/2)*DH198+(1-EXP(-LN(2)/2))/(LN(2)/2)*DB199*DE199*VLOOKUP('Données projet'!$B$13,Paramètres!$A$1:$I$89,3,0)*0.475*44/12</f>
        <v>3.8229822293798082E-21</v>
      </c>
      <c r="DI199" s="22">
        <f t="shared" si="175"/>
        <v>7.1040567354784168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-3.4106051316484809E-13</v>
      </c>
      <c r="DP199" s="17">
        <f>DO199*VLOOKUP('Données projet'!$B$14,Paramètres!$A$1:$I$89,3,0)*VLOOKUP('Données projet'!$B$14,Paramètres!$A$1:$I$89,5,0)</f>
        <v>-2.0395418687257919E-13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402.28353929315114</v>
      </c>
      <c r="DU199" s="59">
        <f t="shared" si="209"/>
        <v>376.94419168335463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17.12228711784962</v>
      </c>
      <c r="EB199" s="21">
        <f>EXP(-LN(2)/25)*EB198+(1-EXP(-LN(2)/25))/(LN(2)/25)*Calculateur!DW199*Calculateur!DY199*VLOOKUP('Données projet'!$B$14,Paramètres!$A$1:$I$89,3,0)*0.475*44/12</f>
        <v>1.4822201723492641</v>
      </c>
      <c r="EC199" s="21">
        <f>EXP(-LN(2)/2)*EC198+(1-EXP(-LN(2)/2))/(LN(2)/2)*DW199*DZ199*VLOOKUP('Données projet'!$B$14,Paramètres!$A$1:$I$89,3,0)*0.475*44/12</f>
        <v>3.9734139049078785E-18</v>
      </c>
      <c r="ED199" s="22">
        <f t="shared" si="178"/>
        <v>18.604507290198885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>
        <f>EJ199*VLOOKUP('Données projet'!$B$15,Paramètres!$A$1:$I$89,3,0)*VLOOKUP('Données projet'!$B$15,Paramètres!$A$1:$I$89,5,0)</f>
        <v>0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273.3012268683454</v>
      </c>
      <c r="EP199" s="59">
        <f t="shared" si="210"/>
        <v>254.08208375594052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10.494437689144087</v>
      </c>
      <c r="EW199" s="21">
        <f>EXP(-LN(2)/25)*EW198+(1-EXP(-LN(2)/25))/(LN(2)/25)*Calculateur!ER199*Calculateur!ET199*VLOOKUP('Données projet'!$B$15,Paramètres!$A$1:$I$89,3,0)*0.475*44/12</f>
        <v>1.6619421213003116</v>
      </c>
      <c r="EX199" s="21">
        <f>EXP(-LN(2)/2)*EX198+(1-EXP(-LN(2)/2))/(LN(2)/2)*ER199*EU199*VLOOKUP('Données projet'!$B$15,Paramètres!$A$1:$I$89,3,0)*0.475*44/12</f>
        <v>5.7041277003925909E-18</v>
      </c>
      <c r="EY199" s="22">
        <f t="shared" si="181"/>
        <v>12.156379810444399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-1.7053025658242404E-13</v>
      </c>
      <c r="O200" s="13">
        <f>N200*VLOOKUP('Données projet'!$B$9,Paramètres!$A$1:$I$89,3,0)*VLOOKUP('Données projet'!$B$9,Paramètres!$A$1:$I$89,5,0)</f>
        <v>-1.5429577615577727E-13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453.52760163325451</v>
      </c>
      <c r="T200" s="59">
        <f t="shared" si="204"/>
        <v>344.23959526427001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39.719689895179101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39.719689895179101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-1.1368683772161603E-13</v>
      </c>
      <c r="AJ200" s="13">
        <f>AI200*VLOOKUP('Données projet'!$B$10,Paramètres!$A$1:$I$89,3,0)*VLOOKUP('Données projet'!$B$10,Paramètres!$A$1:$I$89,5,0)</f>
        <v>-9.7543306765146564E-14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397.45670821030774</v>
      </c>
      <c r="AO200" s="59">
        <f t="shared" si="205"/>
        <v>256.77417912163997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30.275687112771987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30.275687112771987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293.20194140252903</v>
      </c>
      <c r="BJ200" s="59">
        <f t="shared" si="206"/>
        <v>280.69048279989266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7.8384084986203444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7.8384084986203444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-1.1368683772161603E-13</v>
      </c>
      <c r="BZ200" s="13">
        <f>BY200*VLOOKUP('Données projet'!$B$12,Paramètres!$A$1:$I$89,3,0)*VLOOKUP('Données projet'!$B$12,Paramètres!$A$1:$I$89,5,0)</f>
        <v>-9.0449248091317723E-14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271.25628946149067</v>
      </c>
      <c r="CE200" s="59">
        <f t="shared" si="207"/>
        <v>292.57799203101769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10.035974045652464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10.035974045652464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5.6843418860808015E-14</v>
      </c>
      <c r="CU200" s="17">
        <f>CT200*VLOOKUP('Données projet'!$B$13,Paramètres!$A$1:$I$89,3,0)*VLOOKUP('Données projet'!$B$13,Paramètres!$A$1:$I$89,5,0)</f>
        <v>3.1036506698001178E-14</v>
      </c>
      <c r="CV200" s="13">
        <f t="shared" si="173"/>
        <v>5.3428243983771088E-13</v>
      </c>
      <c r="CW200" s="20">
        <f t="shared" si="174"/>
        <v>9.8459716521636505E-13</v>
      </c>
      <c r="CX200" s="59">
        <f t="shared" si="196"/>
        <v>293.33333333333428</v>
      </c>
      <c r="CY200" s="59">
        <f ca="1">AVERAGE(OFFSET($CX$3,0,0,'Données projet'!$E$13+1,1))-AVERAGE(OFFSET($H$3,0,0,'Données projet'!$E$13+1,1))</f>
        <v>210.03861149060413</v>
      </c>
      <c r="CZ200" s="59">
        <f t="shared" si="208"/>
        <v>298.74602928001929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6.0069874244114292</v>
      </c>
      <c r="DG200" s="21">
        <f>EXP(-LN(2)/25)*DG199+(1-EXP(-LN(2)/25))/(LN(2)/25)*Calculateur!DB200*Calculateur!DD200*VLOOKUP('Données projet'!$B$13,Paramètres!$A$1:$I$89,3,0)*0.475*44/12</f>
        <v>0.95020596890840403</v>
      </c>
      <c r="DH200" s="21">
        <f>EXP(-LN(2)/2)*DH199+(1-EXP(-LN(2)/2))/(LN(2)/2)*DB200*DE200*VLOOKUP('Données projet'!$B$13,Paramètres!$A$1:$I$89,3,0)*0.475*44/12</f>
        <v>2.7032566587501277E-21</v>
      </c>
      <c r="DI200" s="22">
        <f t="shared" si="175"/>
        <v>6.9571933933198329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-3.4106051316484809E-13</v>
      </c>
      <c r="DP200" s="17">
        <f>DO200*VLOOKUP('Données projet'!$B$14,Paramètres!$A$1:$I$89,3,0)*VLOOKUP('Données projet'!$B$14,Paramètres!$A$1:$I$89,5,0)</f>
        <v>-2.0395418687257919E-13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402.28353929315114</v>
      </c>
      <c r="DU200" s="59">
        <f t="shared" si="209"/>
        <v>376.94419168335463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16.786529511032516</v>
      </c>
      <c r="EB200" s="21">
        <f>EXP(-LN(2)/25)*EB199+(1-EXP(-LN(2)/25))/(LN(2)/25)*Calculateur!DW200*Calculateur!DY200*VLOOKUP('Données projet'!$B$14,Paramètres!$A$1:$I$89,3,0)*0.475*44/12</f>
        <v>1.4416887837898023</v>
      </c>
      <c r="EC200" s="21">
        <f>EXP(-LN(2)/2)*EC199+(1-EXP(-LN(2)/2))/(LN(2)/2)*DW200*DZ200*VLOOKUP('Données projet'!$B$14,Paramètres!$A$1:$I$89,3,0)*0.475*44/12</f>
        <v>2.8096279166212806E-18</v>
      </c>
      <c r="ED200" s="22">
        <f t="shared" si="178"/>
        <v>18.228218294822319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>
        <f>EJ200*VLOOKUP('Données projet'!$B$15,Paramètres!$A$1:$I$89,3,0)*VLOOKUP('Données projet'!$B$15,Paramètres!$A$1:$I$89,5,0)</f>
        <v>0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273.3012268683454</v>
      </c>
      <c r="EP200" s="59">
        <f t="shared" si="210"/>
        <v>254.08208375594052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10.288648167034918</v>
      </c>
      <c r="EW200" s="21">
        <f>EXP(-LN(2)/25)*EW199+(1-EXP(-LN(2)/25))/(LN(2)/25)*Calculateur!ER200*Calculateur!ET200*VLOOKUP('Données projet'!$B$15,Paramètres!$A$1:$I$89,3,0)*0.475*44/12</f>
        <v>1.6164962265956169</v>
      </c>
      <c r="EX200" s="21">
        <f>EXP(-LN(2)/2)*EX199+(1-EXP(-LN(2)/2))/(LN(2)/2)*ER200*EU200*VLOOKUP('Données projet'!$B$15,Paramètres!$A$1:$I$89,3,0)*0.475*44/12</f>
        <v>4.0334273777016282E-18</v>
      </c>
      <c r="EY200" s="22">
        <f t="shared" si="181"/>
        <v>11.905144393630534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-1.7053025658242404E-13</v>
      </c>
      <c r="O201" s="13">
        <f>N201*VLOOKUP('Données projet'!$B$9,Paramètres!$A$1:$I$89,3,0)*VLOOKUP('Données projet'!$B$9,Paramètres!$A$1:$I$89,5,0)</f>
        <v>-1.5429577615577727E-13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453.52760163325451</v>
      </c>
      <c r="T201" s="59">
        <f t="shared" si="204"/>
        <v>344.23959526427001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38.940811002953296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38.940811002953296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-1.1368683772161603E-13</v>
      </c>
      <c r="AJ201" s="13">
        <f>AI201*VLOOKUP('Données projet'!$B$10,Paramètres!$A$1:$I$89,3,0)*VLOOKUP('Données projet'!$B$10,Paramètres!$A$1:$I$89,5,0)</f>
        <v>-9.7543306765146564E-14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397.45670821030774</v>
      </c>
      <c r="AO201" s="59">
        <f t="shared" si="205"/>
        <v>256.77417912163997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29.681999354836268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29.681999354836268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293.20194140252903</v>
      </c>
      <c r="BJ201" s="59">
        <f t="shared" si="206"/>
        <v>280.69048279989266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7.6847020889195035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7.6847020889195035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-1.1368683772161603E-13</v>
      </c>
      <c r="BZ201" s="13">
        <f>BY201*VLOOKUP('Données projet'!$B$12,Paramètres!$A$1:$I$89,3,0)*VLOOKUP('Données projet'!$B$12,Paramètres!$A$1:$I$89,5,0)</f>
        <v>-9.0449248091317723E-14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271.25628946149067</v>
      </c>
      <c r="CE201" s="59">
        <f t="shared" si="207"/>
        <v>292.57799203101769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9.8391747159569558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9.8391747159569558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5.6843418860808015E-14</v>
      </c>
      <c r="CU201" s="17">
        <f>CT201*VLOOKUP('Données projet'!$B$13,Paramètres!$A$1:$I$89,3,0)*VLOOKUP('Données projet'!$B$13,Paramètres!$A$1:$I$89,5,0)</f>
        <v>3.1036506698001178E-14</v>
      </c>
      <c r="CV201" s="13">
        <f t="shared" si="173"/>
        <v>5.3428243983771088E-13</v>
      </c>
      <c r="CW201" s="20">
        <f t="shared" si="174"/>
        <v>9.8459716521636505E-13</v>
      </c>
      <c r="CX201" s="59">
        <f t="shared" si="196"/>
        <v>293.33333333333428</v>
      </c>
      <c r="CY201" s="59">
        <f ca="1">AVERAGE(OFFSET($CX$3,0,0,'Données projet'!$E$13+1,1))-AVERAGE(OFFSET($H$3,0,0,'Données projet'!$E$13+1,1))</f>
        <v>210.03861149060413</v>
      </c>
      <c r="CZ201" s="59">
        <f t="shared" si="208"/>
        <v>298.74602928001929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5.8891940649192698</v>
      </c>
      <c r="DG201" s="21">
        <f>EXP(-LN(2)/25)*DG200+(1-EXP(-LN(2)/25))/(LN(2)/25)*Calculateur!DB201*Calculateur!DD201*VLOOKUP('Données projet'!$B$13,Paramètres!$A$1:$I$89,3,0)*0.475*44/12</f>
        <v>0.92422253671944354</v>
      </c>
      <c r="DH201" s="21">
        <f>EXP(-LN(2)/2)*DH200+(1-EXP(-LN(2)/2))/(LN(2)/2)*DB201*DE201*VLOOKUP('Données projet'!$B$13,Paramètres!$A$1:$I$89,3,0)*0.475*44/12</f>
        <v>1.9114911146899041E-21</v>
      </c>
      <c r="DI201" s="22">
        <f t="shared" si="175"/>
        <v>6.8134166016387132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-3.4106051316484809E-13</v>
      </c>
      <c r="DP201" s="17">
        <f>DO201*VLOOKUP('Données projet'!$B$14,Paramètres!$A$1:$I$89,3,0)*VLOOKUP('Données projet'!$B$14,Paramètres!$A$1:$I$89,5,0)</f>
        <v>-2.0395418687257919E-13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402.28353929315114</v>
      </c>
      <c r="DU201" s="59">
        <f t="shared" si="209"/>
        <v>376.94419168335463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16.457355906093174</v>
      </c>
      <c r="EB201" s="21">
        <f>EXP(-LN(2)/25)*EB200+(1-EXP(-LN(2)/25))/(LN(2)/25)*Calculateur!DW201*Calculateur!DY201*VLOOKUP('Données projet'!$B$14,Paramètres!$A$1:$I$89,3,0)*0.475*44/12</f>
        <v>1.4022657281819519</v>
      </c>
      <c r="EC201" s="21">
        <f>EXP(-LN(2)/2)*EC200+(1-EXP(-LN(2)/2))/(LN(2)/2)*DW201*DZ201*VLOOKUP('Données projet'!$B$14,Paramètres!$A$1:$I$89,3,0)*0.475*44/12</f>
        <v>1.9867069524539393E-18</v>
      </c>
      <c r="ED201" s="22">
        <f t="shared" si="178"/>
        <v>17.859621634275126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>
        <f>EJ201*VLOOKUP('Données projet'!$B$15,Paramètres!$A$1:$I$89,3,0)*VLOOKUP('Données projet'!$B$15,Paramètres!$A$1:$I$89,5,0)</f>
        <v>0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273.3012268683454</v>
      </c>
      <c r="EP201" s="59">
        <f t="shared" si="210"/>
        <v>254.08208375594052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10.086894051935095</v>
      </c>
      <c r="EW201" s="21">
        <f>EXP(-LN(2)/25)*EW200+(1-EXP(-LN(2)/25))/(LN(2)/25)*Calculateur!ER201*Calculateur!ET201*VLOOKUP('Données projet'!$B$15,Paramètres!$A$1:$I$89,3,0)*0.475*44/12</f>
        <v>1.5722930522715177</v>
      </c>
      <c r="EX201" s="21">
        <f>EXP(-LN(2)/2)*EX200+(1-EXP(-LN(2)/2))/(LN(2)/2)*ER201*EU201*VLOOKUP('Données projet'!$B$15,Paramètres!$A$1:$I$89,3,0)*0.475*44/12</f>
        <v>2.8520638501962954E-18</v>
      </c>
      <c r="EY201" s="22">
        <f t="shared" si="181"/>
        <v>11.659187104206612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-1.7053025658242404E-13</v>
      </c>
      <c r="O202" s="13">
        <f>N202*VLOOKUP('Données projet'!$B$9,Paramètres!$A$1:$I$89,3,0)*VLOOKUP('Données projet'!$B$9,Paramètres!$A$1:$I$89,5,0)</f>
        <v>-1.5429577615577727E-13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453.52760163325451</v>
      </c>
      <c r="T202" s="59">
        <f t="shared" si="204"/>
        <v>344.23959526427001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38.177205450734824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38.177205450734824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-1.1368683772161603E-13</v>
      </c>
      <c r="AJ202" s="13">
        <f>AI202*VLOOKUP('Données projet'!$B$10,Paramètres!$A$1:$I$89,3,0)*VLOOKUP('Données projet'!$B$10,Paramètres!$A$1:$I$89,5,0)</f>
        <v>-9.7543306765146564E-14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397.45670821030774</v>
      </c>
      <c r="AO202" s="59">
        <f t="shared" si="205"/>
        <v>256.77417912163997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29.099953451719891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29.099953451719891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293.20194140252903</v>
      </c>
      <c r="BJ202" s="59">
        <f t="shared" si="206"/>
        <v>280.69048279989266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7.5340097681612432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7.5340097681612432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-1.1368683772161603E-13</v>
      </c>
      <c r="BZ202" s="13">
        <f>BY202*VLOOKUP('Données projet'!$B$12,Paramètres!$A$1:$I$89,3,0)*VLOOKUP('Données projet'!$B$12,Paramètres!$A$1:$I$89,5,0)</f>
        <v>-9.0449248091317723E-14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271.25628946149067</v>
      </c>
      <c r="CE202" s="59">
        <f t="shared" si="207"/>
        <v>292.57799203101769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9.6462345010810377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9.6462345010810377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5.6843418860808015E-14</v>
      </c>
      <c r="CU202" s="17">
        <f>CT202*VLOOKUP('Données projet'!$B$13,Paramètres!$A$1:$I$89,3,0)*VLOOKUP('Données projet'!$B$13,Paramètres!$A$1:$I$89,5,0)</f>
        <v>3.1036506698001178E-14</v>
      </c>
      <c r="CV202" s="13">
        <f t="shared" si="173"/>
        <v>5.3428243983771088E-13</v>
      </c>
      <c r="CW202" s="20">
        <f t="shared" si="174"/>
        <v>9.8459716521636505E-13</v>
      </c>
      <c r="CX202" s="59">
        <f t="shared" si="196"/>
        <v>293.33333333333428</v>
      </c>
      <c r="CY202" s="59">
        <f ca="1">AVERAGE(OFFSET($CX$3,0,0,'Données projet'!$E$13+1,1))-AVERAGE(OFFSET($H$3,0,0,'Données projet'!$E$13+1,1))</f>
        <v>210.03861149060413</v>
      </c>
      <c r="CZ202" s="59">
        <f t="shared" si="208"/>
        <v>298.74602928001929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5.7737105613598967</v>
      </c>
      <c r="DG202" s="21">
        <f>EXP(-LN(2)/25)*DG201+(1-EXP(-LN(2)/25))/(LN(2)/25)*Calculateur!DB202*Calculateur!DD202*VLOOKUP('Données projet'!$B$13,Paramètres!$A$1:$I$89,3,0)*0.475*44/12</f>
        <v>0.89894962285009949</v>
      </c>
      <c r="DH202" s="21">
        <f>EXP(-LN(2)/2)*DH201+(1-EXP(-LN(2)/2))/(LN(2)/2)*DB202*DE202*VLOOKUP('Données projet'!$B$13,Paramètres!$A$1:$I$89,3,0)*0.475*44/12</f>
        <v>1.3516283293750638E-21</v>
      </c>
      <c r="DI202" s="22">
        <f t="shared" si="175"/>
        <v>6.6726601842099962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-3.4106051316484809E-13</v>
      </c>
      <c r="DP202" s="17">
        <f>DO202*VLOOKUP('Données projet'!$B$14,Paramètres!$A$1:$I$89,3,0)*VLOOKUP('Données projet'!$B$14,Paramètres!$A$1:$I$89,5,0)</f>
        <v>-2.0395418687257919E-13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402.28353929315114</v>
      </c>
      <c r="DU202" s="59">
        <f t="shared" si="209"/>
        <v>376.94419168335463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16.134637194770619</v>
      </c>
      <c r="EB202" s="21">
        <f>EXP(-LN(2)/25)*EB201+(1-EXP(-LN(2)/25))/(LN(2)/25)*Calculateur!DW202*Calculateur!DY202*VLOOKUP('Données projet'!$B$14,Paramètres!$A$1:$I$89,3,0)*0.475*44/12</f>
        <v>1.3639206981028666</v>
      </c>
      <c r="EC202" s="21">
        <f>EXP(-LN(2)/2)*EC201+(1-EXP(-LN(2)/2))/(LN(2)/2)*DW202*DZ202*VLOOKUP('Données projet'!$B$14,Paramètres!$A$1:$I$89,3,0)*0.475*44/12</f>
        <v>1.4048139583106403E-18</v>
      </c>
      <c r="ED202" s="22">
        <f t="shared" si="178"/>
        <v>17.498557892873485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>
        <f>EJ202*VLOOKUP('Données projet'!$B$15,Paramètres!$A$1:$I$89,3,0)*VLOOKUP('Données projet'!$B$15,Paramètres!$A$1:$I$89,5,0)</f>
        <v>0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273.3012268683454</v>
      </c>
      <c r="EP202" s="59">
        <f t="shared" si="210"/>
        <v>254.08208375594052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9.8890962119745218</v>
      </c>
      <c r="EW202" s="21">
        <f>EXP(-LN(2)/25)*EW201+(1-EXP(-LN(2)/25))/(LN(2)/25)*Calculateur!ER202*Calculateur!ET202*VLOOKUP('Données projet'!$B$15,Paramètres!$A$1:$I$89,3,0)*0.475*44/12</f>
        <v>1.5292986160738549</v>
      </c>
      <c r="EX202" s="21">
        <f>EXP(-LN(2)/2)*EX201+(1-EXP(-LN(2)/2))/(LN(2)/2)*ER202*EU202*VLOOKUP('Données projet'!$B$15,Paramètres!$A$1:$I$89,3,0)*0.475*44/12</f>
        <v>2.0167136888508141E-18</v>
      </c>
      <c r="EY202" s="22">
        <f t="shared" si="181"/>
        <v>11.418394828048378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6" thickBot="1" x14ac:dyDescent="0.2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-1.7053025658242404E-13</v>
      </c>
      <c r="O203" s="13">
        <f>N203*VLOOKUP('Données projet'!$B$9,Paramètres!$A$1:$I$89,3,0)*VLOOKUP('Données projet'!$B$9,Paramètres!$A$1:$I$89,5,0)</f>
        <v>-1.5429577615577727E-13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453.52760163325451</v>
      </c>
      <c r="T203" s="59">
        <f t="shared" si="204"/>
        <v>344.23959526427001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37.428573737641955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37.428573737641955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-1.1368683772161603E-13</v>
      </c>
      <c r="AJ203" s="13">
        <f>AI203*VLOOKUP('Données projet'!$B$10,Paramètres!$A$1:$I$89,3,0)*VLOOKUP('Données projet'!$B$10,Paramètres!$A$1:$I$89,5,0)</f>
        <v>-9.7543306765146564E-14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397.45670821030774</v>
      </c>
      <c r="AO203" s="59">
        <f t="shared" si="205"/>
        <v>256.77417912163997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28.529321113750679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28.529321113750679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293.20194140252903</v>
      </c>
      <c r="BJ203" s="59">
        <f t="shared" si="206"/>
        <v>280.69048279989266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7.3862724318998128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7.3862724318998128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-1.1368683772161603E-13</v>
      </c>
      <c r="BZ203" s="13">
        <f>BY203*VLOOKUP('Données projet'!$B$12,Paramètres!$A$1:$I$89,3,0)*VLOOKUP('Données projet'!$B$12,Paramètres!$A$1:$I$89,5,0)</f>
        <v>-9.0449248091317723E-14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271.25628946149067</v>
      </c>
      <c r="CE203" s="59">
        <f t="shared" si="207"/>
        <v>292.57799203101769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9.4570777261369248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9.4570777261369248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5.6843418860808015E-14</v>
      </c>
      <c r="CU203" s="17">
        <f>CT203*VLOOKUP('Données projet'!$B$13,Paramètres!$A$1:$I$89,3,0)*VLOOKUP('Données projet'!$B$13,Paramètres!$A$1:$I$89,5,0)</f>
        <v>3.1036506698001178E-14</v>
      </c>
      <c r="CV203" s="13">
        <f t="shared" si="173"/>
        <v>5.3428243983771088E-13</v>
      </c>
      <c r="CW203" s="20">
        <f t="shared" si="174"/>
        <v>9.8459716521636505E-13</v>
      </c>
      <c r="CX203" s="59">
        <f t="shared" si="196"/>
        <v>293.33333333333428</v>
      </c>
      <c r="CY203" s="59">
        <f ca="1">AVERAGE(OFFSET($CX$3,0,0,'Données projet'!$E$13+1,1))-AVERAGE(OFFSET($H$3,0,0,'Données projet'!$E$13+1,1))</f>
        <v>210.03861149060413</v>
      </c>
      <c r="CZ203" s="59">
        <f t="shared" si="208"/>
        <v>298.74602928001929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5.6604916188673409</v>
      </c>
      <c r="DG203" s="21">
        <f>EXP(-LN(2)/25)*DG202+(1-EXP(-LN(2)/25))/(LN(2)/25)*Calculateur!DB203*Calculateur!DD203*VLOOKUP('Données projet'!$B$13,Paramètres!$A$1:$I$89,3,0)*0.475*44/12</f>
        <v>0.87436779813955745</v>
      </c>
      <c r="DH203" s="21">
        <f>EXP(-LN(2)/2)*DH202+(1-EXP(-LN(2)/2))/(LN(2)/2)*DB203*DE203*VLOOKUP('Données projet'!$B$13,Paramètres!$A$1:$I$89,3,0)*0.475*44/12</f>
        <v>9.5574555734495205E-22</v>
      </c>
      <c r="DI203" s="22">
        <f t="shared" si="175"/>
        <v>6.5348594170068983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-3.4106051316484809E-13</v>
      </c>
      <c r="DP203" s="17">
        <f>DO203*VLOOKUP('Données projet'!$B$14,Paramètres!$A$1:$I$89,3,0)*VLOOKUP('Données projet'!$B$14,Paramètres!$A$1:$I$89,5,0)</f>
        <v>-2.0395418687257919E-13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402.28353929315114</v>
      </c>
      <c r="DU203" s="59">
        <f t="shared" si="209"/>
        <v>376.94419168335463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15.818246800538123</v>
      </c>
      <c r="EB203" s="21">
        <f>EXP(-LN(2)/25)*EB202+(1-EXP(-LN(2)/25))/(LN(2)/25)*Calculateur!DW203*Calculateur!DY203*VLOOKUP('Données projet'!$B$14,Paramètres!$A$1:$I$89,3,0)*0.475*44/12</f>
        <v>1.3266242148877716</v>
      </c>
      <c r="EC203" s="21">
        <f>EXP(-LN(2)/2)*EC202+(1-EXP(-LN(2)/2))/(LN(2)/2)*DW203*DZ203*VLOOKUP('Données projet'!$B$14,Paramètres!$A$1:$I$89,3,0)*0.475*44/12</f>
        <v>9.9335347622696963E-19</v>
      </c>
      <c r="ED203" s="22">
        <f t="shared" si="178"/>
        <v>17.144871015425895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>
        <f>EJ203*VLOOKUP('Données projet'!$B$15,Paramètres!$A$1:$I$89,3,0)*VLOOKUP('Données projet'!$B$15,Paramètres!$A$1:$I$89,5,0)</f>
        <v>0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273.3012268683454</v>
      </c>
      <c r="EP203" s="59">
        <f t="shared" si="210"/>
        <v>254.08208375594052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9.6951770670108051</v>
      </c>
      <c r="EW203" s="21">
        <f>EXP(-LN(2)/25)*EW202+(1-EXP(-LN(2)/25))/(LN(2)/25)*Calculateur!ER203*Calculateur!ET203*VLOOKUP('Données projet'!$B$15,Paramètres!$A$1:$I$89,3,0)*0.475*44/12</f>
        <v>1.4874798649949963</v>
      </c>
      <c r="EX203" s="21">
        <f>EXP(-LN(2)/2)*EX202+(1-EXP(-LN(2)/2))/(LN(2)/2)*ER203*EU203*VLOOKUP('Données projet'!$B$15,Paramètres!$A$1:$I$89,3,0)*0.475*44/12</f>
        <v>1.4260319250981477E-18</v>
      </c>
      <c r="EY203" s="22">
        <f t="shared" si="181"/>
        <v>11.182656932005802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7" thickBot="1" x14ac:dyDescent="0.2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6" thickBot="1" x14ac:dyDescent="0.2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1.2392705892426346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1.189207115002721</v>
      </c>
      <c r="BA205" s="82">
        <f>EXP(LN('Données projet'!B88)/'Données projet'!A88)</f>
        <v>1.2788040393997409</v>
      </c>
      <c r="BV205" s="82">
        <f>EXP(LN('Données projet'!B114)/'Données projet'!A114)</f>
        <v>1.2721747796233518</v>
      </c>
      <c r="CQ205" s="82">
        <f>EXP(LN('Données projet'!B140)/'Données projet'!A140)</f>
        <v>1.4309690811052556</v>
      </c>
      <c r="DL205" s="82">
        <f>EXP(LN('Données projet'!B166)/'Données projet'!A166)</f>
        <v>1.2954438051451196</v>
      </c>
      <c r="EG205" s="82">
        <f>EXP(LN('Données projet'!B192)/'Données projet'!A192)</f>
        <v>1.2802842468510145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4" bestFit="1" customWidth="1"/>
    <col min="2" max="2" width="27.6640625" style="4" bestFit="1" customWidth="1"/>
    <col min="3" max="3" width="11.83203125" style="4" bestFit="1" customWidth="1"/>
    <col min="4" max="4" width="40" style="4" bestFit="1" customWidth="1"/>
    <col min="5" max="5" width="11.83203125" style="4" bestFit="1" customWidth="1"/>
    <col min="6" max="6" width="13.6640625" style="4" bestFit="1" customWidth="1"/>
    <col min="7" max="7" width="11.5" style="4" bestFit="1" customWidth="1"/>
    <col min="8" max="8" width="39" style="4" bestFit="1" customWidth="1"/>
    <col min="9" max="9" width="16.6640625" style="4" customWidth="1"/>
    <col min="10" max="14" width="11.5" style="4"/>
    <col min="15" max="15" width="23.5" style="4" bestFit="1" customWidth="1"/>
    <col min="16" max="16384" width="11.5" style="4"/>
  </cols>
  <sheetData>
    <row r="1" spans="1:16" ht="49" thickBot="1" x14ac:dyDescent="0.2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0" t="s">
        <v>238</v>
      </c>
      <c r="P2" s="121">
        <v>0</v>
      </c>
    </row>
    <row r="3" spans="1:16" ht="16" thickBot="1" x14ac:dyDescent="0.2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1"/>
      <c r="P3" s="128">
        <v>0.2</v>
      </c>
    </row>
    <row r="4" spans="1:16" ht="16" thickBot="1" x14ac:dyDescent="0.2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0" t="s">
        <v>237</v>
      </c>
      <c r="P5" s="121">
        <v>0</v>
      </c>
    </row>
    <row r="6" spans="1:16" x14ac:dyDescent="0.2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2"/>
      <c r="P6" s="129">
        <v>0.05</v>
      </c>
    </row>
    <row r="7" spans="1:16" x14ac:dyDescent="0.2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2"/>
      <c r="P7" s="129">
        <v>0.1</v>
      </c>
    </row>
    <row r="8" spans="1:16" ht="16" thickBot="1" x14ac:dyDescent="0.2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1"/>
      <c r="P8" s="128">
        <v>0.15</v>
      </c>
    </row>
    <row r="9" spans="1:16" ht="16" thickBot="1" x14ac:dyDescent="0.2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0" t="s">
        <v>236</v>
      </c>
      <c r="P10" s="121">
        <v>0</v>
      </c>
    </row>
    <row r="11" spans="1:16" ht="16" thickBot="1" x14ac:dyDescent="0.2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1"/>
      <c r="P11" s="128">
        <v>0.1</v>
      </c>
    </row>
    <row r="12" spans="1:16" x14ac:dyDescent="0.2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">
      <c r="A87" s="250" t="s">
        <v>321</v>
      </c>
      <c r="B87" s="251" t="s">
        <v>322</v>
      </c>
      <c r="C87" s="252">
        <v>0.41</v>
      </c>
      <c r="D87" s="252" t="s">
        <v>323</v>
      </c>
      <c r="E87" s="252">
        <v>1.56</v>
      </c>
      <c r="F87" s="253" t="s">
        <v>274</v>
      </c>
      <c r="G87" s="254">
        <v>0.43</v>
      </c>
      <c r="H87" s="252" t="s">
        <v>278</v>
      </c>
      <c r="I87" s="255">
        <v>0.25</v>
      </c>
      <c r="J87" s="78"/>
      <c r="K87" s="78"/>
      <c r="L87" s="78"/>
      <c r="M87" s="78"/>
      <c r="N87" s="78"/>
    </row>
    <row r="88" spans="1:14" x14ac:dyDescent="0.2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6" thickBot="1" x14ac:dyDescent="0.2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">
      <c r="A93" s="122" t="s">
        <v>208</v>
      </c>
    </row>
    <row r="94" spans="1:14" x14ac:dyDescent="0.2">
      <c r="A94" s="122" t="s">
        <v>209</v>
      </c>
    </row>
    <row r="95" spans="1:14" x14ac:dyDescent="0.2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A19" sqref="A19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2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35">
      <c r="A2" s="271" t="s">
        <v>271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6" thickBo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65" thickBot="1" x14ac:dyDescent="0.2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">
      <c r="A6" s="145" t="str">
        <f>IF('Données projet'!$B$9="","",'Données projet'!$B$9)</f>
        <v>Chêne sessile</v>
      </c>
      <c r="B6" s="146">
        <f>'Données projet'!D9</f>
        <v>2.445068</v>
      </c>
      <c r="C6" s="147">
        <f ca="1">IF(OR('Données projet'!B9="",'Données projet'!C9="",'Données projet'!C9=0%),0,Calculateur!S3)</f>
        <v>453.52760163325451</v>
      </c>
      <c r="D6" s="147">
        <f>IF(OR('Données projet'!B9="",'Données projet'!C9="",'Données projet'!C9=0%),0,Calculateur!T3)</f>
        <v>344.23959526427001</v>
      </c>
      <c r="E6" s="147">
        <f ca="1">MIN(C6,D6)</f>
        <v>344.23959526427001</v>
      </c>
      <c r="F6" s="147">
        <f ca="1">E6*B6</f>
        <v>841.68921871361817</v>
      </c>
      <c r="G6" s="147">
        <f ca="1">F6*(100%-'Données projet'!$C$24)*(100%-'Données projet'!$C$25)*(100%-'Données projet'!$C$26)*(100%-'Données projet'!$C$27)</f>
        <v>757.52029684225636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37.898553999999997</v>
      </c>
      <c r="K6" s="151">
        <f>J6*(100%-'Données projet'!$C$24)*(100%-'Données projet'!$C$25)*(100%-'Données projet'!$C$26)*(100%-'Données projet'!$C$27)</f>
        <v>34.108698599999997</v>
      </c>
      <c r="L6" s="152">
        <f ca="1">G6+I6+K6</f>
        <v>791.62899544225638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">
      <c r="A7" s="153" t="str">
        <f>IF('Données projet'!$B$10="","",'Données projet'!$B$10)</f>
        <v>Hêtre</v>
      </c>
      <c r="B7" s="154">
        <f>'Données projet'!D10</f>
        <v>0.21162033999999996</v>
      </c>
      <c r="C7" s="147">
        <f ca="1">IF(OR('Données projet'!B10="",'Données projet'!C10="",'Données projet'!C10=0%),0,Calculateur!AN3)</f>
        <v>397.45670821030774</v>
      </c>
      <c r="D7" s="147">
        <f>IF(OR('Données projet'!B10="",'Données projet'!C10="",'Données projet'!C10=0%),0,Calculateur!AO3)</f>
        <v>256.77417912163997</v>
      </c>
      <c r="E7" s="147">
        <f t="shared" ref="E7:E15" ca="1" si="0">MIN(C7,D7)</f>
        <v>256.77417912163997</v>
      </c>
      <c r="F7" s="147">
        <f t="shared" ref="F7:F15" ca="1" si="1">E7*B7</f>
        <v>54.338639088942344</v>
      </c>
      <c r="G7" s="147">
        <f ca="1">F7*(100%-'Données projet'!$C$24)*(100%-'Données projet'!$C$25)*(100%-'Données projet'!$C$26)*(100%-'Données projet'!$C$27)</f>
        <v>48.904775180048112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1.8516779749999996</v>
      </c>
      <c r="K7" s="151">
        <f>J7*(100%-'Données projet'!$C$24)*(100%-'Données projet'!$C$25)*(100%-'Données projet'!$C$26)*(100%-'Données projet'!$C$27)</f>
        <v>1.6665101774999997</v>
      </c>
      <c r="L7" s="152">
        <f t="shared" ref="L7:L15" ca="1" si="2">G7+I7+K7</f>
        <v>50.571285357548113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">
      <c r="A8" s="153" t="str">
        <f>IF('Données projet'!$B$11="","",'Données projet'!$B$11)</f>
        <v>Merisier</v>
      </c>
      <c r="B8" s="154">
        <f>'Données projet'!D11</f>
        <v>0.21162033999999996</v>
      </c>
      <c r="C8" s="147">
        <f ca="1">IF(OR('Données projet'!B11="",'Données projet'!C11="",'Données projet'!C11=0%),0,Calculateur!BI3)</f>
        <v>293.20194140252903</v>
      </c>
      <c r="D8" s="147">
        <f>IF(OR('Données projet'!B11="",'Données projet'!C11="",'Données projet'!C11=0%),0,Calculateur!BJ3)</f>
        <v>280.69048279989266</v>
      </c>
      <c r="E8" s="147">
        <f t="shared" ca="1" si="0"/>
        <v>280.69048279989266</v>
      </c>
      <c r="F8" s="147">
        <f t="shared" ca="1" si="1"/>
        <v>59.39981540487743</v>
      </c>
      <c r="G8" s="147">
        <f ca="1">F8*(100%-'Données projet'!$C$24)*(100%-'Données projet'!$C$25)*(100%-'Données projet'!$C$26)*(100%-'Données projet'!$C$27)</f>
        <v>53.459833864389687</v>
      </c>
      <c r="H8" s="155">
        <f>IF(OR('Données projet'!B11="",'Données projet'!C11="",'Données projet'!C11=0%),0,AVERAGE(Calculateur!$BS$3:$BS$33)*B8)</f>
        <v>0.286851613741259</v>
      </c>
      <c r="I8" s="149">
        <f>H8*(100%-'Données projet'!$C$24)*(100%-'Données projet'!$C$25)*(100%-'Données projet'!$C$26)*(100%-'Données projet'!$C$27)</f>
        <v>0.25816645236713309</v>
      </c>
      <c r="J8" s="150">
        <f>IF(OR('Données projet'!B11="",'Données projet'!C11="",'Données projet'!C11=0%),0,SUM(Calculateur!$BL$3:$BL$33)*VLOOKUP('Données projet'!$B$11,Paramètres!$A$1:$I$89,9,0)*B8)</f>
        <v>3.4388305249999993</v>
      </c>
      <c r="K8" s="151">
        <f>J8*(100%-'Données projet'!$C$24)*(100%-'Données projet'!$C$25)*(100%-'Données projet'!$C$26)*(100%-'Données projet'!$C$27)</f>
        <v>3.0949474724999995</v>
      </c>
      <c r="L8" s="152">
        <f t="shared" ca="1" si="2"/>
        <v>56.812947789256825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">
      <c r="A9" s="153" t="str">
        <f>IF('Données projet'!$B$12="","",'Données projet'!$B$12)</f>
        <v>Erable sycomore</v>
      </c>
      <c r="B9" s="154">
        <f>'Données projet'!D12</f>
        <v>0.21162033999999996</v>
      </c>
      <c r="C9" s="147">
        <f ca="1">IF(OR('Données projet'!B12="",'Données projet'!C12="",'Données projet'!C12=0%),0,Calculateur!CD3)</f>
        <v>271.25628946149067</v>
      </c>
      <c r="D9" s="147">
        <f>IF(OR('Données projet'!B12="",'Données projet'!C12="",'Données projet'!C12=0%),0,Calculateur!CE3)</f>
        <v>292.57799203101769</v>
      </c>
      <c r="E9" s="147">
        <f t="shared" ca="1" si="0"/>
        <v>271.25628946149067</v>
      </c>
      <c r="F9" s="147">
        <f t="shared" ca="1" si="1"/>
        <v>57.40334820297906</v>
      </c>
      <c r="G9" s="147">
        <f ca="1">F9*(100%-'Données projet'!$C$24)*(100%-'Données projet'!$C$25)*(100%-'Données projet'!$C$26)*(100%-'Données projet'!$C$27)</f>
        <v>51.663013382681157</v>
      </c>
      <c r="H9" s="155">
        <f>IF(OR('Données projet'!B12="",'Données projet'!C12="",'Données projet'!C12=0%),0,AVERAGE(Calculateur!$CN$3:$CN$33)*B9)</f>
        <v>0.35733339622310373</v>
      </c>
      <c r="I9" s="149">
        <f>H9*(100%-'Données projet'!$C$24)*(100%-'Données projet'!$C$25)*(100%-'Données projet'!$C$26)*(100%-'Données projet'!$C$27)</f>
        <v>0.32160005660079338</v>
      </c>
      <c r="J9" s="150">
        <f>IF(OR('Données projet'!B12="",'Données projet'!C12="",'Données projet'!C12=0%),0,SUM(Calculateur!$CG$3:$CG$33)*VLOOKUP('Données projet'!$B$12,Paramètres!$A$1:$I$89,9,0)*B9)</f>
        <v>5.2376034149999988</v>
      </c>
      <c r="K9" s="151">
        <f>J9*(100%-'Données projet'!$C$24)*(100%-'Données projet'!$C$25)*(100%-'Données projet'!$C$26)*(100%-'Données projet'!$C$27)</f>
        <v>4.7138430734999988</v>
      </c>
      <c r="L9" s="152">
        <f t="shared" ca="1" si="2"/>
        <v>56.698456512781952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">
      <c r="A10" s="153" t="str">
        <f>IF('Données projet'!$B$13="","",'Données projet'!$B$13)</f>
        <v>Mélèze hybride</v>
      </c>
      <c r="B10" s="154">
        <f>'Données projet'!D13</f>
        <v>0.75508881999999999</v>
      </c>
      <c r="C10" s="147">
        <f ca="1">IF(OR('Données projet'!B13="",'Données projet'!C13="",'Données projet'!C13=0%),0,Calculateur!CY3)</f>
        <v>210.03861149060413</v>
      </c>
      <c r="D10" s="147">
        <f>IF(OR('Données projet'!B13="",'Données projet'!C13="",'Données projet'!C13=0%),0,Calculateur!CZ3)</f>
        <v>298.74602928001929</v>
      </c>
      <c r="E10" s="147">
        <f t="shared" ca="1" si="0"/>
        <v>210.03861149060413</v>
      </c>
      <c r="F10" s="147">
        <f t="shared" ca="1" si="1"/>
        <v>158.5978073048787</v>
      </c>
      <c r="G10" s="147">
        <f ca="1">F10*(100%-'Données projet'!$C$24)*(100%-'Données projet'!$C$25)*(100%-'Données projet'!$C$26)*(100%-'Données projet'!$C$27)</f>
        <v>142.73802657439083</v>
      </c>
      <c r="H10" s="155">
        <f>IF(OR('Données projet'!B13="",'Données projet'!C13="",'Données projet'!C13=0%),0,AVERAGE(Calculateur!$DI$3:$DI$33)*B10)</f>
        <v>10.627098329689822</v>
      </c>
      <c r="I10" s="149">
        <f>H10*(100%-'Données projet'!$C$24)*(100%-'Données projet'!$C$25)*(100%-'Données projet'!$C$26)*(100%-'Données projet'!$C$27)</f>
        <v>9.5643884967208397</v>
      </c>
      <c r="J10" s="150">
        <f>IF(OR('Données projet'!B13="",'Données projet'!C13="",'Données projet'!C13=0%),0,SUM(Calculateur!$DB$3:$DB$33)*VLOOKUP('Données projet'!$B$13,Paramètres!$A$1:$I$89,9,0)*B10)</f>
        <v>53.573551778999999</v>
      </c>
      <c r="K10" s="151">
        <f>J10*(100%-'Données projet'!$C$24)*(100%-'Données projet'!$C$25)*(100%-'Données projet'!$C$26)*(100%-'Données projet'!$C$27)</f>
        <v>48.216196601100002</v>
      </c>
      <c r="L10" s="152">
        <f t="shared" ca="1" si="2"/>
        <v>200.51861167221168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">
      <c r="A11" s="153" t="str">
        <f>IF('Données projet'!$B$14="","",'Données projet'!$B$14)</f>
        <v>Pin laricio</v>
      </c>
      <c r="B11" s="154">
        <f>'Données projet'!D14</f>
        <v>0.19233493999999998</v>
      </c>
      <c r="C11" s="147">
        <f ca="1">IF(OR('Données projet'!B14="",'Données projet'!C14="",'Données projet'!C14=0%),0,Calculateur!DT3)</f>
        <v>402.28353929315114</v>
      </c>
      <c r="D11" s="147">
        <f>IF(OR('Données projet'!B14="",'Données projet'!C14="",'Données projet'!C14=0%),0,Calculateur!DU3)</f>
        <v>376.94419168335463</v>
      </c>
      <c r="E11" s="147">
        <f t="shared" ca="1" si="0"/>
        <v>376.94419168335463</v>
      </c>
      <c r="F11" s="147">
        <f t="shared" ca="1" si="1"/>
        <v>72.499538490766511</v>
      </c>
      <c r="G11" s="147">
        <f ca="1">F11*(100%-'Données projet'!$C$24)*(100%-'Données projet'!$C$25)*(100%-'Données projet'!$C$26)*(100%-'Données projet'!$C$27)</f>
        <v>65.249584641689864</v>
      </c>
      <c r="H11" s="155">
        <f>IF(OR('Données projet'!B14="",'Données projet'!C14="",'Données projet'!C14=0%),0,AVERAGE(Calculateur!$ED$3:$ED$33)*B11)</f>
        <v>1.7000261742291536</v>
      </c>
      <c r="I11" s="149">
        <f>H11*(100%-'Données projet'!$C$24)*(100%-'Données projet'!$C$25)*(100%-'Données projet'!$C$26)*(100%-'Données projet'!$C$27)</f>
        <v>1.5300235568062384</v>
      </c>
      <c r="J11" s="150">
        <f>IF(OR('Données projet'!B14="",'Données projet'!C14="",'Données projet'!C14=0%),0,SUM(Calculateur!$DW$3:$DW$33)*VLOOKUP('Données projet'!$B$14,Paramètres!$A$1:$I$89,9,0)*B11)</f>
        <v>13.091219990617999</v>
      </c>
      <c r="K11" s="151">
        <f>J11*(100%-'Données projet'!$C$24)*(100%-'Données projet'!$C$25)*(100%-'Données projet'!$C$26)*(100%-'Données projet'!$C$27)</f>
        <v>11.782097991556199</v>
      </c>
      <c r="L11" s="152">
        <f t="shared" ca="1" si="2"/>
        <v>78.561706190052305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">
      <c r="A12" s="153" t="str">
        <f>IF('Données projet'!$B$15="","",'Données projet'!$B$15)</f>
        <v>Cèdre de l'Atlas</v>
      </c>
      <c r="B12" s="154">
        <f>'Données projet'!D15</f>
        <v>0.19233493999999998</v>
      </c>
      <c r="C12" s="147">
        <f ca="1">IF(OR('Données projet'!B15="",'Données projet'!C15="",'Données projet'!C15=0%),0,Calculateur!EO3)</f>
        <v>273.3012268683454</v>
      </c>
      <c r="D12" s="147">
        <f>IF(OR('Données projet'!B15="",'Données projet'!C15="",'Données projet'!C15=0%),0,Calculateur!EP3)</f>
        <v>254.08208375594052</v>
      </c>
      <c r="E12" s="147">
        <f t="shared" ca="1" si="0"/>
        <v>254.08208375594052</v>
      </c>
      <c r="F12" s="147">
        <f t="shared" ca="1" si="1"/>
        <v>48.868862334273793</v>
      </c>
      <c r="G12" s="147">
        <f ca="1">F12*(100%-'Données projet'!$C$24)*(100%-'Données projet'!$C$25)*(100%-'Données projet'!$C$26)*(100%-'Données projet'!$C$27)</f>
        <v>43.981976100846417</v>
      </c>
      <c r="H12" s="155">
        <f>IF(OR('Données projet'!B15="",'Données projet'!C15="",'Données projet'!C15=0%),0,AVERAGE(Calculateur!$EY$3:$EY$33)*B12)</f>
        <v>0.77376744782428686</v>
      </c>
      <c r="I12" s="149">
        <f>H12*(100%-'Données projet'!$C$24)*(100%-'Données projet'!$C$25)*(100%-'Données projet'!$C$26)*(100%-'Données projet'!$C$27)</f>
        <v>0.69639070304185824</v>
      </c>
      <c r="J12" s="150">
        <f>IF(OR('Données projet'!B15="",'Données projet'!C15="",'Données projet'!C15=0%),0,SUM(Calculateur!$ER$3:$ER$33)*VLOOKUP('Données projet'!$B$15,Paramètres!$A$1:$I$89,9,0)*B12)</f>
        <v>7.4433621780000001</v>
      </c>
      <c r="K12" s="151">
        <f>J12*(100%-'Données projet'!$C$24)*(100%-'Données projet'!$C$25)*(100%-'Données projet'!$C$26)*(100%-'Données projet'!$C$27)</f>
        <v>6.6990259602000002</v>
      </c>
      <c r="L12" s="152">
        <f t="shared" ca="1" si="2"/>
        <v>51.37739276408827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6" thickBot="1" x14ac:dyDescent="0.2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6" thickBot="1" x14ac:dyDescent="0.25">
      <c r="A16" s="208"/>
      <c r="B16" s="212"/>
      <c r="C16" s="213"/>
      <c r="D16" s="23"/>
      <c r="E16" s="23"/>
      <c r="F16" s="165">
        <f t="shared" ref="F16:L16" ca="1" si="3">SUM(F6:F15)</f>
        <v>1292.7972295403363</v>
      </c>
      <c r="G16" s="166">
        <f t="shared" ca="1" si="3"/>
        <v>1163.5175065863023</v>
      </c>
      <c r="H16" s="167">
        <f t="shared" si="3"/>
        <v>13.745076961707625</v>
      </c>
      <c r="I16" s="167">
        <f t="shared" si="3"/>
        <v>12.370569265536863</v>
      </c>
      <c r="J16" s="168">
        <f t="shared" si="3"/>
        <v>122.534799862618</v>
      </c>
      <c r="K16" s="168">
        <f t="shared" si="3"/>
        <v>110.28131987635619</v>
      </c>
      <c r="L16" s="169">
        <f t="shared" ca="1" si="3"/>
        <v>1286.1693957281955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">
      <c r="A17" s="208"/>
      <c r="B17" s="212"/>
      <c r="C17" s="213"/>
      <c r="D17" s="23"/>
      <c r="E17" s="23"/>
      <c r="F17" s="283" t="s">
        <v>246</v>
      </c>
      <c r="G17" s="284"/>
      <c r="H17" s="284"/>
      <c r="I17" s="284"/>
      <c r="J17" s="284"/>
      <c r="K17" s="284"/>
      <c r="L17" s="28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">
      <c r="A18" s="208"/>
      <c r="B18" s="212"/>
      <c r="C18" s="213"/>
      <c r="D18" s="23"/>
      <c r="E18" s="23"/>
      <c r="F18" s="270"/>
      <c r="G18" s="270"/>
      <c r="H18" s="270"/>
      <c r="I18" s="270"/>
      <c r="J18" s="270"/>
      <c r="K18" s="270"/>
      <c r="L18" s="27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6" thickBo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6" thickBot="1" x14ac:dyDescent="0.25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6" thickBot="1" x14ac:dyDescent="0.2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6" thickBot="1" x14ac:dyDescent="0.25">
      <c r="A39" s="170" t="str">
        <f>A7</f>
        <v>Hêtre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6" thickBot="1" x14ac:dyDescent="0.2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6" thickBot="1" x14ac:dyDescent="0.25">
      <c r="A57" s="170" t="str">
        <f>A8</f>
        <v>Merisier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6" thickBot="1" x14ac:dyDescent="0.2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6" thickBot="1" x14ac:dyDescent="0.25">
      <c r="A76" s="170" t="str">
        <f>A9</f>
        <v>Erable sycomore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6" thickBot="1" x14ac:dyDescent="0.2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6" thickBot="1" x14ac:dyDescent="0.25">
      <c r="A94" s="170" t="str">
        <f>A10</f>
        <v>Mélèze hybride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6" thickBot="1" x14ac:dyDescent="0.2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6" thickBot="1" x14ac:dyDescent="0.25">
      <c r="A112" s="170" t="str">
        <f>A11</f>
        <v>Pin laricio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6" thickBot="1" x14ac:dyDescent="0.2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6" thickBot="1" x14ac:dyDescent="0.25">
      <c r="A130" s="170" t="str">
        <f>A12</f>
        <v>Cèdre de l'Atlas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6" thickBot="1" x14ac:dyDescent="0.2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6" thickBot="1" x14ac:dyDescent="0.2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6" thickBot="1" x14ac:dyDescent="0.2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6" thickBot="1" x14ac:dyDescent="0.2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6" thickBot="1" x14ac:dyDescent="0.2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6" thickBot="1" x14ac:dyDescent="0.2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39" zoomScale="186" zoomScaleNormal="80" workbookViewId="0">
      <selection activeCell="C58" sqref="C58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1" customWidth="1"/>
    <col min="7" max="7" width="17.5" style="1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35">
      <c r="A2" s="4"/>
      <c r="B2" s="271" t="s">
        <v>272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">
      <c r="A4" s="4"/>
      <c r="B4" s="4"/>
      <c r="C4" s="4"/>
      <c r="D4" s="4"/>
      <c r="E4" s="4"/>
      <c r="G4" s="4"/>
      <c r="H4" s="257" t="s">
        <v>315</v>
      </c>
      <c r="I4" s="257"/>
      <c r="K4" s="299" t="s">
        <v>253</v>
      </c>
      <c r="L4" s="300"/>
      <c r="M4" s="236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6" thickBot="1" x14ac:dyDescent="0.2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35">
      <c r="A7" s="241"/>
      <c r="B7" s="242"/>
      <c r="C7" s="242"/>
      <c r="D7" s="242"/>
      <c r="E7" s="243"/>
      <c r="F7" s="243" t="s">
        <v>192</v>
      </c>
      <c r="G7" s="244"/>
      <c r="H7" s="242"/>
      <c r="I7" s="242"/>
      <c r="J7" s="245"/>
      <c r="K7" s="239"/>
      <c r="L7" s="240"/>
      <c r="M7" s="240"/>
      <c r="N7" s="246" t="s">
        <v>191</v>
      </c>
      <c r="O7" s="246"/>
      <c r="P7" s="247"/>
      <c r="Q7" s="248"/>
      <c r="R7" s="291" t="s">
        <v>310</v>
      </c>
      <c r="S7" s="292"/>
      <c r="T7" s="292"/>
      <c r="U7" s="292"/>
      <c r="V7" s="29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">
      <c r="A8" s="23"/>
      <c r="C8" s="23"/>
      <c r="D8" s="23"/>
      <c r="E8" s="23"/>
      <c r="F8" s="23"/>
      <c r="G8" s="23"/>
      <c r="H8" s="4"/>
      <c r="I8" s="4"/>
      <c r="J8" s="199"/>
      <c r="K8" s="207"/>
      <c r="L8" s="23"/>
      <c r="M8" s="23"/>
      <c r="N8" s="23"/>
      <c r="O8" s="23"/>
      <c r="P8" s="23"/>
      <c r="Q8" s="233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">
      <c r="A9" s="93" t="s">
        <v>311</v>
      </c>
      <c r="C9" s="23"/>
      <c r="D9" s="23"/>
      <c r="E9" s="23"/>
      <c r="F9" s="229"/>
      <c r="G9" s="93" t="s">
        <v>314</v>
      </c>
      <c r="J9" s="199"/>
      <c r="K9" s="207"/>
      <c r="O9" s="23"/>
      <c r="P9" s="23"/>
      <c r="Q9" s="233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">
      <c r="A10" s="93" t="s">
        <v>317</v>
      </c>
      <c r="C10" s="23"/>
      <c r="D10" s="23"/>
      <c r="E10" s="23"/>
      <c r="F10" s="229"/>
      <c r="G10" s="93" t="s">
        <v>316</v>
      </c>
      <c r="J10" s="199"/>
      <c r="K10" s="207"/>
      <c r="O10" s="23"/>
      <c r="P10" s="23"/>
      <c r="Q10" s="233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-4143.3157949070292</v>
      </c>
      <c r="U10" s="178">
        <f>'Données projet'!D9</f>
        <v>2.445068</v>
      </c>
      <c r="V10" s="177">
        <f>U10*T10</f>
        <v>-10130.68886402174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">
      <c r="A11" s="93" t="s">
        <v>312</v>
      </c>
      <c r="B11" s="23"/>
      <c r="C11" s="23"/>
      <c r="D11" s="23"/>
      <c r="E11" s="23"/>
      <c r="F11" s="229"/>
      <c r="G11" s="93" t="s">
        <v>313</v>
      </c>
      <c r="J11" s="199"/>
      <c r="K11" s="207"/>
      <c r="M11" s="4"/>
      <c r="N11" s="4"/>
      <c r="O11" s="23"/>
      <c r="P11" s="23"/>
      <c r="Q11" s="233"/>
      <c r="R11" s="23"/>
      <c r="S11" s="36" t="str">
        <f>B45</f>
        <v>Hêtre</v>
      </c>
      <c r="T11" s="23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-4303.2280089681226</v>
      </c>
      <c r="U11" s="178">
        <f>'Données projet'!D10</f>
        <v>0.21162033999999996</v>
      </c>
      <c r="V11" s="177">
        <f t="shared" ref="V11" si="0">U11*T11</f>
        <v>-910.65057435535698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">
      <c r="B12" s="23"/>
      <c r="C12" s="23"/>
      <c r="D12" s="23"/>
      <c r="E12" s="23"/>
      <c r="F12" s="229"/>
      <c r="J12" s="199"/>
      <c r="K12" s="207"/>
      <c r="L12" s="201"/>
      <c r="M12" s="23"/>
      <c r="N12" s="23"/>
      <c r="O12" s="23"/>
      <c r="P12" s="23"/>
      <c r="Q12" s="233"/>
      <c r="R12" s="23"/>
      <c r="S12" s="36" t="str">
        <f>B76</f>
        <v>Merisier</v>
      </c>
      <c r="T12" s="23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-3671.6307625165796</v>
      </c>
      <c r="U12" s="178">
        <f>'Données projet'!D11</f>
        <v>0.21162033999999996</v>
      </c>
      <c r="V12" s="177">
        <f t="shared" ref="V12:V19" si="1">U12*T12</f>
        <v>-776.99175031821767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">
      <c r="B13" s="23"/>
      <c r="C13" s="23"/>
      <c r="D13" s="23"/>
      <c r="E13" s="23"/>
      <c r="F13" s="229"/>
      <c r="J13" s="23"/>
      <c r="K13" s="207"/>
      <c r="L13" s="93" t="s">
        <v>257</v>
      </c>
      <c r="M13" s="23"/>
      <c r="N13" s="23"/>
      <c r="O13" s="23"/>
      <c r="P13" s="23"/>
      <c r="Q13" s="233"/>
      <c r="R13" s="23"/>
      <c r="S13" s="36" t="str">
        <f>B107</f>
        <v>Erable sycomore</v>
      </c>
      <c r="T13" s="23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-3158.8418974276801</v>
      </c>
      <c r="U13" s="178">
        <f>'Données projet'!D12</f>
        <v>0.21162033999999996</v>
      </c>
      <c r="V13" s="177">
        <f t="shared" si="1"/>
        <v>-668.47519633989066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29"/>
      <c r="G14" s="23"/>
      <c r="H14" s="36" t="s">
        <v>178</v>
      </c>
      <c r="I14" s="36" t="s">
        <v>290</v>
      </c>
      <c r="J14" s="200"/>
      <c r="K14" s="173"/>
      <c r="L14" s="201"/>
      <c r="M14" s="23"/>
      <c r="N14" s="23"/>
      <c r="O14" s="4"/>
      <c r="P14" s="4"/>
      <c r="Q14" s="234"/>
      <c r="R14" s="4"/>
      <c r="S14" s="36" t="str">
        <f>B138</f>
        <v>Mélèze hybride</v>
      </c>
      <c r="T14" s="23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544.3919404733864</v>
      </c>
      <c r="U14" s="178">
        <f>'Données projet'!D13</f>
        <v>0.75508881999999999</v>
      </c>
      <c r="V14" s="177">
        <f t="shared" si="1"/>
        <v>411.06426794955956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">
      <c r="A15" s="4"/>
      <c r="B15" s="4"/>
      <c r="C15" s="4"/>
      <c r="D15" s="4"/>
      <c r="E15" s="4"/>
      <c r="F15" s="229"/>
      <c r="G15" s="302" t="s">
        <v>318</v>
      </c>
      <c r="H15" s="190">
        <v>1</v>
      </c>
      <c r="I15" s="191"/>
      <c r="J15" s="201"/>
      <c r="K15" s="207"/>
      <c r="L15" s="201"/>
      <c r="M15" s="23"/>
      <c r="N15" s="23"/>
      <c r="O15" s="23"/>
      <c r="P15" s="23"/>
      <c r="Q15" s="233"/>
      <c r="R15" s="23"/>
      <c r="S15" s="36" t="str">
        <f>B169</f>
        <v>Pin laricio</v>
      </c>
      <c r="T15" s="23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707.93369898966432</v>
      </c>
      <c r="U15" s="178">
        <f>'Données projet'!D14</f>
        <v>0.19233493999999998</v>
      </c>
      <c r="V15" s="177">
        <f t="shared" si="1"/>
        <v>136.16038551915514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9"/>
      <c r="G16" s="302"/>
      <c r="H16" s="190"/>
      <c r="I16" s="191"/>
      <c r="J16" s="201"/>
      <c r="K16" s="207"/>
      <c r="L16" s="299" t="s">
        <v>254</v>
      </c>
      <c r="M16" s="300"/>
      <c r="N16" s="2">
        <v>30</v>
      </c>
      <c r="O16" s="23"/>
      <c r="P16" s="23"/>
      <c r="Q16" s="233"/>
      <c r="R16" s="23"/>
      <c r="S16" s="36" t="str">
        <f>B200</f>
        <v>Cèdre de l'Atlas</v>
      </c>
      <c r="T16" s="23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-1163.213401073941</v>
      </c>
      <c r="U16" s="178">
        <f>'Données projet'!D15</f>
        <v>0.19233493999999998</v>
      </c>
      <c r="V16" s="177">
        <f t="shared" si="1"/>
        <v>-223.72657970275236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ht="16" x14ac:dyDescent="0.2">
      <c r="A17" s="49">
        <v>0</v>
      </c>
      <c r="B17" s="198" t="s">
        <v>132</v>
      </c>
      <c r="C17" s="197" t="s">
        <v>132</v>
      </c>
      <c r="D17" s="196" t="s">
        <v>132</v>
      </c>
      <c r="E17" s="193">
        <v>6345</v>
      </c>
      <c r="F17" s="229"/>
      <c r="G17" s="302"/>
      <c r="J17" s="201"/>
      <c r="K17" s="207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3"/>
      <c r="R17" s="23"/>
      <c r="S17" s="36" t="str">
        <f>B231</f>
        <v/>
      </c>
      <c r="T17" s="23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ht="16" x14ac:dyDescent="0.2">
      <c r="A18" s="49">
        <v>1</v>
      </c>
      <c r="B18" s="198" t="s">
        <v>132</v>
      </c>
      <c r="C18" s="197" t="s">
        <v>132</v>
      </c>
      <c r="D18" s="196" t="s">
        <v>132</v>
      </c>
      <c r="E18" s="193"/>
      <c r="F18" s="229"/>
      <c r="G18" s="302"/>
      <c r="J18" s="201"/>
      <c r="K18" s="207"/>
      <c r="L18" s="259" t="s">
        <v>255</v>
      </c>
      <c r="M18" s="261"/>
      <c r="N18" s="192">
        <v>10</v>
      </c>
      <c r="O18" s="23"/>
      <c r="P18" s="23"/>
      <c r="Q18" s="233"/>
      <c r="R18" s="23"/>
      <c r="S18" s="36" t="str">
        <f>B262</f>
        <v/>
      </c>
      <c r="T18" s="23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">
      <c r="A19" s="49">
        <v>2</v>
      </c>
      <c r="B19" s="198" t="s">
        <v>132</v>
      </c>
      <c r="C19" s="197" t="s">
        <v>132</v>
      </c>
      <c r="D19" s="196" t="s">
        <v>132</v>
      </c>
      <c r="E19" s="193"/>
      <c r="F19" s="229"/>
      <c r="G19" s="302"/>
      <c r="H19" s="211" t="s">
        <v>178</v>
      </c>
      <c r="I19" s="211" t="s">
        <v>287</v>
      </c>
      <c r="J19" s="93"/>
      <c r="K19" s="173"/>
      <c r="L19" s="299" t="s">
        <v>288</v>
      </c>
      <c r="M19" s="300"/>
      <c r="N19" s="179">
        <f>N17*N18</f>
        <v>0</v>
      </c>
      <c r="O19" s="23"/>
      <c r="P19" s="4"/>
      <c r="Q19" s="234"/>
      <c r="R19" s="4"/>
      <c r="S19" s="36" t="str">
        <f>B293</f>
        <v/>
      </c>
      <c r="T19" s="23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ht="16" x14ac:dyDescent="0.2">
      <c r="A20" s="49">
        <v>3</v>
      </c>
      <c r="B20" s="198" t="s">
        <v>132</v>
      </c>
      <c r="C20" s="197" t="s">
        <v>132</v>
      </c>
      <c r="D20" s="196" t="s">
        <v>132</v>
      </c>
      <c r="E20" s="193"/>
      <c r="F20" s="229"/>
      <c r="G20" s="302"/>
      <c r="H20" s="190">
        <v>0</v>
      </c>
      <c r="I20" s="191">
        <f>650+425.9+600</f>
        <v>1675.9</v>
      </c>
      <c r="J20" s="4"/>
      <c r="K20" s="173"/>
      <c r="O20" s="23"/>
      <c r="P20" s="4"/>
      <c r="Q20" s="234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ht="16" x14ac:dyDescent="0.2">
      <c r="A21" s="49">
        <v>4</v>
      </c>
      <c r="B21" s="198" t="s">
        <v>132</v>
      </c>
      <c r="C21" s="197" t="s">
        <v>132</v>
      </c>
      <c r="D21" s="196" t="s">
        <v>132</v>
      </c>
      <c r="E21" s="193"/>
      <c r="F21" s="229"/>
      <c r="H21" s="190">
        <v>1</v>
      </c>
      <c r="I21" s="191">
        <v>400</v>
      </c>
      <c r="K21" s="173"/>
      <c r="O21" s="23"/>
      <c r="P21" s="4"/>
      <c r="Q21" s="234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">
      <c r="A22" s="49">
        <v>5</v>
      </c>
      <c r="B22" s="198" t="s">
        <v>132</v>
      </c>
      <c r="C22" s="197" t="s">
        <v>132</v>
      </c>
      <c r="D22" s="196" t="s">
        <v>132</v>
      </c>
      <c r="E22" s="193"/>
      <c r="F22" s="229"/>
      <c r="H22" s="190">
        <v>2</v>
      </c>
      <c r="I22" s="191">
        <v>600</v>
      </c>
      <c r="K22" s="173"/>
      <c r="O22" s="23"/>
      <c r="P22" s="4"/>
      <c r="Q22" s="234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">
      <c r="A23" s="180">
        <f>'Données projet'!A36</f>
        <v>20</v>
      </c>
      <c r="B23" s="181">
        <f>'Données projet'!D36</f>
        <v>0</v>
      </c>
      <c r="C23" s="193">
        <f>225*'Données projet'!E36+13.8*('Données projet'!F36+'Données projet'!G36)+10*'Données projet'!G36</f>
        <v>0</v>
      </c>
      <c r="D23" s="182">
        <f>B23*C23</f>
        <v>0</v>
      </c>
      <c r="E23" s="193"/>
      <c r="F23" s="229"/>
      <c r="H23" s="190">
        <v>3</v>
      </c>
      <c r="I23" s="191">
        <v>800</v>
      </c>
      <c r="K23" s="207"/>
      <c r="L23" s="301" t="s">
        <v>260</v>
      </c>
      <c r="M23" s="301"/>
      <c r="N23" s="301"/>
      <c r="O23" s="23"/>
      <c r="P23" s="23"/>
      <c r="Q23" s="233"/>
      <c r="R23" s="23"/>
      <c r="S23" s="36" t="s">
        <v>264</v>
      </c>
      <c r="T23" s="29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-31667.980716833357</v>
      </c>
      <c r="U23" s="296"/>
      <c r="V23" s="29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">
      <c r="A24" s="180">
        <f>'Données projet'!A37</f>
        <v>25</v>
      </c>
      <c r="B24" s="181">
        <f>'Données projet'!D37</f>
        <v>0</v>
      </c>
      <c r="C24" s="193">
        <f>225*'Données projet'!E37+13.8*('Données projet'!F37+'Données projet'!G37)+10*'Données projet'!G37</f>
        <v>0</v>
      </c>
      <c r="D24" s="182">
        <f t="shared" ref="D24:D42" si="2">B24*C24</f>
        <v>0</v>
      </c>
      <c r="E24" s="193"/>
      <c r="F24" s="232"/>
      <c r="H24" s="190">
        <v>4</v>
      </c>
      <c r="I24" s="191">
        <v>800</v>
      </c>
      <c r="K24" s="207"/>
      <c r="O24" s="23"/>
      <c r="P24" s="23"/>
      <c r="Q24" s="233"/>
      <c r="R24" s="23"/>
      <c r="S24" s="36" t="s">
        <v>261</v>
      </c>
      <c r="T24" s="29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7"/>
      <c r="V24" s="29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">
      <c r="A25" s="180">
        <f>'Données projet'!A38</f>
        <v>30</v>
      </c>
      <c r="B25" s="181">
        <f>'Données projet'!D38</f>
        <v>62</v>
      </c>
      <c r="C25" s="193">
        <f>225*'Données projet'!E38+13.8*('Données projet'!F38+'Données projet'!G38)+10*'Données projet'!G38</f>
        <v>0</v>
      </c>
      <c r="D25" s="182">
        <f t="shared" si="2"/>
        <v>0</v>
      </c>
      <c r="E25" s="193"/>
      <c r="F25" s="232"/>
      <c r="H25" s="190">
        <v>5</v>
      </c>
      <c r="I25" s="191">
        <v>800</v>
      </c>
      <c r="K25" s="207"/>
      <c r="L25" s="130" t="s">
        <v>285</v>
      </c>
      <c r="M25" s="130"/>
      <c r="N25" s="130"/>
      <c r="O25" s="130"/>
      <c r="P25" s="192">
        <v>0</v>
      </c>
      <c r="Q25" s="233"/>
      <c r="R25" s="23"/>
      <c r="S25" s="186" t="s">
        <v>266</v>
      </c>
      <c r="T25" s="298">
        <f ca="1">T23-T24</f>
        <v>-31667.980716833357</v>
      </c>
      <c r="U25" s="298"/>
      <c r="V25" s="29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">
      <c r="A26" s="180">
        <f>'Données projet'!A39</f>
        <v>35</v>
      </c>
      <c r="B26" s="181">
        <f>'Données projet'!D39</f>
        <v>28</v>
      </c>
      <c r="C26" s="193">
        <f>225*'Données projet'!E39+13.8*('Données projet'!F39+'Données projet'!G39)+10*'Données projet'!G39</f>
        <v>0</v>
      </c>
      <c r="D26" s="182">
        <f t="shared" si="2"/>
        <v>0</v>
      </c>
      <c r="E26" s="193"/>
      <c r="F26" s="232"/>
      <c r="G26" s="228"/>
      <c r="H26" s="190"/>
      <c r="I26" s="191"/>
      <c r="K26" s="207"/>
      <c r="L26" s="285" t="s">
        <v>258</v>
      </c>
      <c r="M26" s="286"/>
      <c r="N26" s="286"/>
      <c r="O26" s="286"/>
      <c r="P26" s="287"/>
      <c r="Q26" s="233"/>
      <c r="R26" s="23"/>
      <c r="S26" s="186" t="s">
        <v>265</v>
      </c>
      <c r="T26" s="295" t="str">
        <f ca="1">IF(T25&lt;0,"Votre projet est additionnel","Votre projet n'est pas additionnel")</f>
        <v>Votre projet est additionnel</v>
      </c>
      <c r="U26" s="295"/>
      <c r="V26" s="29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">
      <c r="A27" s="180">
        <f>'Données projet'!A40</f>
        <v>40</v>
      </c>
      <c r="B27" s="181">
        <f>'Données projet'!D40</f>
        <v>28</v>
      </c>
      <c r="C27" s="193">
        <f>225*'Données projet'!E40+13.8*('Données projet'!F40+'Données projet'!G40)+10*'Données projet'!G40</f>
        <v>45</v>
      </c>
      <c r="D27" s="182">
        <f t="shared" si="2"/>
        <v>1260</v>
      </c>
      <c r="E27" s="193"/>
      <c r="F27" s="232"/>
      <c r="G27" s="228"/>
      <c r="H27" s="190"/>
      <c r="I27" s="191"/>
      <c r="K27" s="207"/>
      <c r="L27" s="288"/>
      <c r="M27" s="289"/>
      <c r="N27" s="289"/>
      <c r="O27" s="289"/>
      <c r="P27" s="290"/>
      <c r="Q27" s="233"/>
      <c r="R27" s="23"/>
      <c r="S27" s="294" t="s">
        <v>267</v>
      </c>
      <c r="T27" s="294"/>
      <c r="U27" s="294"/>
      <c r="V27" s="29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">
      <c r="A28" s="180">
        <f>'Données projet'!A41</f>
        <v>45</v>
      </c>
      <c r="B28" s="181">
        <f>'Données projet'!D41</f>
        <v>28</v>
      </c>
      <c r="C28" s="193">
        <f>225*'Données projet'!E41+13.8*('Données projet'!F41+'Données projet'!G41)+10*'Données projet'!G41</f>
        <v>45</v>
      </c>
      <c r="D28" s="182">
        <f t="shared" si="2"/>
        <v>1260</v>
      </c>
      <c r="E28" s="193"/>
      <c r="F28" s="232"/>
      <c r="G28" s="204"/>
      <c r="H28" s="190"/>
      <c r="I28" s="191"/>
      <c r="K28" s="207"/>
      <c r="Q28" s="233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">
      <c r="A29" s="180">
        <f>'Données projet'!A42</f>
        <v>50</v>
      </c>
      <c r="B29" s="181">
        <f>'Données projet'!D42</f>
        <v>28</v>
      </c>
      <c r="C29" s="193">
        <f>225*'Données projet'!E42+13.8*('Données projet'!F42+'Données projet'!G42)+10*'Données projet'!G42</f>
        <v>67.5</v>
      </c>
      <c r="D29" s="182">
        <f t="shared" si="2"/>
        <v>1890</v>
      </c>
      <c r="E29" s="193"/>
      <c r="F29" s="232"/>
      <c r="G29" s="202"/>
      <c r="H29" s="190"/>
      <c r="I29" s="191"/>
      <c r="K29" s="207"/>
      <c r="O29" s="23"/>
      <c r="P29" s="23"/>
      <c r="Q29" s="233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">
      <c r="A30" s="180">
        <f>'Données projet'!A43</f>
        <v>55</v>
      </c>
      <c r="B30" s="181">
        <f>'Données projet'!D43</f>
        <v>28</v>
      </c>
      <c r="C30" s="193">
        <f>225*'Données projet'!E43+13.8*('Données projet'!F43+'Données projet'!G43)+10*'Données projet'!G43</f>
        <v>67.5</v>
      </c>
      <c r="D30" s="182">
        <f t="shared" si="2"/>
        <v>1890</v>
      </c>
      <c r="E30" s="193"/>
      <c r="F30" s="232"/>
      <c r="G30" s="202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4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">
      <c r="A31" s="180">
        <f>'Données projet'!A44</f>
        <v>60</v>
      </c>
      <c r="B31" s="181">
        <f>'Données projet'!D44</f>
        <v>28</v>
      </c>
      <c r="C31" s="193">
        <f>225*'Données projet'!E44+13.8*('Données projet'!F44+'Données projet'!G44)+10*'Données projet'!G44</f>
        <v>90</v>
      </c>
      <c r="D31" s="182">
        <f t="shared" si="2"/>
        <v>2520</v>
      </c>
      <c r="E31" s="193"/>
      <c r="F31" s="232"/>
      <c r="G31" s="202"/>
      <c r="H31" s="190"/>
      <c r="I31" s="191"/>
      <c r="K31" s="173"/>
      <c r="Q31" s="233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">
      <c r="A32" s="180">
        <f>'Données projet'!A45</f>
        <v>65</v>
      </c>
      <c r="B32" s="181">
        <f>'Données projet'!D45</f>
        <v>28</v>
      </c>
      <c r="C32" s="193">
        <f>225*'Données projet'!E45+13.8*('Données projet'!F45+'Données projet'!G45)+10*'Données projet'!G45</f>
        <v>90</v>
      </c>
      <c r="D32" s="182">
        <f t="shared" si="2"/>
        <v>2520</v>
      </c>
      <c r="E32" s="193"/>
      <c r="F32" s="232"/>
      <c r="G32" s="202"/>
      <c r="H32" s="190"/>
      <c r="I32" s="191"/>
      <c r="K32" s="173"/>
      <c r="N32" s="4"/>
      <c r="O32" s="85" t="s">
        <v>178</v>
      </c>
      <c r="P32" s="85" t="s">
        <v>252</v>
      </c>
      <c r="Q32" s="233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">
      <c r="A33" s="180">
        <f>'Données projet'!A46</f>
        <v>70</v>
      </c>
      <c r="B33" s="181">
        <f>'Données projet'!D46</f>
        <v>28</v>
      </c>
      <c r="C33" s="193">
        <f>225*'Données projet'!E46+13.8*('Données projet'!F46+'Données projet'!G46)+10*'Données projet'!G46</f>
        <v>112.5</v>
      </c>
      <c r="D33" s="182">
        <f t="shared" si="2"/>
        <v>3150</v>
      </c>
      <c r="E33" s="193"/>
      <c r="F33" s="232"/>
      <c r="G33" s="202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3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">
      <c r="A34" s="180">
        <f>'Données projet'!A47</f>
        <v>75</v>
      </c>
      <c r="B34" s="181">
        <f>'Données projet'!D47</f>
        <v>28</v>
      </c>
      <c r="C34" s="193">
        <f>225*'Données projet'!E47+13.8*('Données projet'!F47+'Données projet'!G47)+10*'Données projet'!G47</f>
        <v>112.5</v>
      </c>
      <c r="D34" s="182">
        <f t="shared" si="2"/>
        <v>3150</v>
      </c>
      <c r="E34" s="193"/>
      <c r="F34" s="232"/>
      <c r="G34" s="202"/>
      <c r="H34" s="190"/>
      <c r="I34" s="191"/>
      <c r="K34" s="173"/>
      <c r="L34" s="98"/>
      <c r="M34" s="98"/>
      <c r="N34" s="249"/>
      <c r="O34" s="194">
        <f>IF(O33+1&lt;=MIN('Données projet'!$E$9:$E$18),O33+1,"STOP")</f>
        <v>1</v>
      </c>
      <c r="P34" s="185">
        <f t="shared" si="3"/>
        <v>0</v>
      </c>
      <c r="Q34" s="233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">
      <c r="A35" s="180">
        <f>'Données projet'!A48</f>
        <v>80</v>
      </c>
      <c r="B35" s="181">
        <f>'Données projet'!D48</f>
        <v>28</v>
      </c>
      <c r="C35" s="193">
        <f>225*'Données projet'!E48+13.8*('Données projet'!F48+'Données projet'!G48)+10*'Données projet'!G48</f>
        <v>135</v>
      </c>
      <c r="D35" s="182">
        <f t="shared" si="2"/>
        <v>3780</v>
      </c>
      <c r="E35" s="193"/>
      <c r="F35" s="232"/>
      <c r="G35" s="202"/>
      <c r="H35" s="190"/>
      <c r="I35" s="191"/>
      <c r="K35" s="173"/>
      <c r="L35" s="98"/>
      <c r="M35" s="98"/>
      <c r="N35" s="249"/>
      <c r="O35" s="194">
        <f>IF(O34+1&lt;=MIN('Données projet'!$E$9:$E$18),O34+1,"STOP")</f>
        <v>2</v>
      </c>
      <c r="P35" s="185">
        <f t="shared" si="3"/>
        <v>0</v>
      </c>
      <c r="Q35" s="233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">
      <c r="A36" s="180">
        <f>'Données projet'!A49</f>
        <v>85</v>
      </c>
      <c r="B36" s="181">
        <f>'Données projet'!D49</f>
        <v>28</v>
      </c>
      <c r="C36" s="193">
        <f>225*'Données projet'!E49+13.8*('Données projet'!F49+'Données projet'!G49)+10*'Données projet'!G49</f>
        <v>135</v>
      </c>
      <c r="D36" s="182">
        <f t="shared" si="2"/>
        <v>3780</v>
      </c>
      <c r="E36" s="193"/>
      <c r="F36" s="232"/>
      <c r="G36" s="202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3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">
      <c r="A37" s="180">
        <f>'Données projet'!A50</f>
        <v>90</v>
      </c>
      <c r="B37" s="181">
        <f>'Données projet'!D50</f>
        <v>28</v>
      </c>
      <c r="C37" s="193">
        <f>225*'Données projet'!E50+13.8*('Données projet'!F50+'Données projet'!G50)+10*'Données projet'!G50</f>
        <v>157.5</v>
      </c>
      <c r="D37" s="182">
        <f t="shared" si="2"/>
        <v>4410</v>
      </c>
      <c r="E37" s="193"/>
      <c r="F37" s="232"/>
      <c r="G37" s="202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3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">
      <c r="A38" s="180">
        <f>'Données projet'!A51</f>
        <v>95</v>
      </c>
      <c r="B38" s="181">
        <f>'Données projet'!D51</f>
        <v>28</v>
      </c>
      <c r="C38" s="193">
        <f>225*'Données projet'!E51+13.8*('Données projet'!F51+'Données projet'!G51)+10*'Données projet'!G51</f>
        <v>157.5</v>
      </c>
      <c r="D38" s="182">
        <f t="shared" si="2"/>
        <v>4410</v>
      </c>
      <c r="E38" s="193"/>
      <c r="F38" s="232"/>
      <c r="G38" s="202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3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">
      <c r="A39" s="180">
        <f>'Données projet'!A52</f>
        <v>100</v>
      </c>
      <c r="B39" s="181">
        <f>'Données projet'!D52</f>
        <v>27</v>
      </c>
      <c r="C39" s="193">
        <f>225*'Données projet'!E52+13.8*('Données projet'!F52+'Données projet'!G52)+10*'Données projet'!G52</f>
        <v>180</v>
      </c>
      <c r="D39" s="182">
        <f t="shared" si="2"/>
        <v>4860</v>
      </c>
      <c r="E39" s="193"/>
      <c r="F39" s="232"/>
      <c r="G39" s="202"/>
      <c r="H39" s="190"/>
      <c r="I39" s="191"/>
      <c r="K39" s="207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3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">
      <c r="A40" s="180">
        <f>'Données projet'!A53</f>
        <v>110</v>
      </c>
      <c r="B40" s="181">
        <f>'Données projet'!D53</f>
        <v>51</v>
      </c>
      <c r="C40" s="193">
        <f>225*'Données projet'!E53+13.8*('Données projet'!F53+'Données projet'!G53)+10*'Données projet'!G53</f>
        <v>180</v>
      </c>
      <c r="D40" s="182">
        <f t="shared" si="2"/>
        <v>9180</v>
      </c>
      <c r="E40" s="193"/>
      <c r="F40" s="232"/>
      <c r="G40" s="202"/>
      <c r="H40" s="190"/>
      <c r="I40" s="191"/>
      <c r="K40" s="207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3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">
      <c r="A41" s="180">
        <f>'Données projet'!A54</f>
        <v>115</v>
      </c>
      <c r="B41" s="181">
        <f>'Données projet'!D54</f>
        <v>24</v>
      </c>
      <c r="C41" s="193">
        <f>225*'Données projet'!E54+13.8*('Données projet'!F54+'Données projet'!G54)+10*'Données projet'!G54</f>
        <v>180</v>
      </c>
      <c r="D41" s="182">
        <f t="shared" si="2"/>
        <v>4320</v>
      </c>
      <c r="E41" s="193"/>
      <c r="F41" s="232"/>
      <c r="G41" s="202"/>
      <c r="H41" s="190"/>
      <c r="I41" s="191"/>
      <c r="K41" s="207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3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">
      <c r="A42" s="180">
        <f>'Données projet'!A55</f>
        <v>120</v>
      </c>
      <c r="B42" s="181">
        <f>'Données projet'!D55</f>
        <v>328</v>
      </c>
      <c r="C42" s="193">
        <f>225*'Données projet'!E55+13.8*('Données projet'!F55+'Données projet'!G55)+10*'Données projet'!G55</f>
        <v>202.5</v>
      </c>
      <c r="D42" s="182">
        <f t="shared" si="2"/>
        <v>66420</v>
      </c>
      <c r="E42" s="193"/>
      <c r="F42" s="232"/>
      <c r="G42" s="202"/>
      <c r="H42" s="190"/>
      <c r="I42" s="191"/>
      <c r="K42" s="207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3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">
      <c r="A43" s="187"/>
      <c r="B43" s="187"/>
      <c r="C43" s="187"/>
      <c r="D43" s="226"/>
      <c r="E43" s="226"/>
      <c r="F43" s="237"/>
      <c r="G43" s="202"/>
      <c r="H43" s="190"/>
      <c r="I43" s="191"/>
      <c r="K43" s="207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">
      <c r="A44" s="4"/>
      <c r="B44" s="4"/>
      <c r="C44" s="4"/>
      <c r="D44" s="4"/>
      <c r="E44" s="4"/>
      <c r="F44" s="229"/>
      <c r="G44" s="202"/>
      <c r="H44" s="190"/>
      <c r="I44" s="191"/>
      <c r="K44" s="207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">
      <c r="A45" s="46" t="s">
        <v>166</v>
      </c>
      <c r="B45" s="174" t="str">
        <f>IF('Données projet'!$B$10="","",'Données projet'!$B$10)</f>
        <v>Hêtre</v>
      </c>
      <c r="C45" s="4"/>
      <c r="D45" s="4"/>
      <c r="E45" s="4"/>
      <c r="F45" s="229"/>
      <c r="G45" s="202"/>
      <c r="H45" s="190"/>
      <c r="I45" s="191"/>
      <c r="J45" s="23"/>
      <c r="K45" s="207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">
      <c r="A46" s="4"/>
      <c r="B46" s="4"/>
      <c r="C46" s="4"/>
      <c r="D46" s="4"/>
      <c r="E46" s="4"/>
      <c r="F46" s="229"/>
      <c r="G46" s="202"/>
      <c r="H46" s="190"/>
      <c r="I46" s="191"/>
      <c r="J46" s="23"/>
      <c r="K46" s="207"/>
      <c r="L46" s="203"/>
      <c r="M46" s="203"/>
      <c r="N46" s="203"/>
      <c r="O46" s="194">
        <f>IF(O45+1&lt;=MIN('Données projet'!$E$9:$E$18),O45+1,"STOP")</f>
        <v>13</v>
      </c>
      <c r="P46" s="188">
        <f t="shared" si="3"/>
        <v>0</v>
      </c>
      <c r="Q46" s="23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0"/>
      <c r="G47" s="202"/>
      <c r="H47" s="190"/>
      <c r="I47" s="191"/>
      <c r="J47" s="23"/>
      <c r="K47" s="207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ht="16" x14ac:dyDescent="0.2">
      <c r="A48" s="49">
        <v>0</v>
      </c>
      <c r="B48" s="198" t="s">
        <v>132</v>
      </c>
      <c r="C48" s="197" t="s">
        <v>132</v>
      </c>
      <c r="D48" s="196" t="s">
        <v>132</v>
      </c>
      <c r="E48" s="193">
        <v>5135</v>
      </c>
      <c r="F48" s="230"/>
      <c r="G48" s="202"/>
      <c r="H48" s="190"/>
      <c r="I48" s="191"/>
      <c r="J48" s="23"/>
      <c r="K48" s="207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">
      <c r="A49" s="49">
        <v>1</v>
      </c>
      <c r="B49" s="198" t="s">
        <v>132</v>
      </c>
      <c r="C49" s="197" t="s">
        <v>132</v>
      </c>
      <c r="D49" s="196" t="s">
        <v>132</v>
      </c>
      <c r="E49" s="193"/>
      <c r="F49" s="230"/>
      <c r="G49" s="203"/>
      <c r="H49" s="190"/>
      <c r="I49" s="191"/>
      <c r="J49" s="203"/>
      <c r="K49" s="209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5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ht="16" x14ac:dyDescent="0.2">
      <c r="A50" s="49">
        <v>2</v>
      </c>
      <c r="B50" s="198" t="s">
        <v>132</v>
      </c>
      <c r="C50" s="197" t="s">
        <v>132</v>
      </c>
      <c r="D50" s="196" t="s">
        <v>132</v>
      </c>
      <c r="E50" s="193"/>
      <c r="F50" s="230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ht="16" x14ac:dyDescent="0.2">
      <c r="A51" s="49">
        <v>3</v>
      </c>
      <c r="B51" s="198" t="s">
        <v>132</v>
      </c>
      <c r="C51" s="197" t="s">
        <v>132</v>
      </c>
      <c r="D51" s="196" t="s">
        <v>132</v>
      </c>
      <c r="E51" s="193"/>
      <c r="F51" s="230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ht="16" x14ac:dyDescent="0.2">
      <c r="A52" s="49">
        <v>4</v>
      </c>
      <c r="B52" s="198" t="s">
        <v>132</v>
      </c>
      <c r="C52" s="197" t="s">
        <v>132</v>
      </c>
      <c r="D52" s="196" t="s">
        <v>132</v>
      </c>
      <c r="E52" s="193"/>
      <c r="F52" s="230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">
      <c r="A53" s="49">
        <v>5</v>
      </c>
      <c r="B53" s="198" t="s">
        <v>132</v>
      </c>
      <c r="C53" s="197" t="s">
        <v>132</v>
      </c>
      <c r="D53" s="196" t="s">
        <v>132</v>
      </c>
      <c r="E53" s="193"/>
      <c r="F53" s="230"/>
      <c r="G53" s="204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">
      <c r="A54" s="180">
        <f>'Données projet'!A62</f>
        <v>20</v>
      </c>
      <c r="B54" s="181">
        <f>'Données projet'!D62</f>
        <v>0</v>
      </c>
      <c r="C54" s="191">
        <f>47*'Données projet'!E62+13.8*('Données projet'!F62+'Données projet'!G62)+10*'Données projet'!H62</f>
        <v>10</v>
      </c>
      <c r="D54" s="179">
        <f>B54*C54</f>
        <v>0</v>
      </c>
      <c r="E54" s="193"/>
      <c r="F54" s="231"/>
      <c r="G54" s="204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">
      <c r="A55" s="180">
        <f>'Données projet'!A63</f>
        <v>25</v>
      </c>
      <c r="B55" s="181">
        <f>'Données projet'!D63</f>
        <v>7</v>
      </c>
      <c r="C55" s="191">
        <f>47*'Données projet'!E63+13.8*('Données projet'!F63+'Données projet'!G63)+10*'Données projet'!H63</f>
        <v>10</v>
      </c>
      <c r="D55" s="179">
        <f t="shared" ref="D55:D73" si="4">B55*C55</f>
        <v>70</v>
      </c>
      <c r="E55" s="193"/>
      <c r="F55" s="231"/>
      <c r="G55" s="204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">
      <c r="A56" s="180">
        <f>'Données projet'!A64</f>
        <v>30</v>
      </c>
      <c r="B56" s="181">
        <f>'Données projet'!D64</f>
        <v>28</v>
      </c>
      <c r="C56" s="191">
        <f>47*'Données projet'!E64+13.8*('Données projet'!F64+'Données projet'!G64)+10*'Données projet'!H64</f>
        <v>10</v>
      </c>
      <c r="D56" s="179">
        <f t="shared" si="4"/>
        <v>280</v>
      </c>
      <c r="E56" s="193"/>
      <c r="F56" s="231"/>
      <c r="G56" s="204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">
      <c r="A57" s="180">
        <f>'Données projet'!A65</f>
        <v>35</v>
      </c>
      <c r="B57" s="181">
        <f>'Données projet'!D65</f>
        <v>28</v>
      </c>
      <c r="C57" s="191">
        <f>47*'Données projet'!E65+13.8*('Données projet'!F65+'Données projet'!G65)+10*'Données projet'!H65</f>
        <v>10</v>
      </c>
      <c r="D57" s="179">
        <f t="shared" si="4"/>
        <v>280</v>
      </c>
      <c r="E57" s="193"/>
      <c r="F57" s="231"/>
      <c r="G57" s="204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">
      <c r="A58" s="180">
        <f>'Données projet'!A66</f>
        <v>40</v>
      </c>
      <c r="B58" s="181">
        <f>'Données projet'!D66</f>
        <v>28</v>
      </c>
      <c r="C58" s="191">
        <f>47*'Données projet'!E66+13.8*('Données projet'!F66+'Données projet'!G66)+10*'Données projet'!H66</f>
        <v>17.399999999999999</v>
      </c>
      <c r="D58" s="179">
        <f t="shared" si="4"/>
        <v>487.19999999999993</v>
      </c>
      <c r="E58" s="193"/>
      <c r="F58" s="231"/>
      <c r="G58" s="204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">
      <c r="A59" s="180">
        <f>'Données projet'!A67</f>
        <v>45</v>
      </c>
      <c r="B59" s="181">
        <f>'Données projet'!D67</f>
        <v>28</v>
      </c>
      <c r="C59" s="191">
        <f>47*'Données projet'!E67+13.8*('Données projet'!F67+'Données projet'!G67)+10*'Données projet'!H67</f>
        <v>17.399999999999999</v>
      </c>
      <c r="D59" s="179">
        <f t="shared" si="4"/>
        <v>487.19999999999993</v>
      </c>
      <c r="E59" s="193"/>
      <c r="F59" s="231"/>
      <c r="G59" s="204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">
      <c r="A60" s="180">
        <f>'Données projet'!A68</f>
        <v>50</v>
      </c>
      <c r="B60" s="181">
        <f>'Données projet'!D68</f>
        <v>28</v>
      </c>
      <c r="C60" s="191">
        <f>47*'Données projet'!E68+13.8*('Données projet'!F68+'Données projet'!G68)+10*'Données projet'!H68</f>
        <v>21.1</v>
      </c>
      <c r="D60" s="179">
        <f t="shared" si="4"/>
        <v>590.80000000000007</v>
      </c>
      <c r="E60" s="193"/>
      <c r="F60" s="231"/>
      <c r="G60" s="205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">
      <c r="A61" s="180">
        <f>'Données projet'!A69</f>
        <v>55</v>
      </c>
      <c r="B61" s="181">
        <f>'Données projet'!D69</f>
        <v>28</v>
      </c>
      <c r="C61" s="191">
        <f>47*'Données projet'!E69+13.8*('Données projet'!F69+'Données projet'!G69)+10*'Données projet'!H69</f>
        <v>21.1</v>
      </c>
      <c r="D61" s="179">
        <f t="shared" si="4"/>
        <v>590.80000000000007</v>
      </c>
      <c r="E61" s="193"/>
      <c r="F61" s="231"/>
      <c r="G61" s="205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">
      <c r="A62" s="180">
        <f>'Données projet'!A70</f>
        <v>60</v>
      </c>
      <c r="B62" s="181">
        <f>'Données projet'!D70</f>
        <v>28</v>
      </c>
      <c r="C62" s="191">
        <f>47*'Données projet'!E70+13.8*('Données projet'!F70+'Données projet'!G70)+10*'Données projet'!H70</f>
        <v>24.8</v>
      </c>
      <c r="D62" s="179">
        <f t="shared" si="4"/>
        <v>694.4</v>
      </c>
      <c r="E62" s="193"/>
      <c r="F62" s="231"/>
      <c r="G62" s="205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">
      <c r="A63" s="180">
        <f>'Données projet'!A71</f>
        <v>65</v>
      </c>
      <c r="B63" s="181">
        <f>'Données projet'!D71</f>
        <v>28</v>
      </c>
      <c r="C63" s="191">
        <f>47*'Données projet'!E71+13.8*('Données projet'!F71+'Données projet'!G71)+10*'Données projet'!H71</f>
        <v>24.8</v>
      </c>
      <c r="D63" s="179">
        <f t="shared" si="4"/>
        <v>694.4</v>
      </c>
      <c r="E63" s="193"/>
      <c r="F63" s="231"/>
      <c r="G63" s="205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">
      <c r="A64" s="180">
        <f>'Données projet'!A72</f>
        <v>70</v>
      </c>
      <c r="B64" s="181">
        <f>'Données projet'!D72</f>
        <v>28</v>
      </c>
      <c r="C64" s="191">
        <f>47*'Données projet'!E72+13.8*('Données projet'!F72+'Données projet'!G72)+10*'Données projet'!H72</f>
        <v>28.5</v>
      </c>
      <c r="D64" s="179">
        <f t="shared" si="4"/>
        <v>798</v>
      </c>
      <c r="E64" s="193"/>
      <c r="F64" s="231"/>
      <c r="G64" s="205"/>
      <c r="H64" s="190"/>
      <c r="I64" s="191"/>
      <c r="J64" s="206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">
      <c r="A65" s="180">
        <f>'Données projet'!A73</f>
        <v>75</v>
      </c>
      <c r="B65" s="181">
        <f>'Données projet'!D73</f>
        <v>28</v>
      </c>
      <c r="C65" s="191">
        <f>47*'Données projet'!E73+13.8*('Données projet'!F73+'Données projet'!G73)+10*'Données projet'!H73</f>
        <v>28.5</v>
      </c>
      <c r="D65" s="179">
        <f t="shared" si="4"/>
        <v>798</v>
      </c>
      <c r="E65" s="193"/>
      <c r="F65" s="231"/>
      <c r="G65" s="205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">
      <c r="A66" s="180">
        <f>'Données projet'!A74</f>
        <v>80</v>
      </c>
      <c r="B66" s="181">
        <f>'Données projet'!D74</f>
        <v>28</v>
      </c>
      <c r="C66" s="191">
        <f>47*'Données projet'!E74+13.8*('Données projet'!F74+'Données projet'!G74)+10*'Données projet'!H74</f>
        <v>32.200000000000003</v>
      </c>
      <c r="D66" s="179">
        <f t="shared" si="4"/>
        <v>901.60000000000014</v>
      </c>
      <c r="E66" s="193"/>
      <c r="F66" s="231"/>
      <c r="G66" s="205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">
      <c r="A67" s="180">
        <f>'Données projet'!A75</f>
        <v>85</v>
      </c>
      <c r="B67" s="181">
        <f>'Données projet'!D75</f>
        <v>27</v>
      </c>
      <c r="C67" s="191">
        <f>47*'Données projet'!E75+13.8*('Données projet'!F75+'Données projet'!G75)+10*'Données projet'!H75</f>
        <v>32.200000000000003</v>
      </c>
      <c r="D67" s="179">
        <f t="shared" si="4"/>
        <v>869.40000000000009</v>
      </c>
      <c r="E67" s="193"/>
      <c r="F67" s="231"/>
      <c r="G67" s="205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">
      <c r="A68" s="180">
        <f>'Données projet'!A76</f>
        <v>90</v>
      </c>
      <c r="B68" s="181">
        <f>'Données projet'!D76</f>
        <v>26</v>
      </c>
      <c r="C68" s="191">
        <f>47*'Données projet'!E76+13.8*('Données projet'!F76+'Données projet'!G76)+10*'Données projet'!H76</f>
        <v>35.9</v>
      </c>
      <c r="D68" s="179">
        <f t="shared" si="4"/>
        <v>933.4</v>
      </c>
      <c r="E68" s="193"/>
      <c r="F68" s="231"/>
      <c r="G68" s="205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">
      <c r="A69" s="180">
        <f>'Données projet'!A77</f>
        <v>95</v>
      </c>
      <c r="B69" s="181">
        <f>'Données projet'!D77</f>
        <v>25</v>
      </c>
      <c r="C69" s="191">
        <f>47*'Données projet'!E77+13.8*('Données projet'!F77+'Données projet'!G77)+10*'Données projet'!H77</f>
        <v>35.9</v>
      </c>
      <c r="D69" s="179">
        <f t="shared" si="4"/>
        <v>897.5</v>
      </c>
      <c r="E69" s="193"/>
      <c r="F69" s="231"/>
      <c r="G69" s="205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">
      <c r="A70" s="180">
        <f>'Données projet'!A78</f>
        <v>100</v>
      </c>
      <c r="B70" s="181">
        <f>'Données projet'!D78</f>
        <v>400</v>
      </c>
      <c r="C70" s="191">
        <f>47*'Données projet'!E78+13.8*('Données projet'!F78+'Données projet'!G78)+10*'Données projet'!H78</f>
        <v>39.6</v>
      </c>
      <c r="D70" s="179">
        <f t="shared" si="4"/>
        <v>15840</v>
      </c>
      <c r="E70" s="193"/>
      <c r="F70" s="231"/>
      <c r="G70" s="205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">
      <c r="A71" s="180">
        <f>'Données projet'!A79</f>
        <v>0</v>
      </c>
      <c r="B71" s="181">
        <f>'Données projet'!D79</f>
        <v>0</v>
      </c>
      <c r="C71" s="191">
        <f>47*'Données projet'!E79+13.8*('Données projet'!F79+'Données projet'!G79)+10*'Données projet'!H79</f>
        <v>0</v>
      </c>
      <c r="D71" s="179">
        <f t="shared" si="4"/>
        <v>0</v>
      </c>
      <c r="E71" s="193"/>
      <c r="F71" s="231"/>
      <c r="G71" s="205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">
      <c r="A72" s="180">
        <f>'Données projet'!A80</f>
        <v>0</v>
      </c>
      <c r="B72" s="181">
        <f>'Données projet'!D80</f>
        <v>0</v>
      </c>
      <c r="C72" s="191">
        <f>47*'Données projet'!E80+13.8*('Données projet'!F80+'Données projet'!G80)+10*'Données projet'!H80</f>
        <v>0</v>
      </c>
      <c r="D72" s="179">
        <f t="shared" si="4"/>
        <v>0</v>
      </c>
      <c r="E72" s="193"/>
      <c r="F72" s="231"/>
      <c r="G72" s="205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">
      <c r="A73" s="180">
        <f>'Données projet'!A81</f>
        <v>0</v>
      </c>
      <c r="B73" s="181">
        <f>'Données projet'!D81</f>
        <v>0</v>
      </c>
      <c r="C73" s="191">
        <f>47*'Données projet'!E81+13.8*('Données projet'!F81+'Données projet'!G81)+10*'Données projet'!H81</f>
        <v>0</v>
      </c>
      <c r="D73" s="179">
        <f t="shared" si="4"/>
        <v>0</v>
      </c>
      <c r="E73" s="193"/>
      <c r="F73" s="231"/>
      <c r="G73" s="205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">
      <c r="A74" s="4"/>
      <c r="B74" s="4"/>
      <c r="C74" s="4"/>
      <c r="D74" s="4"/>
      <c r="E74" s="4"/>
      <c r="F74" s="229"/>
      <c r="G74" s="205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">
      <c r="A75" s="4"/>
      <c r="B75" s="4"/>
      <c r="C75" s="4"/>
      <c r="D75" s="4"/>
      <c r="E75" s="4"/>
      <c r="F75" s="229"/>
      <c r="G75" s="205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">
      <c r="A76" s="46" t="s">
        <v>167</v>
      </c>
      <c r="B76" s="174" t="str">
        <f>IF('Données projet'!B11="","",'Données projet'!B11)</f>
        <v>Merisier</v>
      </c>
      <c r="C76" s="4"/>
      <c r="D76" s="4"/>
      <c r="E76" s="4"/>
      <c r="F76" s="229"/>
      <c r="G76" s="205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">
      <c r="A77" s="4"/>
      <c r="B77" s="4"/>
      <c r="C77" s="4"/>
      <c r="D77" s="4"/>
      <c r="E77" s="4"/>
      <c r="F77" s="229"/>
      <c r="G77" s="205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16" x14ac:dyDescent="0.2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0"/>
      <c r="G78" s="205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ht="16" x14ac:dyDescent="0.2">
      <c r="A79" s="49">
        <v>0</v>
      </c>
      <c r="B79" s="198" t="s">
        <v>132</v>
      </c>
      <c r="C79" s="197" t="s">
        <v>132</v>
      </c>
      <c r="D79" s="196" t="s">
        <v>132</v>
      </c>
      <c r="E79" s="193">
        <v>6235</v>
      </c>
      <c r="F79" s="230"/>
      <c r="G79" s="205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ht="16" x14ac:dyDescent="0.2">
      <c r="A80" s="49">
        <v>1</v>
      </c>
      <c r="B80" s="198" t="s">
        <v>132</v>
      </c>
      <c r="C80" s="197" t="s">
        <v>132</v>
      </c>
      <c r="D80" s="196" t="s">
        <v>132</v>
      </c>
      <c r="E80" s="193"/>
      <c r="F80" s="230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ht="16" x14ac:dyDescent="0.2">
      <c r="A81" s="49">
        <v>2</v>
      </c>
      <c r="B81" s="198" t="s">
        <v>132</v>
      </c>
      <c r="C81" s="197" t="s">
        <v>132</v>
      </c>
      <c r="D81" s="196" t="s">
        <v>132</v>
      </c>
      <c r="E81" s="193"/>
      <c r="F81" s="230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ht="16" x14ac:dyDescent="0.2">
      <c r="A82" s="49">
        <v>3</v>
      </c>
      <c r="B82" s="198" t="s">
        <v>132</v>
      </c>
      <c r="C82" s="197" t="s">
        <v>132</v>
      </c>
      <c r="D82" s="196" t="s">
        <v>132</v>
      </c>
      <c r="E82" s="193"/>
      <c r="F82" s="230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ht="16" x14ac:dyDescent="0.2">
      <c r="A83" s="49">
        <v>4</v>
      </c>
      <c r="B83" s="198" t="s">
        <v>132</v>
      </c>
      <c r="C83" s="197" t="s">
        <v>132</v>
      </c>
      <c r="D83" s="196" t="s">
        <v>132</v>
      </c>
      <c r="E83" s="193"/>
      <c r="F83" s="230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">
      <c r="A84" s="49">
        <v>5</v>
      </c>
      <c r="B84" s="198" t="s">
        <v>132</v>
      </c>
      <c r="C84" s="197" t="s">
        <v>132</v>
      </c>
      <c r="D84" s="196" t="s">
        <v>132</v>
      </c>
      <c r="E84" s="193"/>
      <c r="F84" s="230"/>
      <c r="G84" s="204"/>
      <c r="H84" s="190"/>
      <c r="I84" s="191"/>
      <c r="J84" s="4"/>
      <c r="K84" s="173"/>
      <c r="L84" s="4"/>
      <c r="M84" s="4"/>
      <c r="N84" s="4"/>
      <c r="O84" s="194" t="str">
        <f>IF(O83+1&lt;=MIN('Données projet'!$E$9:$E$18),O83+1,"STOP")</f>
        <v>STOP</v>
      </c>
      <c r="P84" s="185" t="e">
        <f t="shared" si="5"/>
        <v>#VALUE!</v>
      </c>
      <c r="Q84" s="23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">
      <c r="A85" s="180">
        <f>'Données projet'!A88</f>
        <v>15</v>
      </c>
      <c r="B85" s="181">
        <f>'Données projet'!D88</f>
        <v>3</v>
      </c>
      <c r="C85" s="191">
        <f>80*'Données projet'!E88+13.8*('Données projet'!F88+'Données projet'!G88)+10*'Données projet'!H88</f>
        <v>10</v>
      </c>
      <c r="D85" s="179">
        <f>B85*C85</f>
        <v>30</v>
      </c>
      <c r="E85" s="193"/>
      <c r="F85" s="231"/>
      <c r="G85" s="204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">
      <c r="A86" s="180">
        <f>'Données projet'!A89</f>
        <v>20</v>
      </c>
      <c r="B86" s="181">
        <f>'Données projet'!D89</f>
        <v>25</v>
      </c>
      <c r="C86" s="191">
        <f>80*'Données projet'!E89+13.8*('Données projet'!F89+'Données projet'!G89)+10*'Données projet'!H89</f>
        <v>24</v>
      </c>
      <c r="D86" s="179">
        <f t="shared" ref="D86:D104" si="6">B86*C86</f>
        <v>600</v>
      </c>
      <c r="E86" s="193"/>
      <c r="F86" s="231"/>
      <c r="G86" s="204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">
      <c r="A87" s="180">
        <f>'Données projet'!A90</f>
        <v>25</v>
      </c>
      <c r="B87" s="181">
        <f>'Données projet'!D90</f>
        <v>37</v>
      </c>
      <c r="C87" s="191">
        <f>80*'Données projet'!E90+13.8*('Données projet'!F90+'Données projet'!G90)+10*'Données projet'!H90</f>
        <v>31</v>
      </c>
      <c r="D87" s="179">
        <f t="shared" si="6"/>
        <v>1147</v>
      </c>
      <c r="E87" s="193"/>
      <c r="F87" s="231"/>
      <c r="G87" s="204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">
      <c r="A88" s="180">
        <f>'Données projet'!A91</f>
        <v>31</v>
      </c>
      <c r="B88" s="181">
        <f>'Données projet'!D91</f>
        <v>36</v>
      </c>
      <c r="C88" s="191">
        <f>80*'Données projet'!E91+13.8*('Données projet'!F91+'Données projet'!G91)+10*'Données projet'!H91</f>
        <v>31</v>
      </c>
      <c r="D88" s="179">
        <f t="shared" si="6"/>
        <v>1116</v>
      </c>
      <c r="E88" s="193"/>
      <c r="F88" s="231"/>
      <c r="G88" s="204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">
      <c r="A89" s="180">
        <f>'Données projet'!A92</f>
        <v>37</v>
      </c>
      <c r="B89" s="181">
        <f>'Données projet'!D92</f>
        <v>36</v>
      </c>
      <c r="C89" s="191">
        <f>80*'Données projet'!E92+13.8*('Données projet'!F92+'Données projet'!G92)+10*'Données projet'!H92</f>
        <v>38</v>
      </c>
      <c r="D89" s="179">
        <f t="shared" si="6"/>
        <v>1368</v>
      </c>
      <c r="E89" s="193"/>
      <c r="F89" s="231"/>
      <c r="G89" s="204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">
      <c r="A90" s="180">
        <f>'Données projet'!A93</f>
        <v>44</v>
      </c>
      <c r="B90" s="181">
        <f>'Données projet'!D93</f>
        <v>43</v>
      </c>
      <c r="C90" s="191">
        <f>80*'Données projet'!E93+13.8*('Données projet'!F93+'Données projet'!G93)+10*'Données projet'!H93</f>
        <v>45</v>
      </c>
      <c r="D90" s="179">
        <f t="shared" si="6"/>
        <v>1935</v>
      </c>
      <c r="E90" s="193"/>
      <c r="F90" s="231"/>
      <c r="G90" s="204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">
      <c r="A91" s="180">
        <f>'Données projet'!A94</f>
        <v>52</v>
      </c>
      <c r="B91" s="181">
        <f>'Données projet'!D94</f>
        <v>28</v>
      </c>
      <c r="C91" s="191">
        <f>80*'Données projet'!E94+13.8*('Données projet'!F94+'Données projet'!G94)+10*'Données projet'!H94</f>
        <v>45</v>
      </c>
      <c r="D91" s="179">
        <f t="shared" si="6"/>
        <v>1260</v>
      </c>
      <c r="E91" s="193"/>
      <c r="F91" s="231"/>
      <c r="G91" s="205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">
      <c r="A92" s="180">
        <f>'Données projet'!A95</f>
        <v>60</v>
      </c>
      <c r="B92" s="181">
        <f>'Données projet'!D95</f>
        <v>47</v>
      </c>
      <c r="C92" s="191">
        <f>80*'Données projet'!E95+13.8*('Données projet'!F95+'Données projet'!G95)+10*'Données projet'!H95</f>
        <v>52</v>
      </c>
      <c r="D92" s="179">
        <f t="shared" si="6"/>
        <v>2444</v>
      </c>
      <c r="E92" s="193"/>
      <c r="F92" s="231"/>
      <c r="G92" s="205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">
      <c r="A93" s="180">
        <f>'Données projet'!A96</f>
        <v>70</v>
      </c>
      <c r="B93" s="181">
        <f>'Données projet'!D96</f>
        <v>328</v>
      </c>
      <c r="C93" s="191">
        <f>80*'Données projet'!E96+13.8*('Données projet'!F96+'Données projet'!G96)+10*'Données projet'!H96</f>
        <v>52</v>
      </c>
      <c r="D93" s="179">
        <f t="shared" si="6"/>
        <v>17056</v>
      </c>
      <c r="E93" s="193"/>
      <c r="F93" s="231"/>
      <c r="G93" s="205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">
      <c r="A94" s="180">
        <f>'Données projet'!A97</f>
        <v>0</v>
      </c>
      <c r="B94" s="181">
        <f>'Données projet'!D97</f>
        <v>0</v>
      </c>
      <c r="C94" s="191">
        <f>80*'Données projet'!E97+13.8*('Données projet'!F97+'Données projet'!G97)+10*'Données projet'!H97</f>
        <v>0</v>
      </c>
      <c r="D94" s="179">
        <f t="shared" si="6"/>
        <v>0</v>
      </c>
      <c r="E94" s="193"/>
      <c r="F94" s="231"/>
      <c r="G94" s="205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">
      <c r="A95" s="180">
        <f>'Données projet'!A98</f>
        <v>0</v>
      </c>
      <c r="B95" s="181">
        <f>'Données projet'!D98</f>
        <v>0</v>
      </c>
      <c r="C95" s="191">
        <f>80*'Données projet'!E98+13.8*('Données projet'!F98+'Données projet'!G98)+10*'Données projet'!H98</f>
        <v>0</v>
      </c>
      <c r="D95" s="179">
        <f t="shared" si="6"/>
        <v>0</v>
      </c>
      <c r="E95" s="193"/>
      <c r="F95" s="231"/>
      <c r="G95" s="205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">
      <c r="A96" s="180">
        <f>'Données projet'!A99</f>
        <v>0</v>
      </c>
      <c r="B96" s="181">
        <f>'Données projet'!D99</f>
        <v>0</v>
      </c>
      <c r="C96" s="191">
        <f>80*'Données projet'!E99+13.8*('Données projet'!F99+'Données projet'!G99)+10*'Données projet'!H99</f>
        <v>0</v>
      </c>
      <c r="D96" s="179">
        <f t="shared" si="6"/>
        <v>0</v>
      </c>
      <c r="E96" s="193"/>
      <c r="F96" s="231"/>
      <c r="G96" s="205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">
      <c r="A97" s="180">
        <f>'Données projet'!A100</f>
        <v>0</v>
      </c>
      <c r="B97" s="181">
        <f>'Données projet'!D100</f>
        <v>0</v>
      </c>
      <c r="C97" s="191">
        <f>80*'Données projet'!E100+13.8*('Données projet'!F100+'Données projet'!G100)+10*'Données projet'!H100</f>
        <v>0</v>
      </c>
      <c r="D97" s="179">
        <f t="shared" si="6"/>
        <v>0</v>
      </c>
      <c r="E97" s="193"/>
      <c r="F97" s="231"/>
      <c r="G97" s="205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">
      <c r="A98" s="180">
        <f>'Données projet'!A101</f>
        <v>0</v>
      </c>
      <c r="B98" s="181">
        <f>'Données projet'!D101</f>
        <v>0</v>
      </c>
      <c r="C98" s="191">
        <f>80*'Données projet'!E101+13.8*('Données projet'!F101+'Données projet'!G101)+10*'Données projet'!H101</f>
        <v>0</v>
      </c>
      <c r="D98" s="179">
        <f t="shared" si="6"/>
        <v>0</v>
      </c>
      <c r="E98" s="193"/>
      <c r="F98" s="231"/>
      <c r="G98" s="205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">
      <c r="A99" s="180">
        <f>'Données projet'!A102</f>
        <v>0</v>
      </c>
      <c r="B99" s="181">
        <f>'Données projet'!D102</f>
        <v>0</v>
      </c>
      <c r="C99" s="191">
        <f>80*'Données projet'!E102+13.8*('Données projet'!F102+'Données projet'!G102)+10*'Données projet'!H102</f>
        <v>0</v>
      </c>
      <c r="D99" s="179">
        <f t="shared" si="6"/>
        <v>0</v>
      </c>
      <c r="E99" s="193"/>
      <c r="F99" s="231"/>
      <c r="G99" s="205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">
      <c r="A100" s="180">
        <f>'Données projet'!A103</f>
        <v>0</v>
      </c>
      <c r="B100" s="181">
        <f>'Données projet'!D103</f>
        <v>0</v>
      </c>
      <c r="C100" s="191">
        <f>80*'Données projet'!E103+13.8*('Données projet'!F103+'Données projet'!G103)+10*'Données projet'!H103</f>
        <v>0</v>
      </c>
      <c r="D100" s="179">
        <f t="shared" si="6"/>
        <v>0</v>
      </c>
      <c r="E100" s="193"/>
      <c r="F100" s="231"/>
      <c r="G100" s="205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">
      <c r="A101" s="180">
        <f>'Données projet'!A104</f>
        <v>0</v>
      </c>
      <c r="B101" s="181">
        <f>'Données projet'!D104</f>
        <v>0</v>
      </c>
      <c r="C101" s="191">
        <f>80*'Données projet'!E104+13.8*('Données projet'!F104+'Données projet'!G104)+10*'Données projet'!H104</f>
        <v>0</v>
      </c>
      <c r="D101" s="179">
        <f t="shared" si="6"/>
        <v>0</v>
      </c>
      <c r="E101" s="193"/>
      <c r="F101" s="231"/>
      <c r="G101" s="205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">
      <c r="A102" s="180">
        <f>'Données projet'!A105</f>
        <v>0</v>
      </c>
      <c r="B102" s="181">
        <f>'Données projet'!D105</f>
        <v>0</v>
      </c>
      <c r="C102" s="191">
        <f>80*'Données projet'!E105+13.8*('Données projet'!F105+'Données projet'!G105)+10*'Données projet'!H105</f>
        <v>0</v>
      </c>
      <c r="D102" s="179">
        <f t="shared" si="6"/>
        <v>0</v>
      </c>
      <c r="E102" s="193"/>
      <c r="F102" s="231"/>
      <c r="G102" s="205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">
      <c r="A103" s="180">
        <f>'Données projet'!A106</f>
        <v>0</v>
      </c>
      <c r="B103" s="181">
        <f>'Données projet'!D106</f>
        <v>0</v>
      </c>
      <c r="C103" s="191">
        <f>80*'Données projet'!E106+13.8*('Données projet'!F106+'Données projet'!G106)+10*'Données projet'!H106</f>
        <v>0</v>
      </c>
      <c r="D103" s="179">
        <f t="shared" si="6"/>
        <v>0</v>
      </c>
      <c r="E103" s="193"/>
      <c r="F103" s="231"/>
      <c r="G103" s="205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">
      <c r="A104" s="180">
        <f>'Données projet'!A107</f>
        <v>0</v>
      </c>
      <c r="B104" s="181">
        <f>'Données projet'!D107</f>
        <v>0</v>
      </c>
      <c r="C104" s="191">
        <f>80*'Données projet'!E107+13.8*('Données projet'!F107+'Données projet'!G107)+10*'Données projet'!H107</f>
        <v>0</v>
      </c>
      <c r="D104" s="179">
        <f t="shared" si="6"/>
        <v>0</v>
      </c>
      <c r="E104" s="193"/>
      <c r="F104" s="231"/>
      <c r="G104" s="205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">
      <c r="A105" s="4"/>
      <c r="B105" s="4"/>
      <c r="C105" s="4"/>
      <c r="D105" s="4"/>
      <c r="E105" s="4"/>
      <c r="F105" s="229"/>
      <c r="G105" s="205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">
      <c r="A106" s="4"/>
      <c r="B106" s="4"/>
      <c r="C106" s="4"/>
      <c r="D106" s="4"/>
      <c r="E106" s="4"/>
      <c r="F106" s="229"/>
      <c r="G106" s="205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">
      <c r="A107" s="46" t="s">
        <v>168</v>
      </c>
      <c r="B107" s="174" t="str">
        <f>IF('Données projet'!B12="","",'Données projet'!B12)</f>
        <v>Erable sycomore</v>
      </c>
      <c r="C107" s="4"/>
      <c r="D107" s="4"/>
      <c r="E107" s="4"/>
      <c r="F107" s="229"/>
      <c r="G107" s="205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">
      <c r="A108" s="4"/>
      <c r="B108" s="4"/>
      <c r="C108" s="4"/>
      <c r="D108" s="4"/>
      <c r="E108" s="4"/>
      <c r="F108" s="229"/>
      <c r="G108" s="205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16" x14ac:dyDescent="0.2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0"/>
      <c r="G109" s="205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ht="16" x14ac:dyDescent="0.2">
      <c r="A110" s="49">
        <v>0</v>
      </c>
      <c r="B110" s="198" t="s">
        <v>132</v>
      </c>
      <c r="C110" s="197" t="s">
        <v>132</v>
      </c>
      <c r="D110" s="196" t="s">
        <v>132</v>
      </c>
      <c r="E110" s="193">
        <v>5135</v>
      </c>
      <c r="F110" s="230"/>
      <c r="G110" s="205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ht="16" x14ac:dyDescent="0.2">
      <c r="A111" s="49">
        <v>1</v>
      </c>
      <c r="B111" s="198" t="s">
        <v>132</v>
      </c>
      <c r="C111" s="197" t="s">
        <v>132</v>
      </c>
      <c r="D111" s="196" t="s">
        <v>132</v>
      </c>
      <c r="E111" s="193"/>
      <c r="F111" s="230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ht="16" x14ac:dyDescent="0.2">
      <c r="A112" s="49">
        <v>2</v>
      </c>
      <c r="B112" s="198" t="s">
        <v>132</v>
      </c>
      <c r="C112" s="197" t="s">
        <v>132</v>
      </c>
      <c r="D112" s="196" t="s">
        <v>132</v>
      </c>
      <c r="E112" s="193"/>
      <c r="F112" s="230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ht="16" x14ac:dyDescent="0.2">
      <c r="A113" s="49">
        <v>3</v>
      </c>
      <c r="B113" s="198" t="s">
        <v>132</v>
      </c>
      <c r="C113" s="197" t="s">
        <v>132</v>
      </c>
      <c r="D113" s="196" t="s">
        <v>132</v>
      </c>
      <c r="E113" s="193"/>
      <c r="F113" s="230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ht="16" x14ac:dyDescent="0.2">
      <c r="A114" s="49">
        <v>4</v>
      </c>
      <c r="B114" s="198" t="s">
        <v>132</v>
      </c>
      <c r="C114" s="197" t="s">
        <v>132</v>
      </c>
      <c r="D114" s="196" t="s">
        <v>132</v>
      </c>
      <c r="E114" s="193"/>
      <c r="F114" s="230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">
      <c r="A115" s="49">
        <v>5</v>
      </c>
      <c r="B115" s="198" t="s">
        <v>132</v>
      </c>
      <c r="C115" s="197" t="s">
        <v>132</v>
      </c>
      <c r="D115" s="196" t="s">
        <v>132</v>
      </c>
      <c r="E115" s="193"/>
      <c r="F115" s="230"/>
      <c r="G115" s="204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">
      <c r="A116" s="180">
        <f>'Données projet'!A114</f>
        <v>15</v>
      </c>
      <c r="B116" s="181">
        <f>'Données projet'!D114</f>
        <v>15</v>
      </c>
      <c r="C116" s="191">
        <f>60*'Données projet'!E114+13.8*('Données projet'!F114+'Données projet'!G114)+10*'Données projet'!H114</f>
        <v>10</v>
      </c>
      <c r="D116" s="179">
        <f>B116*C116</f>
        <v>150</v>
      </c>
      <c r="E116" s="193"/>
      <c r="F116" s="231"/>
      <c r="G116" s="204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">
      <c r="A117" s="180">
        <f>'Données projet'!A115</f>
        <v>20</v>
      </c>
      <c r="B117" s="181">
        <f>'Données projet'!D115</f>
        <v>28</v>
      </c>
      <c r="C117" s="191">
        <f>60*'Données projet'!E115+13.8*('Données projet'!F115+'Données projet'!G115)+10*'Données projet'!H115</f>
        <v>20</v>
      </c>
      <c r="D117" s="179">
        <f t="shared" ref="D117:D135" si="8">B117*C117</f>
        <v>560</v>
      </c>
      <c r="E117" s="193"/>
      <c r="F117" s="231"/>
      <c r="G117" s="204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">
      <c r="A118" s="180">
        <f>'Données projet'!A116</f>
        <v>25</v>
      </c>
      <c r="B118" s="181">
        <f>'Données projet'!D116</f>
        <v>28</v>
      </c>
      <c r="C118" s="191">
        <f>60*'Données projet'!E116+13.8*('Données projet'!F116+'Données projet'!G116)+10*'Données projet'!H116</f>
        <v>25</v>
      </c>
      <c r="D118" s="179">
        <f t="shared" si="8"/>
        <v>700</v>
      </c>
      <c r="E118" s="193"/>
      <c r="F118" s="231"/>
      <c r="G118" s="204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">
      <c r="A119" s="180">
        <f>'Données projet'!A117</f>
        <v>30</v>
      </c>
      <c r="B119" s="181">
        <f>'Données projet'!D117</f>
        <v>28</v>
      </c>
      <c r="C119" s="191">
        <f>60*'Données projet'!E117+13.8*('Données projet'!F117+'Données projet'!G117)+10*'Données projet'!H117</f>
        <v>25</v>
      </c>
      <c r="D119" s="179">
        <f t="shared" si="8"/>
        <v>700</v>
      </c>
      <c r="E119" s="193"/>
      <c r="F119" s="231"/>
      <c r="G119" s="204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">
      <c r="A120" s="180">
        <f>'Données projet'!A118</f>
        <v>35</v>
      </c>
      <c r="B120" s="181">
        <f>'Données projet'!D118</f>
        <v>28</v>
      </c>
      <c r="C120" s="191">
        <f>60*'Données projet'!E118+13.8*('Données projet'!F118+'Données projet'!G118)+10*'Données projet'!H118</f>
        <v>30</v>
      </c>
      <c r="D120" s="179">
        <f t="shared" si="8"/>
        <v>840</v>
      </c>
      <c r="E120" s="193"/>
      <c r="F120" s="231"/>
      <c r="G120" s="204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">
      <c r="A121" s="180">
        <f>'Données projet'!A119</f>
        <v>40</v>
      </c>
      <c r="B121" s="181">
        <f>'Données projet'!D119</f>
        <v>28</v>
      </c>
      <c r="C121" s="191">
        <f>60*'Données projet'!E119+13.8*('Données projet'!F119+'Données projet'!G119)+10*'Données projet'!H119</f>
        <v>35</v>
      </c>
      <c r="D121" s="179">
        <f t="shared" si="8"/>
        <v>980</v>
      </c>
      <c r="E121" s="193"/>
      <c r="F121" s="231"/>
      <c r="G121" s="204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">
      <c r="A122" s="180">
        <f>'Données projet'!A120</f>
        <v>45</v>
      </c>
      <c r="B122" s="181">
        <f>'Données projet'!D120</f>
        <v>22</v>
      </c>
      <c r="C122" s="191">
        <f>60*'Données projet'!E120+13.8*('Données projet'!F120+'Données projet'!G120)+10*'Données projet'!H120</f>
        <v>35</v>
      </c>
      <c r="D122" s="179">
        <f t="shared" si="8"/>
        <v>770</v>
      </c>
      <c r="E122" s="193"/>
      <c r="F122" s="231"/>
      <c r="G122" s="205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">
      <c r="A123" s="180">
        <f>'Données projet'!A121</f>
        <v>50</v>
      </c>
      <c r="B123" s="181">
        <f>'Données projet'!D121</f>
        <v>17</v>
      </c>
      <c r="C123" s="191">
        <f>60*'Données projet'!E121+13.8*('Données projet'!F121+'Données projet'!G121)+10*'Données projet'!H121</f>
        <v>40</v>
      </c>
      <c r="D123" s="179">
        <f t="shared" si="8"/>
        <v>680</v>
      </c>
      <c r="E123" s="193"/>
      <c r="F123" s="231"/>
      <c r="G123" s="205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">
      <c r="A124" s="180">
        <f>'Données projet'!A122</f>
        <v>55</v>
      </c>
      <c r="B124" s="181">
        <f>'Données projet'!D122</f>
        <v>13</v>
      </c>
      <c r="C124" s="191">
        <f>60*'Données projet'!E122+13.8*('Données projet'!F122+'Données projet'!G122)+10*'Données projet'!H122</f>
        <v>40</v>
      </c>
      <c r="D124" s="179">
        <f t="shared" si="8"/>
        <v>520</v>
      </c>
      <c r="E124" s="193"/>
      <c r="F124" s="231"/>
      <c r="G124" s="205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">
      <c r="A125" s="180">
        <f>'Données projet'!A123</f>
        <v>60</v>
      </c>
      <c r="B125" s="181">
        <f>'Données projet'!D123</f>
        <v>12</v>
      </c>
      <c r="C125" s="191">
        <f>60*'Données projet'!E123+13.8*('Données projet'!F123+'Données projet'!G123)+10*'Données projet'!H123</f>
        <v>45</v>
      </c>
      <c r="D125" s="179">
        <f t="shared" si="8"/>
        <v>540</v>
      </c>
      <c r="E125" s="193"/>
      <c r="F125" s="231"/>
      <c r="G125" s="205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">
      <c r="A126" s="180">
        <f>'Données projet'!A124</f>
        <v>65</v>
      </c>
      <c r="B126" s="181">
        <f>'Données projet'!D124</f>
        <v>11</v>
      </c>
      <c r="C126" s="191">
        <f>60*'Données projet'!E124+13.8*('Données projet'!F124+'Données projet'!G124)+10*'Données projet'!H124</f>
        <v>45</v>
      </c>
      <c r="D126" s="179">
        <f t="shared" si="8"/>
        <v>495</v>
      </c>
      <c r="E126" s="193"/>
      <c r="F126" s="231"/>
      <c r="G126" s="205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">
      <c r="A127" s="180">
        <f>'Données projet'!A125</f>
        <v>70</v>
      </c>
      <c r="B127" s="181">
        <f>'Données projet'!D125</f>
        <v>263</v>
      </c>
      <c r="C127" s="191">
        <f>60*'Données projet'!E125+13.8*('Données projet'!F125+'Données projet'!G125)+10*'Données projet'!H125</f>
        <v>50</v>
      </c>
      <c r="D127" s="179">
        <f t="shared" si="8"/>
        <v>13150</v>
      </c>
      <c r="E127" s="193"/>
      <c r="F127" s="231"/>
      <c r="G127" s="205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">
      <c r="A128" s="180">
        <f>'Données projet'!A126</f>
        <v>0</v>
      </c>
      <c r="B128" s="181">
        <f>'Données projet'!D126</f>
        <v>0</v>
      </c>
      <c r="C128" s="191">
        <f>60*'Données projet'!E126+13.8*('Données projet'!F126+'Données projet'!G126)+10*'Données projet'!H126</f>
        <v>0</v>
      </c>
      <c r="D128" s="179">
        <f t="shared" si="8"/>
        <v>0</v>
      </c>
      <c r="E128" s="193"/>
      <c r="F128" s="231"/>
      <c r="G128" s="205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">
      <c r="A129" s="180">
        <f>'Données projet'!A127</f>
        <v>0</v>
      </c>
      <c r="B129" s="181">
        <f>'Données projet'!D127</f>
        <v>0</v>
      </c>
      <c r="C129" s="191">
        <f>60*'Données projet'!E127+13.8*('Données projet'!F127+'Données projet'!G127)+10*'Données projet'!H127</f>
        <v>0</v>
      </c>
      <c r="D129" s="179">
        <f t="shared" si="8"/>
        <v>0</v>
      </c>
      <c r="E129" s="193"/>
      <c r="F129" s="231"/>
      <c r="G129" s="205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">
      <c r="A130" s="180">
        <f>'Données projet'!A128</f>
        <v>0</v>
      </c>
      <c r="B130" s="181">
        <f>'Données projet'!D128</f>
        <v>0</v>
      </c>
      <c r="C130" s="191">
        <f>60*'Données projet'!E128+13.8*('Données projet'!F128+'Données projet'!G128)+10*'Données projet'!H128</f>
        <v>0</v>
      </c>
      <c r="D130" s="179">
        <f t="shared" si="8"/>
        <v>0</v>
      </c>
      <c r="E130" s="193"/>
      <c r="F130" s="231"/>
      <c r="G130" s="205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">
      <c r="A131" s="180">
        <f>'Données projet'!A129</f>
        <v>0</v>
      </c>
      <c r="B131" s="181">
        <f>'Données projet'!D129</f>
        <v>0</v>
      </c>
      <c r="C131" s="191">
        <f>60*'Données projet'!E129+13.8*('Données projet'!F129+'Données projet'!G129)+10*'Données projet'!H129</f>
        <v>0</v>
      </c>
      <c r="D131" s="179">
        <f t="shared" si="8"/>
        <v>0</v>
      </c>
      <c r="E131" s="193"/>
      <c r="F131" s="231"/>
      <c r="G131" s="205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">
      <c r="A132" s="180">
        <f>'Données projet'!A130</f>
        <v>0</v>
      </c>
      <c r="B132" s="181">
        <f>'Données projet'!D130</f>
        <v>0</v>
      </c>
      <c r="C132" s="191">
        <f>60*'Données projet'!E130+13.8*('Données projet'!F130+'Données projet'!G130)+10*'Données projet'!H130</f>
        <v>0</v>
      </c>
      <c r="D132" s="179">
        <f t="shared" si="8"/>
        <v>0</v>
      </c>
      <c r="E132" s="193"/>
      <c r="F132" s="231"/>
      <c r="G132" s="205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">
      <c r="A133" s="180">
        <f>'Données projet'!A131</f>
        <v>0</v>
      </c>
      <c r="B133" s="181">
        <f>'Données projet'!D131</f>
        <v>0</v>
      </c>
      <c r="C133" s="191">
        <f>60*'Données projet'!E131+13.8*('Données projet'!F131+'Données projet'!G131)+10*'Données projet'!H131</f>
        <v>0</v>
      </c>
      <c r="D133" s="179">
        <f t="shared" si="8"/>
        <v>0</v>
      </c>
      <c r="E133" s="193"/>
      <c r="F133" s="231"/>
      <c r="G133" s="205"/>
      <c r="H133" s="190"/>
      <c r="I133" s="191"/>
      <c r="J133" s="4"/>
      <c r="K133" s="173"/>
      <c r="Q133" s="23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">
      <c r="A134" s="180">
        <f>'Données projet'!A132</f>
        <v>0</v>
      </c>
      <c r="B134" s="181">
        <f>'Données projet'!D132</f>
        <v>0</v>
      </c>
      <c r="C134" s="191">
        <f>60*'Données projet'!E132+13.8*('Données projet'!F132+'Données projet'!G132)+10*'Données projet'!H132</f>
        <v>0</v>
      </c>
      <c r="D134" s="179">
        <f t="shared" si="8"/>
        <v>0</v>
      </c>
      <c r="E134" s="193"/>
      <c r="F134" s="231"/>
      <c r="G134" s="205"/>
      <c r="H134" s="190"/>
      <c r="I134" s="191"/>
      <c r="J134" s="4"/>
      <c r="K134" s="173"/>
      <c r="Q134" s="23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">
      <c r="A135" s="180">
        <f>'Données projet'!A133</f>
        <v>0</v>
      </c>
      <c r="B135" s="181">
        <f>'Données projet'!D133</f>
        <v>0</v>
      </c>
      <c r="C135" s="191">
        <f>60*'Données projet'!E133+13.8*('Données projet'!F133+'Données projet'!G133)+10*'Données projet'!H133</f>
        <v>0</v>
      </c>
      <c r="D135" s="179">
        <f t="shared" si="8"/>
        <v>0</v>
      </c>
      <c r="E135" s="193"/>
      <c r="F135" s="231"/>
      <c r="G135" s="205"/>
      <c r="H135" s="190"/>
      <c r="I135" s="191"/>
      <c r="J135" s="4"/>
      <c r="K135" s="173"/>
      <c r="Q135" s="23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">
      <c r="A136" s="4"/>
      <c r="B136" s="4"/>
      <c r="C136" s="4"/>
      <c r="D136" s="4"/>
      <c r="E136" s="4"/>
      <c r="F136" s="229"/>
      <c r="G136" s="205"/>
      <c r="H136" s="190"/>
      <c r="I136" s="191"/>
      <c r="J136" s="4"/>
      <c r="K136" s="173"/>
      <c r="L136" s="4"/>
      <c r="M136" s="4"/>
      <c r="N136" s="4"/>
      <c r="Q136" s="23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">
      <c r="A137" s="4"/>
      <c r="B137" s="4"/>
      <c r="C137" s="4"/>
      <c r="D137" s="4"/>
      <c r="E137" s="4"/>
      <c r="F137" s="229"/>
      <c r="G137" s="205"/>
      <c r="H137" s="190"/>
      <c r="I137" s="191"/>
      <c r="J137" s="4"/>
      <c r="K137" s="173"/>
      <c r="L137" s="4"/>
      <c r="M137" s="4"/>
      <c r="N137" s="4"/>
      <c r="Q137" s="23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">
      <c r="A138" s="46" t="s">
        <v>169</v>
      </c>
      <c r="B138" s="174" t="str">
        <f>IF('Données projet'!B13="","",'Données projet'!B13)</f>
        <v>Mélèze hybride</v>
      </c>
      <c r="C138" s="4"/>
      <c r="D138" s="4"/>
      <c r="E138" s="4"/>
      <c r="F138" s="229"/>
      <c r="G138" s="205"/>
      <c r="H138" s="190"/>
      <c r="I138" s="191"/>
      <c r="J138" s="4"/>
      <c r="K138" s="173"/>
      <c r="L138" s="4"/>
      <c r="M138" s="4"/>
      <c r="N138" s="4"/>
      <c r="Q138" s="23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">
      <c r="A139" s="4"/>
      <c r="B139" s="4"/>
      <c r="C139" s="4"/>
      <c r="D139" s="4"/>
      <c r="E139" s="4"/>
      <c r="F139" s="229"/>
      <c r="G139" s="205"/>
      <c r="H139" s="190"/>
      <c r="I139" s="191"/>
      <c r="J139" s="4"/>
      <c r="K139" s="173"/>
      <c r="L139" s="4"/>
      <c r="M139" s="4"/>
      <c r="N139" s="4"/>
      <c r="Q139" s="23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16" x14ac:dyDescent="0.2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0"/>
      <c r="G140" s="205"/>
      <c r="H140" s="190"/>
      <c r="I140" s="191"/>
      <c r="J140" s="4"/>
      <c r="K140" s="173"/>
      <c r="L140" s="4"/>
      <c r="M140" s="4"/>
      <c r="N140" s="4"/>
      <c r="Q140" s="23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ht="16" x14ac:dyDescent="0.2">
      <c r="A141" s="49">
        <v>0</v>
      </c>
      <c r="B141" s="198" t="s">
        <v>132</v>
      </c>
      <c r="C141" s="197" t="s">
        <v>132</v>
      </c>
      <c r="D141" s="196" t="s">
        <v>132</v>
      </c>
      <c r="E141" s="193">
        <v>3105.24</v>
      </c>
      <c r="F141" s="230"/>
      <c r="G141" s="205"/>
      <c r="H141" s="190"/>
      <c r="I141" s="191"/>
      <c r="J141" s="4"/>
      <c r="K141" s="173"/>
      <c r="L141" s="4"/>
      <c r="M141" s="4"/>
      <c r="N141" s="4"/>
      <c r="Q141" s="23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ht="16" x14ac:dyDescent="0.2">
      <c r="A142" s="49">
        <v>1</v>
      </c>
      <c r="B142" s="198" t="s">
        <v>132</v>
      </c>
      <c r="C142" s="197" t="s">
        <v>132</v>
      </c>
      <c r="D142" s="196" t="s">
        <v>132</v>
      </c>
      <c r="E142" s="193"/>
      <c r="F142" s="230"/>
      <c r="G142" s="23"/>
      <c r="H142" s="190"/>
      <c r="I142" s="191"/>
      <c r="J142" s="4"/>
      <c r="K142" s="173"/>
      <c r="L142" s="4"/>
      <c r="M142" s="4"/>
      <c r="N142" s="4"/>
      <c r="Q142" s="23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ht="16" x14ac:dyDescent="0.2">
      <c r="A143" s="49">
        <v>2</v>
      </c>
      <c r="B143" s="198" t="s">
        <v>132</v>
      </c>
      <c r="C143" s="197" t="s">
        <v>132</v>
      </c>
      <c r="D143" s="196" t="s">
        <v>132</v>
      </c>
      <c r="E143" s="193"/>
      <c r="F143" s="230"/>
      <c r="G143" s="23"/>
      <c r="H143" s="190"/>
      <c r="I143" s="191"/>
      <c r="J143" s="4"/>
      <c r="K143" s="173"/>
      <c r="L143" s="4"/>
      <c r="M143" s="4"/>
      <c r="N143" s="4"/>
      <c r="Q143" s="23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ht="16" x14ac:dyDescent="0.2">
      <c r="A144" s="49">
        <v>3</v>
      </c>
      <c r="B144" s="198" t="s">
        <v>132</v>
      </c>
      <c r="C144" s="197" t="s">
        <v>132</v>
      </c>
      <c r="D144" s="196" t="s">
        <v>132</v>
      </c>
      <c r="E144" s="193"/>
      <c r="F144" s="230"/>
      <c r="G144" s="23"/>
      <c r="H144" s="190"/>
      <c r="I144" s="191"/>
      <c r="J144" s="4"/>
      <c r="K144" s="173"/>
      <c r="L144" s="4"/>
      <c r="M144" s="4"/>
      <c r="N144" s="4"/>
      <c r="Q144" s="23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ht="16" x14ac:dyDescent="0.2">
      <c r="A145" s="49">
        <v>4</v>
      </c>
      <c r="B145" s="198" t="s">
        <v>132</v>
      </c>
      <c r="C145" s="197" t="s">
        <v>132</v>
      </c>
      <c r="D145" s="196" t="s">
        <v>132</v>
      </c>
      <c r="E145" s="193"/>
      <c r="F145" s="230"/>
      <c r="G145" s="23"/>
      <c r="H145" s="190"/>
      <c r="I145" s="191"/>
      <c r="J145" s="4"/>
      <c r="K145" s="173"/>
      <c r="L145" s="4"/>
      <c r="M145" s="4"/>
      <c r="N145" s="4"/>
      <c r="Q145" s="23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">
      <c r="A146" s="49">
        <v>5</v>
      </c>
      <c r="B146" s="198" t="s">
        <v>132</v>
      </c>
      <c r="C146" s="197" t="s">
        <v>132</v>
      </c>
      <c r="D146" s="196" t="s">
        <v>132</v>
      </c>
      <c r="E146" s="193"/>
      <c r="F146" s="230"/>
      <c r="G146" s="204"/>
      <c r="H146" s="190"/>
      <c r="I146" s="191"/>
      <c r="J146" s="4"/>
      <c r="K146" s="173"/>
      <c r="L146" s="4"/>
      <c r="M146" s="4"/>
      <c r="N146" s="4"/>
      <c r="Q146" s="23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">
      <c r="A147" s="42">
        <f>'Données projet'!A140</f>
        <v>10</v>
      </c>
      <c r="B147" s="175">
        <f>'Données projet'!D140</f>
        <v>0</v>
      </c>
      <c r="C147" s="191">
        <f>50*'Données projet'!E140+19.4*('Données projet'!F140+'Données projet'!G140)+10*'Données projet'!H140</f>
        <v>25.52</v>
      </c>
      <c r="D147" s="182">
        <f>B147*C147</f>
        <v>0</v>
      </c>
      <c r="E147" s="193"/>
      <c r="F147" s="232"/>
      <c r="G147" s="204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">
      <c r="A148" s="42">
        <f>'Données projet'!A141</f>
        <v>15</v>
      </c>
      <c r="B148" s="175">
        <f>'Données projet'!D141</f>
        <v>39</v>
      </c>
      <c r="C148" s="191">
        <f>50*'Données projet'!E141+19.4*('Données projet'!F141+'Données projet'!G141)+10*'Données projet'!H141</f>
        <v>25.52</v>
      </c>
      <c r="D148" s="182">
        <f t="shared" ref="D148:D166" si="10">B148*C148</f>
        <v>995.28</v>
      </c>
      <c r="E148" s="193"/>
      <c r="F148" s="232"/>
      <c r="G148" s="204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">
      <c r="A149" s="42">
        <f>'Données projet'!A142</f>
        <v>20</v>
      </c>
      <c r="B149" s="175">
        <f>'Données projet'!D142</f>
        <v>42</v>
      </c>
      <c r="C149" s="191">
        <f>50*'Données projet'!E142+19.4*('Données projet'!F142+'Données projet'!G142)+10*'Données projet'!H142</f>
        <v>25.52</v>
      </c>
      <c r="D149" s="182">
        <f t="shared" si="10"/>
        <v>1071.8399999999999</v>
      </c>
      <c r="E149" s="193"/>
      <c r="F149" s="232"/>
      <c r="G149" s="204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">
      <c r="A150" s="42">
        <f>'Données projet'!A143</f>
        <v>25</v>
      </c>
      <c r="B150" s="175">
        <f>'Données projet'!D143</f>
        <v>42</v>
      </c>
      <c r="C150" s="191">
        <f>50*'Données projet'!E143+19.4*('Données projet'!F143+'Données projet'!G143)+10*'Données projet'!H143</f>
        <v>28.58</v>
      </c>
      <c r="D150" s="182">
        <f t="shared" si="10"/>
        <v>1200.3599999999999</v>
      </c>
      <c r="E150" s="193"/>
      <c r="F150" s="232"/>
      <c r="G150" s="204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">
      <c r="A151" s="42">
        <f>'Données projet'!A144</f>
        <v>30</v>
      </c>
      <c r="B151" s="175">
        <f>'Données projet'!D144</f>
        <v>42</v>
      </c>
      <c r="C151" s="191">
        <f>50*'Données projet'!E144+19.4*('Données projet'!F144+'Données projet'!G144)+10*'Données projet'!H144</f>
        <v>28.58</v>
      </c>
      <c r="D151" s="182">
        <f t="shared" si="10"/>
        <v>1200.3599999999999</v>
      </c>
      <c r="E151" s="193"/>
      <c r="F151" s="232"/>
      <c r="G151" s="204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">
      <c r="A152" s="42">
        <f>'Données projet'!A145</f>
        <v>35</v>
      </c>
      <c r="B152" s="175">
        <f>'Données projet'!D145</f>
        <v>42</v>
      </c>
      <c r="C152" s="191">
        <f>50*'Données projet'!E145+19.4*('Données projet'!F145+'Données projet'!G145)+10*'Données projet'!H145</f>
        <v>31.64</v>
      </c>
      <c r="D152" s="182">
        <f t="shared" si="10"/>
        <v>1328.88</v>
      </c>
      <c r="E152" s="193"/>
      <c r="F152" s="232"/>
      <c r="G152" s="204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">
      <c r="A153" s="42">
        <f>'Données projet'!A146</f>
        <v>40</v>
      </c>
      <c r="B153" s="175">
        <f>'Données projet'!D146</f>
        <v>38</v>
      </c>
      <c r="C153" s="191">
        <f>50*'Données projet'!E146+19.4*('Données projet'!F146+'Données projet'!G146)+10*'Données projet'!H146</f>
        <v>31.64</v>
      </c>
      <c r="D153" s="182">
        <f t="shared" si="10"/>
        <v>1202.32</v>
      </c>
      <c r="E153" s="193"/>
      <c r="F153" s="232"/>
      <c r="G153" s="202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">
      <c r="A154" s="42">
        <f>'Données projet'!A147</f>
        <v>45</v>
      </c>
      <c r="B154" s="175">
        <f>'Données projet'!D147</f>
        <v>34</v>
      </c>
      <c r="C154" s="191">
        <f>50*'Données projet'!E147+19.4*('Données projet'!F147+'Données projet'!G147)+10*'Données projet'!H147</f>
        <v>34.700000000000003</v>
      </c>
      <c r="D154" s="182">
        <f t="shared" si="10"/>
        <v>1179.8000000000002</v>
      </c>
      <c r="E154" s="193"/>
      <c r="F154" s="232"/>
      <c r="G154" s="202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">
      <c r="A155" s="42">
        <f>'Données projet'!A148</f>
        <v>50</v>
      </c>
      <c r="B155" s="175">
        <f>'Données projet'!D148</f>
        <v>315</v>
      </c>
      <c r="C155" s="191">
        <f>50*'Données projet'!E148+19.4*('Données projet'!F148+'Données projet'!G148)+10*'Données projet'!H148</f>
        <v>37.76</v>
      </c>
      <c r="D155" s="182">
        <f t="shared" si="10"/>
        <v>11894.4</v>
      </c>
      <c r="E155" s="193"/>
      <c r="F155" s="232"/>
      <c r="G155" s="202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">
      <c r="A156" s="42">
        <f>'Données projet'!A149</f>
        <v>0</v>
      </c>
      <c r="B156" s="175">
        <f>'Données projet'!D149</f>
        <v>0</v>
      </c>
      <c r="C156" s="191">
        <f>50*'Données projet'!E149+19.4*('Données projet'!F149+'Données projet'!G149)+10*'Données projet'!H149</f>
        <v>0</v>
      </c>
      <c r="D156" s="182">
        <f t="shared" si="10"/>
        <v>0</v>
      </c>
      <c r="E156" s="193"/>
      <c r="F156" s="232"/>
      <c r="G156" s="202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">
      <c r="A157" s="42">
        <f>'Données projet'!A150</f>
        <v>0</v>
      </c>
      <c r="B157" s="175">
        <f>'Données projet'!D150</f>
        <v>0</v>
      </c>
      <c r="C157" s="191">
        <f>50*'Données projet'!E150+19.4*('Données projet'!F150+'Données projet'!G150)+10*'Données projet'!H150</f>
        <v>0</v>
      </c>
      <c r="D157" s="182">
        <f t="shared" si="10"/>
        <v>0</v>
      </c>
      <c r="E157" s="193"/>
      <c r="F157" s="232"/>
      <c r="G157" s="202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">
      <c r="A158" s="42">
        <f>'Données projet'!A151</f>
        <v>0</v>
      </c>
      <c r="B158" s="175">
        <f>'Données projet'!D151</f>
        <v>0</v>
      </c>
      <c r="C158" s="191">
        <f>50*'Données projet'!E151+19.4*('Données projet'!F151+'Données projet'!G151)+10*'Données projet'!H151</f>
        <v>0</v>
      </c>
      <c r="D158" s="182">
        <f t="shared" si="10"/>
        <v>0</v>
      </c>
      <c r="E158" s="193"/>
      <c r="F158" s="232"/>
      <c r="G158" s="202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">
      <c r="A159" s="42">
        <f>'Données projet'!A152</f>
        <v>0</v>
      </c>
      <c r="B159" s="175">
        <f>'Données projet'!D152</f>
        <v>0</v>
      </c>
      <c r="C159" s="191">
        <f>50*'Données projet'!E152+19.4*('Données projet'!F152+'Données projet'!G152)+10*'Données projet'!H152</f>
        <v>0</v>
      </c>
      <c r="D159" s="182">
        <f t="shared" si="10"/>
        <v>0</v>
      </c>
      <c r="E159" s="193"/>
      <c r="F159" s="232"/>
      <c r="G159" s="202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">
      <c r="A160" s="42">
        <f>'Données projet'!A153</f>
        <v>0</v>
      </c>
      <c r="B160" s="175">
        <f>'Données projet'!D153</f>
        <v>0</v>
      </c>
      <c r="C160" s="191">
        <f>150*'Données projet'!E153+13.8*('Données projet'!F153+'Données projet'!G153)+10*'Données projet'!H153</f>
        <v>0</v>
      </c>
      <c r="D160" s="182">
        <f t="shared" si="10"/>
        <v>0</v>
      </c>
      <c r="E160" s="193"/>
      <c r="F160" s="232"/>
      <c r="G160" s="202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">
      <c r="A161" s="42">
        <f>'Données projet'!A154</f>
        <v>0</v>
      </c>
      <c r="B161" s="175">
        <f>'Données projet'!D154</f>
        <v>0</v>
      </c>
      <c r="C161" s="191">
        <f>150*'Données projet'!E154+13.8*('Données projet'!F154+'Données projet'!G154)+10*'Données projet'!H154</f>
        <v>0</v>
      </c>
      <c r="D161" s="182">
        <f t="shared" si="10"/>
        <v>0</v>
      </c>
      <c r="E161" s="193"/>
      <c r="F161" s="232"/>
      <c r="G161" s="202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">
      <c r="A162" s="42">
        <f>'Données projet'!A155</f>
        <v>0</v>
      </c>
      <c r="B162" s="175">
        <f>'Données projet'!D155</f>
        <v>0</v>
      </c>
      <c r="C162" s="191">
        <f>150*'Données projet'!E155+13.8*('Données projet'!F155+'Données projet'!G155)+10*'Données projet'!H155</f>
        <v>0</v>
      </c>
      <c r="D162" s="182">
        <f t="shared" si="10"/>
        <v>0</v>
      </c>
      <c r="E162" s="193"/>
      <c r="F162" s="232"/>
      <c r="G162" s="202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">
      <c r="A163" s="42">
        <f>'Données projet'!A156</f>
        <v>0</v>
      </c>
      <c r="B163" s="175">
        <f>'Données projet'!D156</f>
        <v>0</v>
      </c>
      <c r="C163" s="191">
        <f>150*'Données projet'!E156+13.8*('Données projet'!F156+'Données projet'!G156)+10*'Données projet'!H156</f>
        <v>0</v>
      </c>
      <c r="D163" s="182">
        <f t="shared" si="10"/>
        <v>0</v>
      </c>
      <c r="E163" s="193"/>
      <c r="F163" s="232"/>
      <c r="G163" s="202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">
      <c r="A164" s="42">
        <f>'Données projet'!A157</f>
        <v>0</v>
      </c>
      <c r="B164" s="175">
        <f>'Données projet'!D157</f>
        <v>0</v>
      </c>
      <c r="C164" s="191">
        <f>150*'Données projet'!E157+13.8*('Données projet'!F157+'Données projet'!G157)+10*'Données projet'!H157</f>
        <v>0</v>
      </c>
      <c r="D164" s="182">
        <f t="shared" si="10"/>
        <v>0</v>
      </c>
      <c r="E164" s="193"/>
      <c r="F164" s="232"/>
      <c r="G164" s="202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">
      <c r="A165" s="42">
        <f>'Données projet'!A158</f>
        <v>0</v>
      </c>
      <c r="B165" s="175">
        <f>'Données projet'!D158</f>
        <v>0</v>
      </c>
      <c r="C165" s="191">
        <f>150*'Données projet'!E158+13.8*('Données projet'!F158+'Données projet'!G158)+10*'Données projet'!H158</f>
        <v>0</v>
      </c>
      <c r="D165" s="182">
        <f t="shared" si="10"/>
        <v>0</v>
      </c>
      <c r="E165" s="193"/>
      <c r="F165" s="232"/>
      <c r="G165" s="202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">
      <c r="A166" s="42">
        <f>'Données projet'!A159</f>
        <v>0</v>
      </c>
      <c r="B166" s="175">
        <f>'Données projet'!D159</f>
        <v>0</v>
      </c>
      <c r="C166" s="191">
        <f>150*'Données projet'!E159+13.8*('Données projet'!F159+'Données projet'!G159)+10*'Données projet'!H159</f>
        <v>0</v>
      </c>
      <c r="D166" s="182">
        <f t="shared" si="10"/>
        <v>0</v>
      </c>
      <c r="E166" s="193"/>
      <c r="F166" s="232"/>
      <c r="G166" s="202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">
      <c r="A167" s="4"/>
      <c r="B167" s="4"/>
      <c r="C167" s="4"/>
      <c r="D167" s="4"/>
      <c r="E167" s="4"/>
      <c r="F167" s="229"/>
      <c r="G167" s="202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">
      <c r="A168" s="4"/>
      <c r="B168" s="4"/>
      <c r="C168" s="4"/>
      <c r="D168" s="4"/>
      <c r="E168" s="4"/>
      <c r="F168" s="229"/>
      <c r="G168" s="202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">
      <c r="A169" s="46" t="s">
        <v>170</v>
      </c>
      <c r="B169" s="174" t="str">
        <f>IF('Données projet'!B14="","",'Données projet'!B14)</f>
        <v>Pin laricio</v>
      </c>
      <c r="C169" s="4"/>
      <c r="D169" s="4"/>
      <c r="E169" s="4"/>
      <c r="F169" s="229"/>
      <c r="G169" s="202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">
      <c r="A170" s="4"/>
      <c r="B170" s="4"/>
      <c r="C170" s="4"/>
      <c r="D170" s="4"/>
      <c r="E170" s="4"/>
      <c r="F170" s="229"/>
      <c r="G170" s="202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16" x14ac:dyDescent="0.2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0"/>
      <c r="G171" s="202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ht="16" x14ac:dyDescent="0.2">
      <c r="A172" s="49">
        <v>0</v>
      </c>
      <c r="B172" s="198" t="s">
        <v>132</v>
      </c>
      <c r="C172" s="197" t="s">
        <v>132</v>
      </c>
      <c r="D172" s="196" t="s">
        <v>132</v>
      </c>
      <c r="E172" s="193">
        <v>2239.2399999999998</v>
      </c>
      <c r="F172" s="230"/>
      <c r="G172" s="202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ht="16" x14ac:dyDescent="0.2">
      <c r="A173" s="49">
        <v>1</v>
      </c>
      <c r="B173" s="198" t="s">
        <v>132</v>
      </c>
      <c r="C173" s="197" t="s">
        <v>132</v>
      </c>
      <c r="D173" s="196" t="s">
        <v>132</v>
      </c>
      <c r="E173" s="193"/>
      <c r="F173" s="230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ht="16" x14ac:dyDescent="0.2">
      <c r="A174" s="49">
        <v>2</v>
      </c>
      <c r="B174" s="198" t="s">
        <v>132</v>
      </c>
      <c r="C174" s="197" t="s">
        <v>132</v>
      </c>
      <c r="D174" s="196" t="s">
        <v>132</v>
      </c>
      <c r="E174" s="193"/>
      <c r="F174" s="230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ht="16" x14ac:dyDescent="0.2">
      <c r="A175" s="49">
        <v>3</v>
      </c>
      <c r="B175" s="198" t="s">
        <v>132</v>
      </c>
      <c r="C175" s="197" t="s">
        <v>132</v>
      </c>
      <c r="D175" s="196" t="s">
        <v>132</v>
      </c>
      <c r="E175" s="193"/>
      <c r="F175" s="230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ht="16" x14ac:dyDescent="0.2">
      <c r="A176" s="49">
        <v>4</v>
      </c>
      <c r="B176" s="198" t="s">
        <v>132</v>
      </c>
      <c r="C176" s="197" t="s">
        <v>132</v>
      </c>
      <c r="D176" s="196" t="s">
        <v>132</v>
      </c>
      <c r="E176" s="193"/>
      <c r="F176" s="230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">
      <c r="A177" s="49">
        <v>5</v>
      </c>
      <c r="B177" s="198" t="s">
        <v>132</v>
      </c>
      <c r="C177" s="197" t="s">
        <v>132</v>
      </c>
      <c r="D177" s="196" t="s">
        <v>132</v>
      </c>
      <c r="E177" s="193"/>
      <c r="F177" s="230"/>
      <c r="G177" s="204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">
      <c r="A178" s="180">
        <f>'Données projet'!A166</f>
        <v>15</v>
      </c>
      <c r="B178" s="181">
        <f>'Données projet'!D166</f>
        <v>0</v>
      </c>
      <c r="C178" s="193">
        <f>40*'Données projet'!E166+19.4*('Données projet'!F166+'Données projet'!G168)+10*'Données projet'!H166</f>
        <v>17.654</v>
      </c>
      <c r="D178" s="179">
        <f>B178*C178</f>
        <v>0</v>
      </c>
      <c r="E178" s="193"/>
      <c r="F178" s="231"/>
      <c r="G178" s="204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">
      <c r="A179" s="180">
        <f>'Données projet'!A167</f>
        <v>19</v>
      </c>
      <c r="B179" s="181">
        <f>'Données projet'!D167</f>
        <v>46.3</v>
      </c>
      <c r="C179" s="193">
        <f>40*'Données projet'!E167+19.4*('Données projet'!F167+'Données projet'!G169)+10*'Données projet'!H167</f>
        <v>17.654</v>
      </c>
      <c r="D179" s="179">
        <f t="shared" ref="D179:D197" si="11">B179*C179</f>
        <v>817.38019999999995</v>
      </c>
      <c r="E179" s="193"/>
      <c r="F179" s="231"/>
      <c r="G179" s="204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">
      <c r="A180" s="180">
        <f>'Données projet'!A168</f>
        <v>24</v>
      </c>
      <c r="B180" s="181">
        <f>'Données projet'!D168</f>
        <v>45</v>
      </c>
      <c r="C180" s="193">
        <f>40*'Données projet'!E168+19.4*('Données projet'!F168+'Données projet'!G170)+10*'Données projet'!H168</f>
        <v>23.52</v>
      </c>
      <c r="D180" s="179">
        <f t="shared" si="11"/>
        <v>1058.4000000000001</v>
      </c>
      <c r="E180" s="193"/>
      <c r="F180" s="231"/>
      <c r="G180" s="204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">
      <c r="A181" s="180">
        <f>'Données projet'!A169</f>
        <v>30</v>
      </c>
      <c r="B181" s="181">
        <f>'Données projet'!D169</f>
        <v>66.989999999999995</v>
      </c>
      <c r="C181" s="193">
        <f>40*'Données projet'!E169+19.4*('Données projet'!F169+'Données projet'!G171)+10*'Données projet'!H169</f>
        <v>22.744</v>
      </c>
      <c r="D181" s="179">
        <f t="shared" si="11"/>
        <v>1523.6205599999998</v>
      </c>
      <c r="E181" s="193"/>
      <c r="F181" s="231"/>
      <c r="G181" s="204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">
      <c r="A182" s="180">
        <f>'Données projet'!A170</f>
        <v>32</v>
      </c>
      <c r="B182" s="181">
        <f>'Données projet'!D170</f>
        <v>0</v>
      </c>
      <c r="C182" s="193">
        <f>40*'Données projet'!E170+19.4*('Données projet'!F170+'Données projet'!G172)+10*'Données projet'!H170</f>
        <v>22.744</v>
      </c>
      <c r="D182" s="179">
        <f t="shared" si="11"/>
        <v>0</v>
      </c>
      <c r="E182" s="193"/>
      <c r="F182" s="231"/>
      <c r="G182" s="204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">
      <c r="A183" s="180">
        <f>'Données projet'!A171</f>
        <v>37</v>
      </c>
      <c r="B183" s="181">
        <f>'Données projet'!D171</f>
        <v>55</v>
      </c>
      <c r="C183" s="193">
        <f>40*'Données projet'!E171+19.4*('Données projet'!F171+'Données projet'!G173)+10*'Données projet'!H171</f>
        <v>24.61</v>
      </c>
      <c r="D183" s="179">
        <f t="shared" si="11"/>
        <v>1353.55</v>
      </c>
      <c r="E183" s="193"/>
      <c r="F183" s="231"/>
      <c r="G183" s="204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">
      <c r="A184" s="180">
        <f>'Données projet'!A172</f>
        <v>41</v>
      </c>
      <c r="B184" s="181">
        <f>'Données projet'!D172</f>
        <v>0</v>
      </c>
      <c r="C184" s="193">
        <f>40*'Données projet'!E172+19.4*('Données projet'!F172+'Données projet'!G174)+10*'Données projet'!H172</f>
        <v>24.61</v>
      </c>
      <c r="D184" s="179">
        <f t="shared" si="11"/>
        <v>0</v>
      </c>
      <c r="E184" s="193"/>
      <c r="F184" s="231"/>
      <c r="G184" s="205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">
      <c r="A185" s="180">
        <f>'Données projet'!A173</f>
        <v>46</v>
      </c>
      <c r="B185" s="181">
        <f>'Données projet'!D173</f>
        <v>93</v>
      </c>
      <c r="C185" s="193">
        <f>40*'Données projet'!E173+19.4*('Données projet'!F173+'Données projet'!G175)+10*'Données projet'!H173</f>
        <v>26.864000000000001</v>
      </c>
      <c r="D185" s="179">
        <f t="shared" si="11"/>
        <v>2498.3519999999999</v>
      </c>
      <c r="E185" s="193"/>
      <c r="F185" s="231"/>
      <c r="G185" s="205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">
      <c r="A186" s="180">
        <f>'Données projet'!A174</f>
        <v>50</v>
      </c>
      <c r="B186" s="181">
        <f>'Données projet'!D174</f>
        <v>0</v>
      </c>
      <c r="C186" s="193">
        <f>40*'Données projet'!E174+19.4*('Données projet'!F174+'Données projet'!G176)+10*'Données projet'!H174</f>
        <v>26.088000000000001</v>
      </c>
      <c r="D186" s="179">
        <f t="shared" si="11"/>
        <v>0</v>
      </c>
      <c r="E186" s="193"/>
      <c r="F186" s="231"/>
      <c r="G186" s="205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">
      <c r="A187" s="180">
        <f>'Données projet'!A175</f>
        <v>56</v>
      </c>
      <c r="B187" s="181">
        <f>'Données projet'!D175</f>
        <v>77</v>
      </c>
      <c r="C187" s="193">
        <f>40*'Données projet'!E175+19.4*('Données projet'!F175+'Données projet'!G177)+10*'Données projet'!H175</f>
        <v>27.954000000000001</v>
      </c>
      <c r="D187" s="179">
        <f t="shared" si="11"/>
        <v>2152.4580000000001</v>
      </c>
      <c r="E187" s="193"/>
      <c r="F187" s="231"/>
      <c r="G187" s="205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">
      <c r="A188" s="180">
        <f>'Données projet'!A176</f>
        <v>59</v>
      </c>
      <c r="B188" s="181">
        <f>'Données projet'!D176</f>
        <v>0</v>
      </c>
      <c r="C188" s="193">
        <f>40*'Données projet'!E176+19.4*('Données projet'!F176+'Données projet'!G178)+10*'Données projet'!H176</f>
        <v>30.013999999999999</v>
      </c>
      <c r="D188" s="179">
        <f t="shared" si="11"/>
        <v>0</v>
      </c>
      <c r="E188" s="193"/>
      <c r="F188" s="231"/>
      <c r="G188" s="205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">
      <c r="A189" s="180">
        <f>'Données projet'!A177</f>
        <v>66</v>
      </c>
      <c r="B189" s="181">
        <f>'Données projet'!D177</f>
        <v>87</v>
      </c>
      <c r="C189" s="193">
        <f>40*'Données projet'!E177+19.4*('Données projet'!F177+'Données projet'!G179)+10*'Données projet'!H177</f>
        <v>31.298000000000002</v>
      </c>
      <c r="D189" s="179">
        <f t="shared" si="11"/>
        <v>2722.9260000000004</v>
      </c>
      <c r="E189" s="193"/>
      <c r="F189" s="231"/>
      <c r="G189" s="205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">
      <c r="A190" s="180">
        <f>'Données projet'!A178</f>
        <v>70</v>
      </c>
      <c r="B190" s="181">
        <f>'Données projet'!D178</f>
        <v>568.46</v>
      </c>
      <c r="C190" s="193">
        <f>40*'Données projet'!E178+19.4*('Données projet'!F178+'Données projet'!G180)+10*'Données projet'!H178</f>
        <v>34.134</v>
      </c>
      <c r="D190" s="179">
        <f t="shared" si="11"/>
        <v>19403.81364</v>
      </c>
      <c r="E190" s="193"/>
      <c r="F190" s="231"/>
      <c r="G190" s="205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">
      <c r="A191" s="180">
        <f>'Données projet'!A179</f>
        <v>0</v>
      </c>
      <c r="B191" s="181">
        <f>'Données projet'!D179</f>
        <v>0</v>
      </c>
      <c r="C191" s="193">
        <f>300*'Données projet'!E179+13.8*('Données projet'!F179+'Données projet'!G181)+10*'Données projet'!H179</f>
        <v>0</v>
      </c>
      <c r="D191" s="179">
        <f t="shared" si="11"/>
        <v>0</v>
      </c>
      <c r="E191" s="193"/>
      <c r="F191" s="231"/>
      <c r="G191" s="205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">
      <c r="A192" s="180">
        <f>'Données projet'!A180</f>
        <v>0</v>
      </c>
      <c r="B192" s="181">
        <f>'Données projet'!D180</f>
        <v>0</v>
      </c>
      <c r="C192" s="193">
        <f>300*'Données projet'!E180+13.8*('Données projet'!F180+'Données projet'!G182)+10*'Données projet'!H180</f>
        <v>0</v>
      </c>
      <c r="D192" s="179">
        <f t="shared" si="11"/>
        <v>0</v>
      </c>
      <c r="E192" s="193"/>
      <c r="F192" s="231"/>
      <c r="G192" s="205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">
      <c r="A193" s="180">
        <f>'Données projet'!A181</f>
        <v>0</v>
      </c>
      <c r="B193" s="181">
        <f>'Données projet'!D181</f>
        <v>0</v>
      </c>
      <c r="C193" s="193">
        <f>300*'Données projet'!E181+13.8*('Données projet'!F181+'Données projet'!G183)+10*'Données projet'!H181</f>
        <v>0</v>
      </c>
      <c r="D193" s="179">
        <f t="shared" si="11"/>
        <v>0</v>
      </c>
      <c r="E193" s="193"/>
      <c r="F193" s="231"/>
      <c r="G193" s="205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">
      <c r="A194" s="180">
        <f>'Données projet'!A182</f>
        <v>0</v>
      </c>
      <c r="B194" s="181">
        <f>'Données projet'!D182</f>
        <v>0</v>
      </c>
      <c r="C194" s="193">
        <f>300*'Données projet'!E182+13.8*('Données projet'!F182+'Données projet'!G184)+10*'Données projet'!H182</f>
        <v>0</v>
      </c>
      <c r="D194" s="179">
        <f t="shared" si="11"/>
        <v>0</v>
      </c>
      <c r="E194" s="193"/>
      <c r="F194" s="231"/>
      <c r="G194" s="205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">
      <c r="A195" s="180">
        <f>'Données projet'!A183</f>
        <v>0</v>
      </c>
      <c r="B195" s="181">
        <f>'Données projet'!D183</f>
        <v>0</v>
      </c>
      <c r="C195" s="193">
        <f>300*'Données projet'!E183+13.8*('Données projet'!F183+'Données projet'!G185)+10*'Données projet'!H183</f>
        <v>0</v>
      </c>
      <c r="D195" s="179">
        <f t="shared" si="11"/>
        <v>0</v>
      </c>
      <c r="E195" s="193"/>
      <c r="F195" s="231"/>
      <c r="G195" s="205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">
      <c r="A196" s="180">
        <f>'Données projet'!A184</f>
        <v>0</v>
      </c>
      <c r="B196" s="181">
        <f>'Données projet'!D184</f>
        <v>0</v>
      </c>
      <c r="C196" s="193">
        <f>300*'Données projet'!E184+13.8*('Données projet'!F184+'Données projet'!G186)+10*'Données projet'!H184</f>
        <v>0</v>
      </c>
      <c r="D196" s="179">
        <f t="shared" si="11"/>
        <v>0</v>
      </c>
      <c r="E196" s="193"/>
      <c r="F196" s="231"/>
      <c r="G196" s="205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">
      <c r="A197" s="180">
        <f>'Données projet'!A185</f>
        <v>0</v>
      </c>
      <c r="B197" s="181">
        <f>'Données projet'!D185</f>
        <v>0</v>
      </c>
      <c r="C197" s="193">
        <f>300*'Données projet'!E185+13.8*('Données projet'!F185+'Données projet'!G187)+10*'Données projet'!H185</f>
        <v>0</v>
      </c>
      <c r="D197" s="179">
        <f t="shared" si="11"/>
        <v>0</v>
      </c>
      <c r="E197" s="193"/>
      <c r="F197" s="231"/>
      <c r="G197" s="205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">
      <c r="A198" s="4"/>
      <c r="B198" s="4"/>
      <c r="C198" s="4"/>
      <c r="D198" s="4"/>
      <c r="E198" s="4"/>
      <c r="F198" s="229"/>
      <c r="G198" s="205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">
      <c r="A199" s="4"/>
      <c r="B199" s="4"/>
      <c r="C199" s="4"/>
      <c r="D199" s="4"/>
      <c r="E199" s="4"/>
      <c r="F199" s="229"/>
      <c r="G199" s="205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">
      <c r="A200" s="46" t="s">
        <v>171</v>
      </c>
      <c r="B200" s="174" t="str">
        <f>IF('Données projet'!$B$15="","",'Données projet'!$B$15)</f>
        <v>Cèdre de l'Atlas</v>
      </c>
      <c r="C200" s="4"/>
      <c r="D200" s="4"/>
      <c r="E200" s="4"/>
      <c r="F200" s="229"/>
      <c r="G200" s="205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">
      <c r="A201" s="46"/>
      <c r="B201" s="4"/>
      <c r="C201" s="4"/>
      <c r="D201" s="4"/>
      <c r="E201" s="4"/>
      <c r="F201" s="229"/>
      <c r="G201" s="205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16" x14ac:dyDescent="0.2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0"/>
      <c r="G202" s="205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ht="16" x14ac:dyDescent="0.2">
      <c r="A203" s="49">
        <v>0</v>
      </c>
      <c r="B203" s="198" t="s">
        <v>132</v>
      </c>
      <c r="C203" s="197" t="s">
        <v>132</v>
      </c>
      <c r="D203" s="196" t="s">
        <v>132</v>
      </c>
      <c r="E203" s="193">
        <v>3438.24</v>
      </c>
      <c r="F203" s="230"/>
      <c r="G203" s="205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ht="16" x14ac:dyDescent="0.2">
      <c r="A204" s="49">
        <v>1</v>
      </c>
      <c r="B204" s="198" t="s">
        <v>132</v>
      </c>
      <c r="C204" s="197" t="s">
        <v>132</v>
      </c>
      <c r="D204" s="196" t="s">
        <v>132</v>
      </c>
      <c r="E204" s="193"/>
      <c r="F204" s="230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ht="16" x14ac:dyDescent="0.2">
      <c r="A205" s="49">
        <v>2</v>
      </c>
      <c r="B205" s="198" t="s">
        <v>132</v>
      </c>
      <c r="C205" s="197" t="s">
        <v>132</v>
      </c>
      <c r="D205" s="196" t="s">
        <v>132</v>
      </c>
      <c r="E205" s="193"/>
      <c r="F205" s="230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ht="16" x14ac:dyDescent="0.2">
      <c r="A206" s="49">
        <v>3</v>
      </c>
      <c r="B206" s="198" t="s">
        <v>132</v>
      </c>
      <c r="C206" s="197" t="s">
        <v>132</v>
      </c>
      <c r="D206" s="196" t="s">
        <v>132</v>
      </c>
      <c r="E206" s="193"/>
      <c r="F206" s="230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ht="16" x14ac:dyDescent="0.2">
      <c r="A207" s="49">
        <v>4</v>
      </c>
      <c r="B207" s="198" t="s">
        <v>132</v>
      </c>
      <c r="C207" s="197" t="s">
        <v>132</v>
      </c>
      <c r="D207" s="196" t="s">
        <v>132</v>
      </c>
      <c r="E207" s="193"/>
      <c r="F207" s="230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ht="16" x14ac:dyDescent="0.2">
      <c r="A208" s="49">
        <v>5</v>
      </c>
      <c r="B208" s="198" t="s">
        <v>132</v>
      </c>
      <c r="C208" s="197" t="s">
        <v>132</v>
      </c>
      <c r="D208" s="196" t="s">
        <v>132</v>
      </c>
      <c r="E208" s="193"/>
      <c r="F208" s="230"/>
      <c r="G208" s="204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">
      <c r="A209" s="180">
        <f>'Données projet'!A192</f>
        <v>20</v>
      </c>
      <c r="B209" s="181">
        <f>'Données projet'!D192</f>
        <v>40</v>
      </c>
      <c r="C209" s="193">
        <f>55*'Données projet'!E192+19.8*('Données projet'!F192+'Données projet'!G192)+10*'Données projet'!H192</f>
        <v>19.8</v>
      </c>
      <c r="D209" s="179">
        <f>B209*C209</f>
        <v>792</v>
      </c>
      <c r="E209" s="193"/>
      <c r="F209" s="231"/>
      <c r="G209" s="204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">
      <c r="A210" s="180">
        <f>'Données projet'!A193</f>
        <v>30</v>
      </c>
      <c r="B210" s="181">
        <f>'Données projet'!D193</f>
        <v>50</v>
      </c>
      <c r="C210" s="193">
        <f>55*'Données projet'!E193+19.8*('Données projet'!F193+'Données projet'!G193)+10*'Données projet'!H193</f>
        <v>26.840000000000003</v>
      </c>
      <c r="D210" s="179">
        <f t="shared" ref="D210:D228" si="12">B210*C210</f>
        <v>1342.0000000000002</v>
      </c>
      <c r="E210" s="193"/>
      <c r="F210" s="231"/>
      <c r="G210" s="204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">
      <c r="A211" s="180">
        <f>'Données projet'!A194</f>
        <v>40</v>
      </c>
      <c r="B211" s="181">
        <f>'Données projet'!D194</f>
        <v>50</v>
      </c>
      <c r="C211" s="193">
        <f>55*'Données projet'!E194+19.8*('Données projet'!F194+'Données projet'!G194)+10*'Données projet'!H194</f>
        <v>30.36</v>
      </c>
      <c r="D211" s="179">
        <f t="shared" si="12"/>
        <v>1518</v>
      </c>
      <c r="E211" s="193"/>
      <c r="F211" s="231"/>
      <c r="G211" s="204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">
      <c r="A212" s="180">
        <f>'Données projet'!A195</f>
        <v>50</v>
      </c>
      <c r="B212" s="181">
        <f>'Données projet'!D195</f>
        <v>50</v>
      </c>
      <c r="C212" s="193">
        <f>55*'Données projet'!E195+19.8*('Données projet'!F195+'Données projet'!G195)+10*'Données projet'!H195</f>
        <v>33.880000000000003</v>
      </c>
      <c r="D212" s="179">
        <f t="shared" si="12"/>
        <v>1694.0000000000002</v>
      </c>
      <c r="E212" s="193"/>
      <c r="F212" s="231"/>
      <c r="G212" s="204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">
      <c r="A213" s="180">
        <f>'Données projet'!A196</f>
        <v>60</v>
      </c>
      <c r="B213" s="181">
        <f>'Données projet'!D196</f>
        <v>40</v>
      </c>
      <c r="C213" s="193">
        <f>55*'Données projet'!E196+19.8*('Données projet'!F196+'Données projet'!G196)+10*'Données projet'!H196</f>
        <v>37.4</v>
      </c>
      <c r="D213" s="179">
        <f t="shared" si="12"/>
        <v>1496</v>
      </c>
      <c r="E213" s="193"/>
      <c r="F213" s="231"/>
      <c r="G213" s="204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">
      <c r="A214" s="180">
        <f>'Données projet'!A197</f>
        <v>70</v>
      </c>
      <c r="B214" s="181">
        <f>'Données projet'!D197</f>
        <v>550</v>
      </c>
      <c r="C214" s="193">
        <f>55*'Données projet'!E197+19.8*('Données projet'!F197+'Données projet'!G197)+10*'Données projet'!H197</f>
        <v>40.92</v>
      </c>
      <c r="D214" s="179">
        <f t="shared" si="12"/>
        <v>22506</v>
      </c>
      <c r="E214" s="193"/>
      <c r="F214" s="231"/>
      <c r="G214" s="204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">
      <c r="A215" s="180">
        <f>'Données projet'!A198</f>
        <v>0</v>
      </c>
      <c r="B215" s="181">
        <f>'Données projet'!D198</f>
        <v>0</v>
      </c>
      <c r="C215" s="193">
        <f>55*'Données projet'!E198+19.8*('Données projet'!F198+'Données projet'!G198)+10*'Données projet'!H198</f>
        <v>0</v>
      </c>
      <c r="D215" s="179">
        <f t="shared" si="12"/>
        <v>0</v>
      </c>
      <c r="E215" s="193"/>
      <c r="F215" s="231"/>
      <c r="G215" s="205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">
      <c r="A216" s="180">
        <f>'Données projet'!A199</f>
        <v>0</v>
      </c>
      <c r="B216" s="181">
        <f>'Données projet'!D199</f>
        <v>0</v>
      </c>
      <c r="C216" s="193">
        <f>55*'Données projet'!E199+19.8*('Données projet'!F199+'Données projet'!G199)+10*'Données projet'!H199</f>
        <v>0</v>
      </c>
      <c r="D216" s="179">
        <f t="shared" si="12"/>
        <v>0</v>
      </c>
      <c r="E216" s="193"/>
      <c r="F216" s="231"/>
      <c r="G216" s="205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">
      <c r="A217" s="180">
        <f>'Données projet'!A200</f>
        <v>0</v>
      </c>
      <c r="B217" s="181">
        <f>'Données projet'!D200</f>
        <v>0</v>
      </c>
      <c r="C217" s="193">
        <f>55*'Données projet'!E200+19.8*('Données projet'!F200+'Données projet'!G200)+10*'Données projet'!H200</f>
        <v>0</v>
      </c>
      <c r="D217" s="179">
        <f t="shared" si="12"/>
        <v>0</v>
      </c>
      <c r="E217" s="193"/>
      <c r="F217" s="231"/>
      <c r="G217" s="205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">
      <c r="A218" s="180">
        <f>'Données projet'!A201</f>
        <v>0</v>
      </c>
      <c r="B218" s="181">
        <f>'Données projet'!D201</f>
        <v>0</v>
      </c>
      <c r="C218" s="193">
        <f>55*'Données projet'!E201+19.8*('Données projet'!F201+'Données projet'!G201)+10*'Données projet'!H201</f>
        <v>0</v>
      </c>
      <c r="D218" s="179">
        <f t="shared" si="12"/>
        <v>0</v>
      </c>
      <c r="E218" s="193"/>
      <c r="F218" s="231"/>
      <c r="G218" s="205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">
      <c r="A219" s="180">
        <f>'Données projet'!A202</f>
        <v>0</v>
      </c>
      <c r="B219" s="181">
        <f>'Données projet'!D202</f>
        <v>0</v>
      </c>
      <c r="C219" s="193">
        <f>55*'Données projet'!E202+19.8*('Données projet'!F202+'Données projet'!G202)+10*'Données projet'!H202</f>
        <v>0</v>
      </c>
      <c r="D219" s="179">
        <f t="shared" si="12"/>
        <v>0</v>
      </c>
      <c r="E219" s="193"/>
      <c r="F219" s="231"/>
      <c r="G219" s="205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">
      <c r="A220" s="180">
        <f>'Données projet'!A203</f>
        <v>0</v>
      </c>
      <c r="B220" s="181">
        <f>'Données projet'!D203</f>
        <v>0</v>
      </c>
      <c r="C220" s="193">
        <f>55*'Données projet'!E203+19.8*('Données projet'!F203+'Données projet'!G203)+10*'Données projet'!H203</f>
        <v>0</v>
      </c>
      <c r="D220" s="179">
        <f t="shared" si="12"/>
        <v>0</v>
      </c>
      <c r="E220" s="193"/>
      <c r="F220" s="231"/>
      <c r="G220" s="205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">
      <c r="A221" s="180">
        <f>'Données projet'!A204</f>
        <v>0</v>
      </c>
      <c r="B221" s="181">
        <f>'Données projet'!D204</f>
        <v>0</v>
      </c>
      <c r="C221" s="193">
        <f>55*'Données projet'!E204+19.8*('Données projet'!F204+'Données projet'!G204)+10*'Données projet'!H204</f>
        <v>0</v>
      </c>
      <c r="D221" s="179">
        <f t="shared" si="12"/>
        <v>0</v>
      </c>
      <c r="E221" s="193"/>
      <c r="F221" s="231"/>
      <c r="G221" s="205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">
      <c r="A222" s="180">
        <f>'Données projet'!A205</f>
        <v>0</v>
      </c>
      <c r="B222" s="181">
        <f>'Données projet'!D205</f>
        <v>0</v>
      </c>
      <c r="C222" s="193">
        <f>55*'Données projet'!E205+19.8*('Données projet'!F205+'Données projet'!G205)+10*'Données projet'!H205</f>
        <v>0</v>
      </c>
      <c r="D222" s="179">
        <f t="shared" si="12"/>
        <v>0</v>
      </c>
      <c r="E222" s="193"/>
      <c r="F222" s="231"/>
      <c r="G222" s="205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">
      <c r="A223" s="180">
        <f>'Données projet'!A206</f>
        <v>0</v>
      </c>
      <c r="B223" s="181">
        <f>'Données projet'!D206</f>
        <v>0</v>
      </c>
      <c r="C223" s="193">
        <f>55*'Données projet'!E206+19.8*('Données projet'!F206+'Données projet'!G206)+10*'Données projet'!H206</f>
        <v>0</v>
      </c>
      <c r="D223" s="179">
        <f t="shared" si="12"/>
        <v>0</v>
      </c>
      <c r="E223" s="193"/>
      <c r="F223" s="231"/>
      <c r="G223" s="205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">
      <c r="A224" s="180">
        <f>'Données projet'!A207</f>
        <v>0</v>
      </c>
      <c r="B224" s="181">
        <f>'Données projet'!D207</f>
        <v>0</v>
      </c>
      <c r="C224" s="193">
        <f>55*'Données projet'!E207+19.8*('Données projet'!F207+'Données projet'!G207)+10*'Données projet'!H207</f>
        <v>0</v>
      </c>
      <c r="D224" s="179">
        <f t="shared" si="12"/>
        <v>0</v>
      </c>
      <c r="E224" s="193"/>
      <c r="F224" s="231"/>
      <c r="G224" s="205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">
      <c r="A225" s="180">
        <f>'Données projet'!A208</f>
        <v>0</v>
      </c>
      <c r="B225" s="181">
        <f>'Données projet'!D208</f>
        <v>0</v>
      </c>
      <c r="C225" s="193">
        <f>55*'Données projet'!E208+19.8*('Données projet'!F208+'Données projet'!G208)+10*'Données projet'!H208</f>
        <v>0</v>
      </c>
      <c r="D225" s="179">
        <f t="shared" si="12"/>
        <v>0</v>
      </c>
      <c r="E225" s="193"/>
      <c r="F225" s="231"/>
      <c r="G225" s="205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">
      <c r="A226" s="180">
        <f>'Données projet'!A209</f>
        <v>0</v>
      </c>
      <c r="B226" s="181">
        <f>'Données projet'!D209</f>
        <v>0</v>
      </c>
      <c r="C226" s="193">
        <f>55*'Données projet'!E209+19.8*('Données projet'!F209+'Données projet'!G209)+10*'Données projet'!H209</f>
        <v>0</v>
      </c>
      <c r="D226" s="179">
        <f t="shared" si="12"/>
        <v>0</v>
      </c>
      <c r="E226" s="193"/>
      <c r="F226" s="231"/>
      <c r="G226" s="205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">
      <c r="A227" s="180">
        <f>'Données projet'!A210</f>
        <v>0</v>
      </c>
      <c r="B227" s="181">
        <f>'Données projet'!D210</f>
        <v>0</v>
      </c>
      <c r="C227" s="193">
        <f>55*'Données projet'!E210+19.8*('Données projet'!F210+'Données projet'!G210)+10*'Données projet'!H210</f>
        <v>0</v>
      </c>
      <c r="D227" s="179">
        <f t="shared" si="12"/>
        <v>0</v>
      </c>
      <c r="E227" s="193"/>
      <c r="F227" s="231"/>
      <c r="G227" s="205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">
      <c r="A228" s="180">
        <f>'Données projet'!A211</f>
        <v>0</v>
      </c>
      <c r="B228" s="181">
        <f>'Données projet'!D211</f>
        <v>0</v>
      </c>
      <c r="C228" s="193">
        <f>55*'Données projet'!E211+19.8*('Données projet'!F211+'Données projet'!G211)+10*'Données projet'!H211</f>
        <v>0</v>
      </c>
      <c r="D228" s="179">
        <f t="shared" si="12"/>
        <v>0</v>
      </c>
      <c r="E228" s="193"/>
      <c r="F228" s="231"/>
      <c r="G228" s="205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">
      <c r="A229" s="4"/>
      <c r="B229" s="4"/>
      <c r="C229" s="4"/>
      <c r="D229" s="4"/>
      <c r="E229" s="4"/>
      <c r="F229" s="229"/>
      <c r="G229" s="205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">
      <c r="A230" s="4"/>
      <c r="B230" s="4"/>
      <c r="C230" s="4"/>
      <c r="D230" s="4"/>
      <c r="E230" s="4"/>
      <c r="F230" s="229"/>
      <c r="G230" s="205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29"/>
      <c r="G231" s="205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">
      <c r="A232" s="46"/>
      <c r="B232" s="4"/>
      <c r="C232" s="4"/>
      <c r="D232" s="4"/>
      <c r="E232" s="4"/>
      <c r="F232" s="229"/>
      <c r="G232" s="205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16" x14ac:dyDescent="0.2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0"/>
      <c r="G233" s="205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ht="16" x14ac:dyDescent="0.2">
      <c r="A234" s="49">
        <v>0</v>
      </c>
      <c r="B234" s="198" t="s">
        <v>132</v>
      </c>
      <c r="C234" s="197" t="s">
        <v>132</v>
      </c>
      <c r="D234" s="196" t="s">
        <v>132</v>
      </c>
      <c r="E234" s="193"/>
      <c r="F234" s="230"/>
      <c r="G234" s="205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ht="16" x14ac:dyDescent="0.2">
      <c r="A235" s="49">
        <v>1</v>
      </c>
      <c r="B235" s="198" t="s">
        <v>132</v>
      </c>
      <c r="C235" s="197" t="s">
        <v>132</v>
      </c>
      <c r="D235" s="196" t="s">
        <v>132</v>
      </c>
      <c r="E235" s="193"/>
      <c r="F235" s="230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ht="16" x14ac:dyDescent="0.2">
      <c r="A236" s="49">
        <v>2</v>
      </c>
      <c r="B236" s="198" t="s">
        <v>132</v>
      </c>
      <c r="C236" s="197" t="s">
        <v>132</v>
      </c>
      <c r="D236" s="196" t="s">
        <v>132</v>
      </c>
      <c r="E236" s="193"/>
      <c r="F236" s="230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ht="16" x14ac:dyDescent="0.2">
      <c r="A237" s="49">
        <v>3</v>
      </c>
      <c r="B237" s="198" t="s">
        <v>132</v>
      </c>
      <c r="C237" s="197" t="s">
        <v>132</v>
      </c>
      <c r="D237" s="196" t="s">
        <v>132</v>
      </c>
      <c r="E237" s="193"/>
      <c r="F237" s="230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ht="16" x14ac:dyDescent="0.2">
      <c r="A238" s="49">
        <v>4</v>
      </c>
      <c r="B238" s="198" t="s">
        <v>132</v>
      </c>
      <c r="C238" s="197" t="s">
        <v>132</v>
      </c>
      <c r="D238" s="196" t="s">
        <v>132</v>
      </c>
      <c r="E238" s="193"/>
      <c r="F238" s="230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ht="16" x14ac:dyDescent="0.2">
      <c r="A239" s="49">
        <v>5</v>
      </c>
      <c r="B239" s="198" t="s">
        <v>132</v>
      </c>
      <c r="C239" s="197" t="s">
        <v>132</v>
      </c>
      <c r="D239" s="196" t="s">
        <v>132</v>
      </c>
      <c r="E239" s="193"/>
      <c r="F239" s="230"/>
      <c r="G239" s="204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">
      <c r="A240" s="180">
        <f>'Données projet'!A218</f>
        <v>0</v>
      </c>
      <c r="B240" s="181">
        <f>'Données projet'!D218</f>
        <v>0</v>
      </c>
      <c r="C240" s="193">
        <f>60*'Données projet'!E218+13.8*('Données projet'!F218+'Données projet'!G218)+10*'Données projet'!H218</f>
        <v>0</v>
      </c>
      <c r="D240" s="179">
        <f>B240*C240</f>
        <v>0</v>
      </c>
      <c r="E240" s="193"/>
      <c r="F240" s="231"/>
      <c r="G240" s="204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">
      <c r="A241" s="180">
        <f>'Données projet'!A219</f>
        <v>0</v>
      </c>
      <c r="B241" s="181">
        <f>'Données projet'!D219</f>
        <v>0</v>
      </c>
      <c r="C241" s="193">
        <f>60*'Données projet'!E219+13.8*('Données projet'!F219+'Données projet'!G219)+10*'Données projet'!H219</f>
        <v>0</v>
      </c>
      <c r="D241" s="179">
        <f t="shared" ref="D241:D259" si="13">B241*C241</f>
        <v>0</v>
      </c>
      <c r="E241" s="193"/>
      <c r="F241" s="231"/>
      <c r="G241" s="204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">
      <c r="A242" s="180">
        <f>'Données projet'!A220</f>
        <v>0</v>
      </c>
      <c r="B242" s="181">
        <f>'Données projet'!D220</f>
        <v>0</v>
      </c>
      <c r="C242" s="193">
        <f>60*'Données projet'!E220+13.8*('Données projet'!F220+'Données projet'!G220)+10*'Données projet'!H220</f>
        <v>0</v>
      </c>
      <c r="D242" s="179">
        <f t="shared" si="13"/>
        <v>0</v>
      </c>
      <c r="E242" s="193"/>
      <c r="F242" s="231"/>
      <c r="G242" s="204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">
      <c r="A243" s="180">
        <f>'Données projet'!A221</f>
        <v>0</v>
      </c>
      <c r="B243" s="181">
        <f>'Données projet'!D221</f>
        <v>0</v>
      </c>
      <c r="C243" s="193">
        <f>60*'Données projet'!E221+13.8*('Données projet'!F221+'Données projet'!G221)+10*'Données projet'!H221</f>
        <v>0</v>
      </c>
      <c r="D243" s="179">
        <f t="shared" si="13"/>
        <v>0</v>
      </c>
      <c r="E243" s="193"/>
      <c r="F243" s="231"/>
      <c r="G243" s="204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">
      <c r="A244" s="180">
        <f>'Données projet'!A222</f>
        <v>0</v>
      </c>
      <c r="B244" s="181">
        <f>'Données projet'!D222</f>
        <v>0</v>
      </c>
      <c r="C244" s="193">
        <f>60*'Données projet'!E222+13.8*('Données projet'!F222+'Données projet'!G222)+10*'Données projet'!H222</f>
        <v>0</v>
      </c>
      <c r="D244" s="179">
        <f t="shared" si="13"/>
        <v>0</v>
      </c>
      <c r="E244" s="193"/>
      <c r="F244" s="231"/>
      <c r="G244" s="204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">
      <c r="A245" s="180">
        <f>'Données projet'!A223</f>
        <v>0</v>
      </c>
      <c r="B245" s="181">
        <f>'Données projet'!D223</f>
        <v>0</v>
      </c>
      <c r="C245" s="193">
        <f>60*'Données projet'!E223+13.8*('Données projet'!F223+'Données projet'!G223)+10*'Données projet'!H223</f>
        <v>0</v>
      </c>
      <c r="D245" s="179">
        <f t="shared" si="13"/>
        <v>0</v>
      </c>
      <c r="E245" s="193"/>
      <c r="F245" s="231"/>
      <c r="G245" s="204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">
      <c r="A246" s="180">
        <f>'Données projet'!A224</f>
        <v>0</v>
      </c>
      <c r="B246" s="181">
        <f>'Données projet'!D224</f>
        <v>0</v>
      </c>
      <c r="C246" s="193">
        <f>60*'Données projet'!E224+13.8*('Données projet'!F224+'Données projet'!G224)+10*'Données projet'!H224</f>
        <v>0</v>
      </c>
      <c r="D246" s="179">
        <f t="shared" si="13"/>
        <v>0</v>
      </c>
      <c r="E246" s="193"/>
      <c r="F246" s="231"/>
      <c r="G246" s="205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">
      <c r="A247" s="180">
        <f>'Données projet'!A225</f>
        <v>0</v>
      </c>
      <c r="B247" s="181">
        <f>'Données projet'!D225</f>
        <v>0</v>
      </c>
      <c r="C247" s="193">
        <f>60*'Données projet'!E225+13.8*('Données projet'!F225+'Données projet'!G225)+10*'Données projet'!H225</f>
        <v>0</v>
      </c>
      <c r="D247" s="179">
        <f t="shared" si="13"/>
        <v>0</v>
      </c>
      <c r="E247" s="193"/>
      <c r="F247" s="231"/>
      <c r="G247" s="205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">
      <c r="A248" s="180">
        <f>'Données projet'!A226</f>
        <v>0</v>
      </c>
      <c r="B248" s="181">
        <f>'Données projet'!D226</f>
        <v>0</v>
      </c>
      <c r="C248" s="193">
        <f>60*'Données projet'!E226+13.8*('Données projet'!F226+'Données projet'!G226)+10*'Données projet'!H226</f>
        <v>0</v>
      </c>
      <c r="D248" s="179">
        <f t="shared" si="13"/>
        <v>0</v>
      </c>
      <c r="E248" s="193"/>
      <c r="F248" s="231"/>
      <c r="G248" s="205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">
      <c r="A249" s="180">
        <f>'Données projet'!A227</f>
        <v>0</v>
      </c>
      <c r="B249" s="181">
        <f>'Données projet'!D227</f>
        <v>0</v>
      </c>
      <c r="C249" s="193">
        <f>60*'Données projet'!E227+13.8*('Données projet'!F227+'Données projet'!G227)+10*'Données projet'!H227</f>
        <v>0</v>
      </c>
      <c r="D249" s="179">
        <f t="shared" si="13"/>
        <v>0</v>
      </c>
      <c r="E249" s="193"/>
      <c r="F249" s="231"/>
      <c r="G249" s="205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">
      <c r="A250" s="180">
        <f>'Données projet'!A228</f>
        <v>0</v>
      </c>
      <c r="B250" s="181">
        <f>'Données projet'!D228</f>
        <v>0</v>
      </c>
      <c r="C250" s="193">
        <f>60*'Données projet'!E228+13.8*('Données projet'!F228+'Données projet'!G228)+10*'Données projet'!H228</f>
        <v>0</v>
      </c>
      <c r="D250" s="179">
        <f t="shared" si="13"/>
        <v>0</v>
      </c>
      <c r="E250" s="193"/>
      <c r="F250" s="231"/>
      <c r="G250" s="205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">
      <c r="A251" s="180">
        <f>'Données projet'!A229</f>
        <v>0</v>
      </c>
      <c r="B251" s="181">
        <f>'Données projet'!D229</f>
        <v>0</v>
      </c>
      <c r="C251" s="193">
        <f>60*'Données projet'!E229+13.8*('Données projet'!F229+'Données projet'!G229)+10*'Données projet'!H229</f>
        <v>0</v>
      </c>
      <c r="D251" s="179">
        <f t="shared" si="13"/>
        <v>0</v>
      </c>
      <c r="E251" s="193"/>
      <c r="F251" s="231"/>
      <c r="G251" s="205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">
      <c r="A252" s="180">
        <f>'Données projet'!A230</f>
        <v>0</v>
      </c>
      <c r="B252" s="181">
        <f>'Données projet'!D230</f>
        <v>0</v>
      </c>
      <c r="C252" s="193">
        <f>60*'Données projet'!E230+13.8*('Données projet'!F230+'Données projet'!G230)+10*'Données projet'!H230</f>
        <v>0</v>
      </c>
      <c r="D252" s="179">
        <f t="shared" si="13"/>
        <v>0</v>
      </c>
      <c r="E252" s="193"/>
      <c r="F252" s="231"/>
      <c r="G252" s="205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">
      <c r="A253" s="180">
        <f>'Données projet'!A231</f>
        <v>0</v>
      </c>
      <c r="B253" s="181">
        <f>'Données projet'!D231</f>
        <v>0</v>
      </c>
      <c r="C253" s="193">
        <f>60*'Données projet'!E231+13.8*('Données projet'!F231+'Données projet'!G231)+10*'Données projet'!H231</f>
        <v>0</v>
      </c>
      <c r="D253" s="179">
        <f t="shared" si="13"/>
        <v>0</v>
      </c>
      <c r="E253" s="193"/>
      <c r="F253" s="231"/>
      <c r="G253" s="205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">
      <c r="A254" s="180">
        <f>'Données projet'!A232</f>
        <v>0</v>
      </c>
      <c r="B254" s="181">
        <f>'Données projet'!D232</f>
        <v>0</v>
      </c>
      <c r="C254" s="193">
        <f>60*'Données projet'!E232+13.8*('Données projet'!F232+'Données projet'!G232)+10*'Données projet'!H232</f>
        <v>0</v>
      </c>
      <c r="D254" s="179">
        <f t="shared" si="13"/>
        <v>0</v>
      </c>
      <c r="E254" s="193"/>
      <c r="F254" s="231"/>
      <c r="G254" s="205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">
      <c r="A255" s="180">
        <f>'Données projet'!A233</f>
        <v>0</v>
      </c>
      <c r="B255" s="181">
        <f>'Données projet'!D233</f>
        <v>0</v>
      </c>
      <c r="C255" s="193">
        <f>60*'Données projet'!E233+13.8*('Données projet'!F233+'Données projet'!G233)+10*'Données projet'!H233</f>
        <v>0</v>
      </c>
      <c r="D255" s="179">
        <f t="shared" si="13"/>
        <v>0</v>
      </c>
      <c r="E255" s="193"/>
      <c r="F255" s="231"/>
      <c r="G255" s="205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">
      <c r="A256" s="180">
        <f>'Données projet'!A234</f>
        <v>0</v>
      </c>
      <c r="B256" s="181">
        <f>'Données projet'!D234</f>
        <v>0</v>
      </c>
      <c r="C256" s="193">
        <f>60*'Données projet'!E234+13.8*('Données projet'!F234+'Données projet'!G234)+10*'Données projet'!H234</f>
        <v>0</v>
      </c>
      <c r="D256" s="179">
        <f t="shared" si="13"/>
        <v>0</v>
      </c>
      <c r="E256" s="193"/>
      <c r="F256" s="231"/>
      <c r="G256" s="205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">
      <c r="A257" s="180">
        <f>'Données projet'!A235</f>
        <v>0</v>
      </c>
      <c r="B257" s="181">
        <f>'Données projet'!D235</f>
        <v>0</v>
      </c>
      <c r="C257" s="193">
        <f>60*'Données projet'!E235+13.8*('Données projet'!F235+'Données projet'!G235)+10*'Données projet'!H235</f>
        <v>0</v>
      </c>
      <c r="D257" s="179">
        <f t="shared" si="13"/>
        <v>0</v>
      </c>
      <c r="E257" s="193"/>
      <c r="F257" s="231"/>
      <c r="G257" s="205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">
      <c r="A258" s="180">
        <f>'Données projet'!A236</f>
        <v>0</v>
      </c>
      <c r="B258" s="181">
        <f>'Données projet'!D236</f>
        <v>0</v>
      </c>
      <c r="C258" s="193">
        <f>60*'Données projet'!E236+13.8*('Données projet'!F236+'Données projet'!G236)+10*'Données projet'!H236</f>
        <v>0</v>
      </c>
      <c r="D258" s="179">
        <f t="shared" si="13"/>
        <v>0</v>
      </c>
      <c r="E258" s="193"/>
      <c r="F258" s="231"/>
      <c r="G258" s="205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">
      <c r="A259" s="180">
        <f>'Données projet'!A237</f>
        <v>0</v>
      </c>
      <c r="B259" s="181">
        <f>'Données projet'!D237</f>
        <v>0</v>
      </c>
      <c r="C259" s="193">
        <f>60*'Données projet'!E237+13.8*('Données projet'!F237+'Données projet'!G237)+10*'Données projet'!H237</f>
        <v>0</v>
      </c>
      <c r="D259" s="179">
        <f t="shared" si="13"/>
        <v>0</v>
      </c>
      <c r="E259" s="193"/>
      <c r="F259" s="231"/>
      <c r="G259" s="205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">
      <c r="A260" s="4"/>
      <c r="B260" s="4"/>
      <c r="C260" s="4"/>
      <c r="D260" s="4"/>
      <c r="E260" s="4"/>
      <c r="F260" s="229"/>
      <c r="G260" s="205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">
      <c r="A261" s="4"/>
      <c r="B261" s="4"/>
      <c r="C261" s="4"/>
      <c r="D261" s="4"/>
      <c r="E261" s="4"/>
      <c r="F261" s="229"/>
      <c r="G261" s="205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29"/>
      <c r="G262" s="205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">
      <c r="A263" s="46"/>
      <c r="B263" s="4"/>
      <c r="C263" s="4"/>
      <c r="D263" s="4"/>
      <c r="E263" s="4"/>
      <c r="F263" s="229"/>
      <c r="G263" s="205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16" x14ac:dyDescent="0.2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0"/>
      <c r="G264" s="205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ht="16" x14ac:dyDescent="0.2">
      <c r="A265" s="49">
        <v>0</v>
      </c>
      <c r="B265" s="198" t="s">
        <v>132</v>
      </c>
      <c r="C265" s="197" t="s">
        <v>132</v>
      </c>
      <c r="D265" s="196" t="s">
        <v>132</v>
      </c>
      <c r="E265" s="193"/>
      <c r="F265" s="230"/>
      <c r="G265" s="205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ht="16" x14ac:dyDescent="0.2">
      <c r="A266" s="49">
        <v>1</v>
      </c>
      <c r="B266" s="198" t="s">
        <v>132</v>
      </c>
      <c r="C266" s="197" t="s">
        <v>132</v>
      </c>
      <c r="D266" s="196" t="s">
        <v>132</v>
      </c>
      <c r="E266" s="193"/>
      <c r="F266" s="230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ht="16" x14ac:dyDescent="0.2">
      <c r="A267" s="49">
        <v>2</v>
      </c>
      <c r="B267" s="198" t="s">
        <v>132</v>
      </c>
      <c r="C267" s="197" t="s">
        <v>132</v>
      </c>
      <c r="D267" s="196" t="s">
        <v>132</v>
      </c>
      <c r="E267" s="193"/>
      <c r="F267" s="230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ht="16" x14ac:dyDescent="0.2">
      <c r="A268" s="49">
        <v>3</v>
      </c>
      <c r="B268" s="198" t="s">
        <v>132</v>
      </c>
      <c r="C268" s="197" t="s">
        <v>132</v>
      </c>
      <c r="D268" s="196" t="s">
        <v>132</v>
      </c>
      <c r="E268" s="193"/>
      <c r="F268" s="230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ht="16" x14ac:dyDescent="0.2">
      <c r="A269" s="49">
        <v>4</v>
      </c>
      <c r="B269" s="198" t="s">
        <v>132</v>
      </c>
      <c r="C269" s="197" t="s">
        <v>132</v>
      </c>
      <c r="D269" s="196" t="s">
        <v>132</v>
      </c>
      <c r="E269" s="193"/>
      <c r="F269" s="230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ht="16" x14ac:dyDescent="0.2">
      <c r="A270" s="49">
        <v>5</v>
      </c>
      <c r="B270" s="198" t="s">
        <v>132</v>
      </c>
      <c r="C270" s="197" t="s">
        <v>132</v>
      </c>
      <c r="D270" s="196" t="s">
        <v>132</v>
      </c>
      <c r="E270" s="193"/>
      <c r="F270" s="230"/>
      <c r="G270" s="204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">
      <c r="A271" s="180">
        <f>'Données projet'!A244</f>
        <v>0</v>
      </c>
      <c r="B271" s="181">
        <f>'Données projet'!D244</f>
        <v>0</v>
      </c>
      <c r="C271" s="193">
        <f>60*'Données projet'!E244+13.8*('Données projet'!F244+'Données projet'!G244)+10*'Données projet'!H244</f>
        <v>0</v>
      </c>
      <c r="D271" s="179">
        <f>B271*C271</f>
        <v>0</v>
      </c>
      <c r="E271" s="193"/>
      <c r="F271" s="231"/>
      <c r="G271" s="204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">
      <c r="A272" s="180">
        <f>'Données projet'!A245</f>
        <v>0</v>
      </c>
      <c r="B272" s="181">
        <f>'Données projet'!D245</f>
        <v>0</v>
      </c>
      <c r="C272" s="193">
        <f>60*'Données projet'!E245+13.8*('Données projet'!F245+'Données projet'!G245)+10*'Données projet'!H245</f>
        <v>0</v>
      </c>
      <c r="D272" s="179">
        <f t="shared" ref="D272:D290" si="14">B272*C272</f>
        <v>0</v>
      </c>
      <c r="E272" s="193"/>
      <c r="F272" s="231"/>
      <c r="G272" s="204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">
      <c r="A273" s="180">
        <f>'Données projet'!A246</f>
        <v>0</v>
      </c>
      <c r="B273" s="181">
        <f>'Données projet'!D246</f>
        <v>0</v>
      </c>
      <c r="C273" s="193">
        <f>60*'Données projet'!E246+13.8*('Données projet'!F246+'Données projet'!G246)+10*'Données projet'!H246</f>
        <v>0</v>
      </c>
      <c r="D273" s="179">
        <f t="shared" si="14"/>
        <v>0</v>
      </c>
      <c r="E273" s="193"/>
      <c r="F273" s="231"/>
      <c r="G273" s="204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">
      <c r="A274" s="180">
        <f>'Données projet'!A247</f>
        <v>0</v>
      </c>
      <c r="B274" s="181">
        <f>'Données projet'!D247</f>
        <v>0</v>
      </c>
      <c r="C274" s="193">
        <f>60*'Données projet'!E247+13.8*('Données projet'!F247+'Données projet'!G247)+10*'Données projet'!H247</f>
        <v>0</v>
      </c>
      <c r="D274" s="179">
        <f t="shared" si="14"/>
        <v>0</v>
      </c>
      <c r="E274" s="193"/>
      <c r="F274" s="231"/>
      <c r="G274" s="204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">
      <c r="A275" s="180">
        <f>'Données projet'!A248</f>
        <v>0</v>
      </c>
      <c r="B275" s="181">
        <f>'Données projet'!D248</f>
        <v>0</v>
      </c>
      <c r="C275" s="193">
        <f>60*'Données projet'!E248+13.8*('Données projet'!F248+'Données projet'!G248)+10*'Données projet'!H248</f>
        <v>0</v>
      </c>
      <c r="D275" s="179">
        <f t="shared" si="14"/>
        <v>0</v>
      </c>
      <c r="E275" s="193"/>
      <c r="F275" s="231"/>
      <c r="G275" s="204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">
      <c r="A276" s="180">
        <f>'Données projet'!A249</f>
        <v>0</v>
      </c>
      <c r="B276" s="181">
        <f>'Données projet'!D249</f>
        <v>0</v>
      </c>
      <c r="C276" s="193">
        <f>60*'Données projet'!E249+13.8*('Données projet'!F249+'Données projet'!G249)+10*'Données projet'!H249</f>
        <v>0</v>
      </c>
      <c r="D276" s="179">
        <f t="shared" si="14"/>
        <v>0</v>
      </c>
      <c r="E276" s="193"/>
      <c r="F276" s="231"/>
      <c r="G276" s="204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">
      <c r="A277" s="180">
        <f>'Données projet'!A250</f>
        <v>0</v>
      </c>
      <c r="B277" s="181">
        <f>'Données projet'!D250</f>
        <v>0</v>
      </c>
      <c r="C277" s="193">
        <f>60*'Données projet'!E250+13.8*('Données projet'!F250+'Données projet'!G250)+10*'Données projet'!H250</f>
        <v>0</v>
      </c>
      <c r="D277" s="179">
        <f t="shared" si="14"/>
        <v>0</v>
      </c>
      <c r="E277" s="193"/>
      <c r="F277" s="231"/>
      <c r="G277" s="205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">
      <c r="A278" s="180">
        <f>'Données projet'!A251</f>
        <v>0</v>
      </c>
      <c r="B278" s="181">
        <f>'Données projet'!D251</f>
        <v>0</v>
      </c>
      <c r="C278" s="193">
        <f>60*'Données projet'!E251+13.8*('Données projet'!F251+'Données projet'!G251)+10*'Données projet'!H251</f>
        <v>0</v>
      </c>
      <c r="D278" s="179">
        <f t="shared" si="14"/>
        <v>0</v>
      </c>
      <c r="E278" s="193"/>
      <c r="F278" s="231"/>
      <c r="G278" s="205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">
      <c r="A279" s="180">
        <f>'Données projet'!A252</f>
        <v>0</v>
      </c>
      <c r="B279" s="181">
        <f>'Données projet'!D252</f>
        <v>0</v>
      </c>
      <c r="C279" s="193">
        <f>60*'Données projet'!E252+13.8*('Données projet'!F252+'Données projet'!G252)+10*'Données projet'!H252</f>
        <v>0</v>
      </c>
      <c r="D279" s="179">
        <f t="shared" si="14"/>
        <v>0</v>
      </c>
      <c r="E279" s="193"/>
      <c r="F279" s="231"/>
      <c r="G279" s="205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">
      <c r="A280" s="180">
        <f>'Données projet'!A253</f>
        <v>0</v>
      </c>
      <c r="B280" s="181">
        <f>'Données projet'!D253</f>
        <v>0</v>
      </c>
      <c r="C280" s="193">
        <f>60*'Données projet'!E253+13.8*('Données projet'!F253+'Données projet'!G253)+10*'Données projet'!H253</f>
        <v>0</v>
      </c>
      <c r="D280" s="179">
        <f t="shared" si="14"/>
        <v>0</v>
      </c>
      <c r="E280" s="193"/>
      <c r="F280" s="231"/>
      <c r="G280" s="205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">
      <c r="A281" s="180">
        <f>'Données projet'!A254</f>
        <v>0</v>
      </c>
      <c r="B281" s="181">
        <f>'Données projet'!D254</f>
        <v>0</v>
      </c>
      <c r="C281" s="193">
        <f>60*'Données projet'!E254+13.8*('Données projet'!F254+'Données projet'!G254)+10*'Données projet'!H254</f>
        <v>0</v>
      </c>
      <c r="D281" s="179">
        <f t="shared" si="14"/>
        <v>0</v>
      </c>
      <c r="E281" s="193"/>
      <c r="F281" s="231"/>
      <c r="G281" s="205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">
      <c r="A282" s="180">
        <f>'Données projet'!A255</f>
        <v>0</v>
      </c>
      <c r="B282" s="181">
        <f>'Données projet'!D255</f>
        <v>0</v>
      </c>
      <c r="C282" s="193">
        <f>60*'Données projet'!E255+13.8*('Données projet'!F255+'Données projet'!G255)+10*'Données projet'!H255</f>
        <v>0</v>
      </c>
      <c r="D282" s="179">
        <f t="shared" si="14"/>
        <v>0</v>
      </c>
      <c r="E282" s="193"/>
      <c r="F282" s="231"/>
      <c r="G282" s="205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">
      <c r="A283" s="180">
        <f>'Données projet'!A256</f>
        <v>0</v>
      </c>
      <c r="B283" s="181">
        <f>'Données projet'!D256</f>
        <v>0</v>
      </c>
      <c r="C283" s="193">
        <f>60*'Données projet'!E256+13.8*('Données projet'!F256+'Données projet'!G256)+10*'Données projet'!H256</f>
        <v>0</v>
      </c>
      <c r="D283" s="179">
        <f t="shared" si="14"/>
        <v>0</v>
      </c>
      <c r="E283" s="193"/>
      <c r="F283" s="231"/>
      <c r="G283" s="205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">
      <c r="A284" s="180">
        <f>'Données projet'!A257</f>
        <v>0</v>
      </c>
      <c r="B284" s="181">
        <f>'Données projet'!D257</f>
        <v>0</v>
      </c>
      <c r="C284" s="193">
        <f>60*'Données projet'!E257+13.8*('Données projet'!F257+'Données projet'!G257)+10*'Données projet'!H257</f>
        <v>0</v>
      </c>
      <c r="D284" s="179">
        <f t="shared" si="14"/>
        <v>0</v>
      </c>
      <c r="E284" s="193"/>
      <c r="F284" s="231"/>
      <c r="G284" s="205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">
      <c r="A285" s="180">
        <f>'Données projet'!A258</f>
        <v>0</v>
      </c>
      <c r="B285" s="181">
        <f>'Données projet'!D258</f>
        <v>0</v>
      </c>
      <c r="C285" s="193">
        <f>60*'Données projet'!E258+13.8*('Données projet'!F258+'Données projet'!G258)+10*'Données projet'!H258</f>
        <v>0</v>
      </c>
      <c r="D285" s="179">
        <f t="shared" si="14"/>
        <v>0</v>
      </c>
      <c r="E285" s="193"/>
      <c r="F285" s="231"/>
      <c r="G285" s="205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">
      <c r="A286" s="180">
        <f>'Données projet'!A259</f>
        <v>0</v>
      </c>
      <c r="B286" s="181">
        <f>'Données projet'!D259</f>
        <v>0</v>
      </c>
      <c r="C286" s="193">
        <f>60*'Données projet'!E259+13.8*('Données projet'!F259+'Données projet'!G259)+10*'Données projet'!H259</f>
        <v>0</v>
      </c>
      <c r="D286" s="179">
        <f t="shared" si="14"/>
        <v>0</v>
      </c>
      <c r="E286" s="193"/>
      <c r="F286" s="231"/>
      <c r="G286" s="205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">
      <c r="A287" s="180">
        <f>'Données projet'!A260</f>
        <v>0</v>
      </c>
      <c r="B287" s="181">
        <f>'Données projet'!D260</f>
        <v>0</v>
      </c>
      <c r="C287" s="193">
        <f>60*'Données projet'!E260+13.8*('Données projet'!F260+'Données projet'!G260)+10*'Données projet'!H260</f>
        <v>0</v>
      </c>
      <c r="D287" s="179">
        <f t="shared" si="14"/>
        <v>0</v>
      </c>
      <c r="E287" s="193"/>
      <c r="F287" s="231"/>
      <c r="G287" s="205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">
      <c r="A288" s="180">
        <f>'Données projet'!A261</f>
        <v>0</v>
      </c>
      <c r="B288" s="181">
        <f>'Données projet'!D261</f>
        <v>0</v>
      </c>
      <c r="C288" s="193">
        <f>60*'Données projet'!E261+13.8*('Données projet'!F261+'Données projet'!G261)+10*'Données projet'!H261</f>
        <v>0</v>
      </c>
      <c r="D288" s="179">
        <f t="shared" si="14"/>
        <v>0</v>
      </c>
      <c r="E288" s="193"/>
      <c r="F288" s="231"/>
      <c r="G288" s="205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">
      <c r="A289" s="180">
        <f>'Données projet'!A262</f>
        <v>0</v>
      </c>
      <c r="B289" s="181">
        <f>'Données projet'!D262</f>
        <v>0</v>
      </c>
      <c r="C289" s="193">
        <f>60*'Données projet'!E262+13.8*('Données projet'!F262+'Données projet'!G262)+10*'Données projet'!H262</f>
        <v>0</v>
      </c>
      <c r="D289" s="179">
        <f t="shared" si="14"/>
        <v>0</v>
      </c>
      <c r="E289" s="193"/>
      <c r="F289" s="231"/>
      <c r="G289" s="205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">
      <c r="A290" s="180">
        <f>'Données projet'!A263</f>
        <v>0</v>
      </c>
      <c r="B290" s="181">
        <f>'Données projet'!D263</f>
        <v>0</v>
      </c>
      <c r="C290" s="193">
        <f>60*'Données projet'!E263+13.8*('Données projet'!F263+'Données projet'!G263)+10*'Données projet'!H263</f>
        <v>0</v>
      </c>
      <c r="D290" s="179">
        <f t="shared" si="14"/>
        <v>0</v>
      </c>
      <c r="E290" s="193"/>
      <c r="F290" s="231"/>
      <c r="G290" s="205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">
      <c r="A291" s="4"/>
      <c r="B291" s="4"/>
      <c r="C291" s="4"/>
      <c r="D291" s="4"/>
      <c r="E291" s="4"/>
      <c r="F291" s="229"/>
      <c r="G291" s="205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">
      <c r="A292" s="4"/>
      <c r="B292" s="4"/>
      <c r="C292" s="4"/>
      <c r="D292" s="4"/>
      <c r="E292" s="4"/>
      <c r="F292" s="229"/>
      <c r="G292" s="205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29"/>
      <c r="G293" s="205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">
      <c r="A294" s="46"/>
      <c r="B294" s="4"/>
      <c r="C294" s="4"/>
      <c r="D294" s="4"/>
      <c r="E294" s="4"/>
      <c r="F294" s="229"/>
      <c r="G294" s="205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ht="16" x14ac:dyDescent="0.2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0"/>
      <c r="G295" s="205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ht="16" x14ac:dyDescent="0.2">
      <c r="A296" s="49">
        <v>0</v>
      </c>
      <c r="B296" s="198" t="s">
        <v>132</v>
      </c>
      <c r="C296" s="197" t="s">
        <v>132</v>
      </c>
      <c r="D296" s="196" t="s">
        <v>132</v>
      </c>
      <c r="E296" s="193"/>
      <c r="F296" s="230"/>
      <c r="G296" s="205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ht="16" x14ac:dyDescent="0.2">
      <c r="A297" s="49">
        <v>1</v>
      </c>
      <c r="B297" s="198" t="s">
        <v>132</v>
      </c>
      <c r="C297" s="197" t="s">
        <v>132</v>
      </c>
      <c r="D297" s="196" t="s">
        <v>132</v>
      </c>
      <c r="E297" s="193"/>
      <c r="F297" s="230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ht="16" x14ac:dyDescent="0.2">
      <c r="A298" s="49">
        <v>2</v>
      </c>
      <c r="B298" s="198" t="s">
        <v>132</v>
      </c>
      <c r="C298" s="197" t="s">
        <v>132</v>
      </c>
      <c r="D298" s="196" t="s">
        <v>132</v>
      </c>
      <c r="E298" s="193"/>
      <c r="F298" s="230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ht="16" x14ac:dyDescent="0.2">
      <c r="A299" s="49">
        <v>3</v>
      </c>
      <c r="B299" s="198" t="s">
        <v>132</v>
      </c>
      <c r="C299" s="197" t="s">
        <v>132</v>
      </c>
      <c r="D299" s="196" t="s">
        <v>132</v>
      </c>
      <c r="E299" s="193"/>
      <c r="F299" s="230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ht="16" x14ac:dyDescent="0.2">
      <c r="A300" s="49">
        <v>4</v>
      </c>
      <c r="B300" s="198" t="s">
        <v>132</v>
      </c>
      <c r="C300" s="197" t="s">
        <v>132</v>
      </c>
      <c r="D300" s="196" t="s">
        <v>132</v>
      </c>
      <c r="E300" s="193"/>
      <c r="F300" s="230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ht="16" x14ac:dyDescent="0.2">
      <c r="A301" s="49">
        <v>5</v>
      </c>
      <c r="B301" s="198" t="s">
        <v>132</v>
      </c>
      <c r="C301" s="197" t="s">
        <v>132</v>
      </c>
      <c r="D301" s="196" t="s">
        <v>132</v>
      </c>
      <c r="E301" s="193"/>
      <c r="F301" s="230"/>
      <c r="G301" s="204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">
      <c r="A302" s="180">
        <f>'Données projet'!A270</f>
        <v>0</v>
      </c>
      <c r="B302" s="181">
        <f>'Données projet'!D270</f>
        <v>0</v>
      </c>
      <c r="C302" s="191">
        <f>80*'Données projet'!E270+13.8*('Données projet'!F270+'Données projet'!G270)+10*'Données projet'!H270</f>
        <v>0</v>
      </c>
      <c r="D302" s="182">
        <f>B302*C302</f>
        <v>0</v>
      </c>
      <c r="E302" s="193"/>
      <c r="F302" s="232"/>
      <c r="G302" s="204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">
      <c r="A303" s="180">
        <f>'Données projet'!A271</f>
        <v>0</v>
      </c>
      <c r="B303" s="181">
        <f>'Données projet'!D271</f>
        <v>0</v>
      </c>
      <c r="C303" s="191">
        <f>80*'Données projet'!E271+13.8*('Données projet'!F271+'Données projet'!G271)+10*'Données projet'!H271</f>
        <v>0</v>
      </c>
      <c r="D303" s="182">
        <f t="shared" ref="D303:D321" si="15">B303*C303</f>
        <v>0</v>
      </c>
      <c r="E303" s="193"/>
      <c r="F303" s="232"/>
      <c r="G303" s="204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">
      <c r="A304" s="180">
        <f>'Données projet'!A272</f>
        <v>0</v>
      </c>
      <c r="B304" s="181">
        <f>'Données projet'!D272</f>
        <v>0</v>
      </c>
      <c r="C304" s="191">
        <f>80*'Données projet'!E272+13.8*('Données projet'!F272+'Données projet'!G272)+10*'Données projet'!H272</f>
        <v>0</v>
      </c>
      <c r="D304" s="182">
        <f t="shared" si="15"/>
        <v>0</v>
      </c>
      <c r="E304" s="193"/>
      <c r="F304" s="232"/>
      <c r="G304" s="204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">
      <c r="A305" s="180">
        <f>'Données projet'!A273</f>
        <v>0</v>
      </c>
      <c r="B305" s="181">
        <f>'Données projet'!D273</f>
        <v>0</v>
      </c>
      <c r="C305" s="191">
        <f>80*'Données projet'!E273+13.8*('Données projet'!F273+'Données projet'!G273)+10*'Données projet'!H273</f>
        <v>0</v>
      </c>
      <c r="D305" s="182">
        <f t="shared" si="15"/>
        <v>0</v>
      </c>
      <c r="E305" s="193"/>
      <c r="F305" s="232"/>
      <c r="G305" s="204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">
      <c r="A306" s="180">
        <f>'Données projet'!A274</f>
        <v>0</v>
      </c>
      <c r="B306" s="181">
        <f>'Données projet'!D274</f>
        <v>0</v>
      </c>
      <c r="C306" s="191">
        <f>80*'Données projet'!E274+13.8*('Données projet'!F274+'Données projet'!G274)+10*'Données projet'!H274</f>
        <v>0</v>
      </c>
      <c r="D306" s="182">
        <f t="shared" si="15"/>
        <v>0</v>
      </c>
      <c r="E306" s="193"/>
      <c r="F306" s="232"/>
      <c r="G306" s="204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">
      <c r="A307" s="180">
        <f>'Données projet'!A275</f>
        <v>0</v>
      </c>
      <c r="B307" s="181">
        <f>'Données projet'!D275</f>
        <v>0</v>
      </c>
      <c r="C307" s="191">
        <f>80*'Données projet'!E275+13.8*('Données projet'!F275+'Données projet'!G275)+10*'Données projet'!H275</f>
        <v>0</v>
      </c>
      <c r="D307" s="182">
        <f t="shared" si="15"/>
        <v>0</v>
      </c>
      <c r="E307" s="193"/>
      <c r="F307" s="232"/>
      <c r="G307" s="204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">
      <c r="A308" s="180">
        <f>'Données projet'!A276</f>
        <v>0</v>
      </c>
      <c r="B308" s="181">
        <f>'Données projet'!D276</f>
        <v>0</v>
      </c>
      <c r="C308" s="191">
        <f>80*'Données projet'!E276+13.8*('Données projet'!F276+'Données projet'!G276)+10*'Données projet'!H276</f>
        <v>0</v>
      </c>
      <c r="D308" s="182">
        <f t="shared" si="15"/>
        <v>0</v>
      </c>
      <c r="E308" s="193"/>
      <c r="F308" s="232"/>
      <c r="G308" s="202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">
      <c r="A309" s="180">
        <f>'Données projet'!A277</f>
        <v>0</v>
      </c>
      <c r="B309" s="181">
        <f>'Données projet'!D277</f>
        <v>0</v>
      </c>
      <c r="C309" s="191">
        <f>80*'Données projet'!E277+13.8*('Données projet'!F277+'Données projet'!G277)+10*'Données projet'!H277</f>
        <v>0</v>
      </c>
      <c r="D309" s="182">
        <f t="shared" si="15"/>
        <v>0</v>
      </c>
      <c r="E309" s="193"/>
      <c r="F309" s="232"/>
      <c r="G309" s="202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">
      <c r="A310" s="180">
        <f>'Données projet'!A278</f>
        <v>0</v>
      </c>
      <c r="B310" s="181">
        <f>'Données projet'!D278</f>
        <v>0</v>
      </c>
      <c r="C310" s="191">
        <f>80*'Données projet'!E278+13.8*('Données projet'!F278+'Données projet'!G278)+10*'Données projet'!H278</f>
        <v>0</v>
      </c>
      <c r="D310" s="182">
        <f t="shared" si="15"/>
        <v>0</v>
      </c>
      <c r="E310" s="193"/>
      <c r="F310" s="232"/>
      <c r="G310" s="202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">
      <c r="A311" s="180">
        <f>'Données projet'!A279</f>
        <v>0</v>
      </c>
      <c r="B311" s="181">
        <f>'Données projet'!D279</f>
        <v>0</v>
      </c>
      <c r="C311" s="191">
        <f>80*'Données projet'!E279+13.8*('Données projet'!F279+'Données projet'!G279)+10*'Données projet'!H279</f>
        <v>0</v>
      </c>
      <c r="D311" s="182">
        <f t="shared" si="15"/>
        <v>0</v>
      </c>
      <c r="E311" s="193"/>
      <c r="F311" s="232"/>
      <c r="G311" s="202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">
      <c r="A312" s="180">
        <f>'Données projet'!A280</f>
        <v>0</v>
      </c>
      <c r="B312" s="181">
        <f>'Données projet'!D280</f>
        <v>0</v>
      </c>
      <c r="C312" s="191">
        <f>80*'Données projet'!E280+13.8*('Données projet'!F280+'Données projet'!G280)+10*'Données projet'!H280</f>
        <v>0</v>
      </c>
      <c r="D312" s="182">
        <f t="shared" si="15"/>
        <v>0</v>
      </c>
      <c r="E312" s="193"/>
      <c r="F312" s="232"/>
      <c r="G312" s="202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">
      <c r="A313" s="180">
        <f>'Données projet'!A281</f>
        <v>0</v>
      </c>
      <c r="B313" s="181">
        <f>'Données projet'!D281</f>
        <v>0</v>
      </c>
      <c r="C313" s="191">
        <f>80*'Données projet'!E281+13.8*('Données projet'!F281+'Données projet'!G281)+10*'Données projet'!H281</f>
        <v>0</v>
      </c>
      <c r="D313" s="182">
        <f t="shared" si="15"/>
        <v>0</v>
      </c>
      <c r="E313" s="193"/>
      <c r="F313" s="232"/>
      <c r="G313" s="202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">
      <c r="A314" s="180">
        <f>'Données projet'!A282</f>
        <v>0</v>
      </c>
      <c r="B314" s="181">
        <f>'Données projet'!D282</f>
        <v>0</v>
      </c>
      <c r="C314" s="191">
        <f>80*'Données projet'!E282+13.8*('Données projet'!F282+'Données projet'!G282)+10*'Données projet'!H282</f>
        <v>0</v>
      </c>
      <c r="D314" s="182">
        <f t="shared" si="15"/>
        <v>0</v>
      </c>
      <c r="E314" s="193"/>
      <c r="F314" s="232"/>
      <c r="G314" s="202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">
      <c r="A315" s="180">
        <f>'Données projet'!A283</f>
        <v>0</v>
      </c>
      <c r="B315" s="181">
        <f>'Données projet'!D283</f>
        <v>0</v>
      </c>
      <c r="C315" s="191">
        <f>80*'Données projet'!E283+13.8*('Données projet'!F283+'Données projet'!G283)+10*'Données projet'!H283</f>
        <v>0</v>
      </c>
      <c r="D315" s="182">
        <f t="shared" si="15"/>
        <v>0</v>
      </c>
      <c r="E315" s="193"/>
      <c r="F315" s="232"/>
      <c r="G315" s="202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">
      <c r="A316" s="180">
        <f>'Données projet'!A284</f>
        <v>0</v>
      </c>
      <c r="B316" s="181">
        <f>'Données projet'!D284</f>
        <v>0</v>
      </c>
      <c r="C316" s="191">
        <f>80*'Données projet'!E284+13.8*('Données projet'!F284+'Données projet'!G284)+10*'Données projet'!H284</f>
        <v>0</v>
      </c>
      <c r="D316" s="182">
        <f t="shared" si="15"/>
        <v>0</v>
      </c>
      <c r="E316" s="193"/>
      <c r="F316" s="232"/>
      <c r="G316" s="202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">
      <c r="A317" s="180">
        <f>'Données projet'!A285</f>
        <v>0</v>
      </c>
      <c r="B317" s="181">
        <f>'Données projet'!D285</f>
        <v>0</v>
      </c>
      <c r="C317" s="191">
        <f>80*'Données projet'!E285+13.8*('Données projet'!F285+'Données projet'!G285)+10*'Données projet'!H285</f>
        <v>0</v>
      </c>
      <c r="D317" s="182">
        <f>B317*C317</f>
        <v>0</v>
      </c>
      <c r="E317" s="193"/>
      <c r="F317" s="232"/>
      <c r="G317" s="202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">
      <c r="A318" s="180">
        <f>'Données projet'!A286</f>
        <v>0</v>
      </c>
      <c r="B318" s="181">
        <f>'Données projet'!D286</f>
        <v>0</v>
      </c>
      <c r="C318" s="191">
        <f>80*'Données projet'!E286+13.8*('Données projet'!F286+'Données projet'!G286)+10*'Données projet'!H286</f>
        <v>0</v>
      </c>
      <c r="D318" s="182">
        <f t="shared" si="15"/>
        <v>0</v>
      </c>
      <c r="E318" s="193"/>
      <c r="F318" s="232"/>
      <c r="G318" s="202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">
      <c r="A319" s="180">
        <f>'Données projet'!A287</f>
        <v>0</v>
      </c>
      <c r="B319" s="181">
        <f>'Données projet'!D287</f>
        <v>0</v>
      </c>
      <c r="C319" s="191">
        <f>80*'Données projet'!E287+13.8*('Données projet'!F287+'Données projet'!G287)+10*'Données projet'!H287</f>
        <v>0</v>
      </c>
      <c r="D319" s="182">
        <f t="shared" si="15"/>
        <v>0</v>
      </c>
      <c r="E319" s="193"/>
      <c r="F319" s="232"/>
      <c r="G319" s="202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">
      <c r="A320" s="180">
        <f>'Données projet'!A288</f>
        <v>0</v>
      </c>
      <c r="B320" s="181">
        <f>'Données projet'!D288</f>
        <v>0</v>
      </c>
      <c r="C320" s="191">
        <f>80*'Données projet'!E288+13.8*('Données projet'!F288+'Données projet'!G288)+10*'Données projet'!H288</f>
        <v>0</v>
      </c>
      <c r="D320" s="182">
        <f t="shared" si="15"/>
        <v>0</v>
      </c>
      <c r="E320" s="193"/>
      <c r="F320" s="232"/>
      <c r="G320" s="202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">
      <c r="A321" s="180">
        <f>'Données projet'!A289</f>
        <v>0</v>
      </c>
      <c r="B321" s="181">
        <f>'Données projet'!D289</f>
        <v>0</v>
      </c>
      <c r="C321" s="191">
        <f>80*'Données projet'!E289+13.8*('Données projet'!F289+'Données projet'!G289)+10*'Données projet'!H289</f>
        <v>0</v>
      </c>
      <c r="D321" s="182">
        <f t="shared" si="15"/>
        <v>0</v>
      </c>
      <c r="E321" s="193"/>
      <c r="F321" s="232"/>
      <c r="G321" s="202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">
      <c r="G322" s="202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">
      <c r="G323" s="202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">
      <c r="G324" s="202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">
      <c r="G325" s="202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">
      <c r="G326" s="202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">
      <c r="G327" s="202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2024-02-16T14:02:44Z</dcterms:modified>
</cp:coreProperties>
</file>