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eane.CORNU\Nextcloud\Projets carbone Nouvelle Aquitaine\Mr PANDEIRADA - Le Tour de France - Arveyres - Boisement\Montage\"/>
    </mc:Choice>
  </mc:AlternateContent>
  <bookViews>
    <workbookView xWindow="0" yWindow="0" windowWidth="19200" windowHeight="11772" tabRatio="866" activeTab="6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6" i="1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W7" i="2" l="1"/>
  <c r="HI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C20" i="2"/>
  <c r="FS20" i="2"/>
  <c r="HH20" i="2"/>
  <c r="HG20" i="2"/>
  <c r="EV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H22" i="2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HG33" i="2" s="1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W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FS75" i="2"/>
  <c r="HG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EB108" i="2" s="1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EC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HH122" i="2"/>
  <c r="FS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V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EX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A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EA141" i="2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EB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HH145" i="2"/>
  <c r="EX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R146" i="2"/>
  <c r="HG146" i="2"/>
  <c r="HI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HH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AW161" i="2" l="1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FR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HH168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B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HH179" i="2" l="1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A185" i="2" l="1"/>
  <c r="EV185" i="2"/>
  <c r="EW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EV192" i="2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HI195" i="2" l="1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G197" i="2" l="1"/>
  <c r="EW197" i="2"/>
  <c r="EC197" i="2"/>
  <c r="HH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W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A199" i="2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FS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H202" i="2" l="1"/>
  <c r="FZ6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83" i="2" l="1" a="1"/>
  <c r="BC83" i="2" s="1"/>
  <c r="BC185" i="2" a="1"/>
  <c r="BC185" i="2" s="1"/>
  <c r="BC7" i="2" a="1"/>
  <c r="BC7" i="2" s="1"/>
  <c r="BC164" i="2" a="1"/>
  <c r="BC164" i="2" s="1"/>
  <c r="BC82" i="2" a="1"/>
  <c r="BC82" i="2" s="1"/>
  <c r="BC130" i="2" a="1"/>
  <c r="BC130" i="2" s="1"/>
  <c r="BC18" i="2" a="1"/>
  <c r="BC18" i="2" s="1"/>
  <c r="BC151" i="2" a="1"/>
  <c r="BC151" i="2" s="1"/>
  <c r="BC192" i="2" a="1"/>
  <c r="BC192" i="2" s="1"/>
  <c r="BC47" i="2" a="1"/>
  <c r="BC47" i="2" s="1"/>
  <c r="BC55" i="2" a="1"/>
  <c r="BC55" i="2" s="1"/>
  <c r="BC68" i="2" a="1"/>
  <c r="BC68" i="2" s="1"/>
  <c r="BC117" i="2" a="1"/>
  <c r="BC117" i="2" s="1"/>
  <c r="BC58" i="2" a="1"/>
  <c r="BC58" i="2" s="1"/>
  <c r="BC181" i="2" a="1"/>
  <c r="BC181" i="2" s="1"/>
  <c r="BC34" i="2" a="1"/>
  <c r="BC34" i="2" s="1"/>
  <c r="BC143" i="2" a="1"/>
  <c r="BC143" i="2" s="1"/>
  <c r="BC31" i="2" a="1"/>
  <c r="BC31" i="2" s="1"/>
  <c r="BC65" i="2" a="1"/>
  <c r="BC65" i="2" s="1"/>
  <c r="BC84" i="2" a="1"/>
  <c r="BC84" i="2" s="1"/>
  <c r="BC114" i="2" a="1"/>
  <c r="BC114" i="2" s="1"/>
  <c r="BC38" i="2" a="1"/>
  <c r="BC38" i="2" s="1"/>
  <c r="BC32" i="2" a="1"/>
  <c r="BC32" i="2" s="1"/>
  <c r="BC126" i="2" a="1"/>
  <c r="BC126" i="2" s="1"/>
  <c r="HG203" i="2"/>
  <c r="FR203" i="2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103" i="2" l="1"/>
  <c r="BI11" i="2"/>
  <c r="BI39" i="2"/>
  <c r="BI150" i="2"/>
  <c r="BI53" i="2"/>
  <c r="BI101" i="2"/>
  <c r="BI94" i="2"/>
  <c r="BI45" i="2"/>
  <c r="BI146" i="2"/>
  <c r="BI58" i="2"/>
  <c r="BI23" i="2"/>
  <c r="BI120" i="2"/>
  <c r="BI156" i="2"/>
  <c r="BI114" i="2"/>
  <c r="BI113" i="2"/>
  <c r="BI149" i="2"/>
  <c r="BI132" i="2"/>
  <c r="BI78" i="2"/>
  <c r="BI141" i="2"/>
  <c r="BI184" i="2"/>
  <c r="BI64" i="2"/>
  <c r="BI126" i="2"/>
  <c r="BI80" i="2"/>
  <c r="BI86" i="2"/>
  <c r="BI157" i="2"/>
  <c r="BI112" i="2"/>
  <c r="BI164" i="2"/>
  <c r="BI42" i="2"/>
  <c r="BI79" i="2"/>
  <c r="BI47" i="2"/>
  <c r="BI55" i="2"/>
  <c r="BI10" i="2"/>
  <c r="BI167" i="2"/>
  <c r="BI27" i="2"/>
  <c r="BI4" i="2"/>
  <c r="BI15" i="2"/>
  <c r="BI191" i="2"/>
  <c r="BI109" i="2"/>
  <c r="BI142" i="2"/>
  <c r="BI13" i="2"/>
  <c r="BI26" i="2"/>
  <c r="BI12" i="2"/>
  <c r="BI37" i="2"/>
  <c r="BI93" i="2"/>
  <c r="BI5" i="2"/>
  <c r="BI31" i="2"/>
  <c r="BI144" i="2"/>
  <c r="BI14" i="2"/>
  <c r="BI143" i="2"/>
  <c r="BI175" i="2"/>
  <c r="BI50" i="2"/>
  <c r="BI148" i="2"/>
  <c r="BI135" i="2"/>
  <c r="BI179" i="2"/>
  <c r="BI199" i="2"/>
  <c r="BI178" i="2"/>
  <c r="BI75" i="2"/>
  <c r="BI84" i="2"/>
  <c r="BI123" i="2"/>
  <c r="BI7" i="2"/>
  <c r="BI82" i="2"/>
  <c r="BI166" i="2"/>
  <c r="BI187" i="2"/>
  <c r="BI198" i="2"/>
  <c r="BI202" i="2"/>
  <c r="BI100" i="2"/>
  <c r="BI34" i="2"/>
  <c r="BI60" i="2"/>
  <c r="BI25" i="2"/>
  <c r="BI20" i="2"/>
  <c r="BI76" i="2"/>
  <c r="BI133" i="2"/>
  <c r="BI91" i="2"/>
  <c r="BI165" i="2"/>
  <c r="BI97" i="2"/>
  <c r="BI36" i="2"/>
  <c r="BI118" i="2"/>
  <c r="BI117" i="2"/>
  <c r="BI176" i="2"/>
  <c r="BI8" i="2"/>
  <c r="BI66" i="2"/>
  <c r="BI193" i="2"/>
  <c r="BI3" i="2"/>
  <c r="C8" i="4" s="1"/>
  <c r="E8" i="4" s="1"/>
  <c r="F8" i="4" s="1"/>
  <c r="G8" i="4" s="1"/>
  <c r="L8" i="4" s="1"/>
  <c r="BI88" i="2"/>
  <c r="BI192" i="2"/>
  <c r="BI186" i="2"/>
  <c r="BI69" i="2"/>
  <c r="BI68" i="2"/>
  <c r="BI162" i="2"/>
  <c r="BI168" i="2"/>
  <c r="BI70" i="2"/>
  <c r="BI105" i="2"/>
  <c r="BI24" i="2"/>
  <c r="BI160" i="2"/>
  <c r="BI21" i="2"/>
  <c r="BI16" i="2"/>
  <c r="BI108" i="2"/>
  <c r="BI28" i="2"/>
  <c r="BI182" i="2"/>
  <c r="BI111" i="2"/>
  <c r="BI6" i="2"/>
  <c r="BI49" i="2"/>
  <c r="BI98" i="2"/>
  <c r="BI74" i="2"/>
  <c r="BI189" i="2"/>
  <c r="BI147" i="2"/>
  <c r="BI139" i="2"/>
  <c r="BI163" i="2"/>
  <c r="BI181" i="2"/>
  <c r="BI170" i="2"/>
  <c r="BI85" i="2"/>
  <c r="BI171" i="2"/>
  <c r="BI40" i="2"/>
  <c r="BI57" i="2"/>
  <c r="BI90" i="2"/>
  <c r="BI65" i="2"/>
  <c r="BI18" i="2"/>
  <c r="BI115" i="2"/>
  <c r="BI72" i="2"/>
  <c r="BI96" i="2"/>
  <c r="BI67" i="2"/>
  <c r="BI38" i="2"/>
  <c r="BI87" i="2"/>
  <c r="BI73" i="2"/>
  <c r="BI201" i="2"/>
  <c r="BI92" i="2"/>
  <c r="BI41" i="2"/>
  <c r="BI200" i="2"/>
  <c r="BI169" i="2"/>
  <c r="BI188" i="2"/>
  <c r="BI52" i="2"/>
  <c r="BI30" i="2"/>
  <c r="BI99" i="2"/>
  <c r="BI154" i="2"/>
  <c r="BI61" i="2"/>
  <c r="BI159" i="2"/>
  <c r="BI110" i="2"/>
  <c r="BI194" i="2"/>
  <c r="BI130" i="2"/>
  <c r="BI19" i="2"/>
  <c r="BI122" i="2"/>
  <c r="BI22" i="2"/>
  <c r="BI102" i="2"/>
  <c r="BI136" i="2"/>
  <c r="BI134" i="2"/>
  <c r="BI190" i="2"/>
  <c r="BI63" i="2"/>
  <c r="BI77" i="2"/>
  <c r="BI172" i="2"/>
  <c r="BI95" i="2"/>
  <c r="BI54" i="2"/>
  <c r="BI83" i="2"/>
  <c r="BI131" i="2"/>
  <c r="BI62" i="2"/>
  <c r="BI138" i="2"/>
  <c r="BI104" i="2"/>
  <c r="BI127" i="2"/>
  <c r="BI44" i="2"/>
  <c r="BI9" i="2"/>
  <c r="BI180" i="2"/>
  <c r="BI43" i="2"/>
  <c r="BI56" i="2"/>
  <c r="BI151" i="2"/>
  <c r="BI33" i="2"/>
  <c r="BI51" i="2"/>
  <c r="BI59" i="2"/>
  <c r="BI81" i="2"/>
  <c r="BI71" i="2"/>
  <c r="BI140" i="2"/>
  <c r="BI46" i="2"/>
  <c r="BI128" i="2"/>
  <c r="BI121" i="2"/>
  <c r="BI17" i="2"/>
  <c r="BI185" i="2"/>
  <c r="BI129" i="2"/>
  <c r="BI152" i="2"/>
  <c r="BI89" i="2"/>
  <c r="BI29" i="2"/>
  <c r="BI158" i="2"/>
  <c r="BI106" i="2"/>
  <c r="BI35" i="2"/>
  <c r="BI196" i="2"/>
  <c r="BI125" i="2"/>
  <c r="BI32" i="2"/>
  <c r="BI116" i="2"/>
  <c r="BI155" i="2"/>
  <c r="BI197" i="2"/>
  <c r="BI124" i="2"/>
  <c r="BI137" i="2"/>
  <c r="BI161" i="2"/>
  <c r="BI173" i="2"/>
  <c r="BI153" i="2"/>
  <c r="BI203" i="2"/>
  <c r="BI145" i="2"/>
  <c r="BI183" i="2"/>
  <c r="BI195" i="2"/>
  <c r="BI119" i="2"/>
  <c r="BI177" i="2"/>
  <c r="BI174" i="2"/>
  <c r="BI48" i="2"/>
  <c r="BI107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<sst xmlns="http://schemas.openxmlformats.org/spreadsheetml/2006/main" count="1171" uniqueCount="324">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</sst>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1.7506524562523105</c:v>
                </c:pt>
                <c:pt idx="2">
                  <c:v>2.3095109714220832</c:v>
                </c:pt>
                <c:pt idx="3">
                  <c:v>3.0475148971150094</c:v>
                </c:pt>
                <c:pt idx="4">
                  <c:v>4.022314767941225</c:v>
                </c:pt>
                <c:pt idx="5">
                  <c:v>5.3101811712153699</c:v>
                </c:pt>
                <c:pt idx="6">
                  <c:v>7.0120389712342508</c:v>
                </c:pt>
                <c:pt idx="7">
                  <c:v>9.261463120601336</c:v>
                </c:pt>
                <c:pt idx="8">
                  <c:v>12.235275533799731</c:v>
                </c:pt>
                <c:pt idx="9">
                  <c:v>34.340499100461251</c:v>
                </c:pt>
                <c:pt idx="10">
                  <c:v>57.157553135153762</c:v>
                </c:pt>
                <c:pt idx="11">
                  <c:v>84.223864095845968</c:v>
                </c:pt>
                <c:pt idx="12">
                  <c:v>114.41113969011224</c:v>
                </c:pt>
                <c:pt idx="13">
                  <c:v>141.07757949202235</c:v>
                </c:pt>
                <c:pt idx="14">
                  <c:v>170.93352467622933</c:v>
                </c:pt>
                <c:pt idx="15">
                  <c:v>199.56711859564268</c:v>
                </c:pt>
                <c:pt idx="16">
                  <c:v>227.00930426173795</c:v>
                </c:pt>
                <c:pt idx="17">
                  <c:v>253.28218761640912</c:v>
                </c:pt>
                <c:pt idx="18">
                  <c:v>278.40234905498409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83533392"/>
        <c:axId val="1683540464"/>
      </c:scatterChart>
      <c:valAx>
        <c:axId val="16835333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83540464"/>
        <c:crosses val="autoZero"/>
        <c:crossBetween val="midCat"/>
      </c:valAx>
      <c:valAx>
        <c:axId val="168354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835333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5673968"/>
        <c:axId val="1755678320"/>
      </c:scatterChart>
      <c:valAx>
        <c:axId val="17556739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55678320"/>
        <c:crosses val="autoZero"/>
        <c:crossBetween val="midCat"/>
      </c:valAx>
      <c:valAx>
        <c:axId val="1755678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556739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161.75563241829539</c:v>
                </c:pt>
                <c:pt idx="22">
                  <c:v>175.89351283227515</c:v>
                </c:pt>
                <c:pt idx="23">
                  <c:v>190.00471981377623</c:v>
                </c:pt>
                <c:pt idx="24">
                  <c:v>204.09151430529414</c:v>
                </c:pt>
                <c:pt idx="25">
                  <c:v>218.15581931274576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262.56193918616879</c:v>
                </c:pt>
                <c:pt idx="32">
                  <c:v>283.53519379457339</c:v>
                </c:pt>
                <c:pt idx="33">
                  <c:v>304.47370954373434</c:v>
                </c:pt>
                <c:pt idx="34">
                  <c:v>325.38021038250321</c:v>
                </c:pt>
                <c:pt idx="35">
                  <c:v>346.25704166537042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302.92383728372175</c:v>
                </c:pt>
                <c:pt idx="39">
                  <c:v>324.60643807826506</c:v>
                </c:pt>
                <c:pt idx="40">
                  <c:v>346.25704166537042</c:v>
                </c:pt>
                <c:pt idx="41">
                  <c:v>368.2637587173711</c:v>
                </c:pt>
                <c:pt idx="42">
                  <c:v>390.24178515868516</c:v>
                </c:pt>
                <c:pt idx="43">
                  <c:v>412.19296293548695</c:v>
                </c:pt>
                <c:pt idx="44">
                  <c:v>434.11892190865478</c:v>
                </c:pt>
                <c:pt idx="45">
                  <c:v>456.02111397099458</c:v>
                </c:pt>
                <c:pt idx="46">
                  <c:v>369.42119511414563</c:v>
                </c:pt>
                <c:pt idx="47">
                  <c:v>390.62711987432004</c:v>
                </c:pt>
                <c:pt idx="48">
                  <c:v>411.8080763786877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473.68012971962668</c:v>
                </c:pt>
                <c:pt idx="52">
                  <c:v>493.24225474849794</c:v>
                </c:pt>
                <c:pt idx="53">
                  <c:v>512.78793950323291</c:v>
                </c:pt>
                <c:pt idx="54">
                  <c:v>532.31789836558266</c:v>
                </c:pt>
                <c:pt idx="55">
                  <c:v>551.83278906179726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551.45028504666311</c:v>
                </c:pt>
                <c:pt idx="62">
                  <c:v>568.27526097606199</c:v>
                </c:pt>
                <c:pt idx="63">
                  <c:v>585.08982917045773</c:v>
                </c:pt>
                <c:pt idx="64">
                  <c:v>601.89433065861692</c:v>
                </c:pt>
                <c:pt idx="65">
                  <c:v>618.68908588691215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604.56686745724687</c:v>
                </c:pt>
                <c:pt idx="72">
                  <c:v>619.07067399707296</c:v>
                </c:pt>
                <c:pt idx="73">
                  <c:v>633.56744133236327</c:v>
                </c:pt>
                <c:pt idx="74">
                  <c:v>648.05735312955619</c:v>
                </c:pt>
                <c:pt idx="75">
                  <c:v>662.54058417706926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636.99987545603415</c:v>
                </c:pt>
                <c:pt idx="82">
                  <c:v>649.58221541705063</c:v>
                </c:pt>
                <c:pt idx="83">
                  <c:v>662.15953068851047</c:v>
                </c:pt>
                <c:pt idx="84">
                  <c:v>674.73193011676551</c:v>
                </c:pt>
                <c:pt idx="85">
                  <c:v>687.29951816311348</c:v>
                </c:pt>
                <c:pt idx="86">
                  <c:v>699.86239515908403</c:v>
                </c:pt>
                <c:pt idx="87">
                  <c:v>712.42065754245129</c:v>
                </c:pt>
                <c:pt idx="88">
                  <c:v>724.97439807575211</c:v>
                </c:pt>
                <c:pt idx="89">
                  <c:v>737.52370604888972</c:v>
                </c:pt>
                <c:pt idx="90">
                  <c:v>750.06866746724211</c:v>
                </c:pt>
                <c:pt idx="91">
                  <c:v>595.97569108759831</c:v>
                </c:pt>
                <c:pt idx="92">
                  <c:v>601.89433065861749</c:v>
                </c:pt>
                <c:pt idx="93">
                  <c:v>607.81176092714179</c:v>
                </c:pt>
                <c:pt idx="94">
                  <c:v>613.72799533010232</c:v>
                </c:pt>
                <c:pt idx="95">
                  <c:v>619.64304702417837</c:v>
                </c:pt>
                <c:pt idx="96">
                  <c:v>625.55692889432009</c:v>
                </c:pt>
                <c:pt idx="97">
                  <c:v>631.46965356193289</c:v>
                </c:pt>
                <c:pt idx="98">
                  <c:v>637.3812333927392</c:v>
                </c:pt>
                <c:pt idx="99">
                  <c:v>643.29168050433316</c:v>
                </c:pt>
                <c:pt idx="100">
                  <c:v>649.2010067734426</c:v>
                </c:pt>
                <c:pt idx="101">
                  <c:v>664.44578401716501</c:v>
                </c:pt>
                <c:pt idx="102">
                  <c:v>679.68336684199551</c:v>
                </c:pt>
                <c:pt idx="103">
                  <c:v>694.91393914623677</c:v>
                </c:pt>
                <c:pt idx="104">
                  <c:v>710.13767611574121</c:v>
                </c:pt>
                <c:pt idx="105">
                  <c:v>725.35474481844551</c:v>
                </c:pt>
                <c:pt idx="106">
                  <c:v>740.56530474645979</c:v>
                </c:pt>
                <c:pt idx="107">
                  <c:v>755.76950831134127</c:v>
                </c:pt>
                <c:pt idx="108">
                  <c:v>770.96750129747454</c:v>
                </c:pt>
                <c:pt idx="109">
                  <c:v>786.15942327787855</c:v>
                </c:pt>
                <c:pt idx="110">
                  <c:v>801.34540799622721</c:v>
                </c:pt>
                <c:pt idx="111">
                  <c:v>603.61241826374305</c:v>
                </c:pt>
                <c:pt idx="112">
                  <c:v>607.6208948171427</c:v>
                </c:pt>
                <c:pt idx="113">
                  <c:v>611.62882240036822</c:v>
                </c:pt>
                <c:pt idx="114">
                  <c:v>615.63620511985107</c:v>
                </c:pt>
                <c:pt idx="115">
                  <c:v>619.64304702417894</c:v>
                </c:pt>
                <c:pt idx="116">
                  <c:v>623.64935210528574</c:v>
                </c:pt>
                <c:pt idx="117">
                  <c:v>627.65512429961382</c:v>
                </c:pt>
                <c:pt idx="118">
                  <c:v>631.66036748924057</c:v>
                </c:pt>
                <c:pt idx="119">
                  <c:v>635.66508550297783</c:v>
                </c:pt>
                <c:pt idx="120">
                  <c:v>639.66928211744039</c:v>
                </c:pt>
                <c:pt idx="121">
                  <c:v>652.2505469119161</c:v>
                </c:pt>
                <c:pt idx="122">
                  <c:v>664.82681048531606</c:v>
                </c:pt>
                <c:pt idx="123">
                  <c:v>677.39818073147046</c:v>
                </c:pt>
                <c:pt idx="124">
                  <c:v>689.96476121501189</c:v>
                </c:pt>
                <c:pt idx="125">
                  <c:v>702.52665142241619</c:v>
                </c:pt>
                <c:pt idx="126">
                  <c:v>715.08394699416192</c:v>
                </c:pt>
                <c:pt idx="127">
                  <c:v>727.63673993974601</c:v>
                </c:pt>
                <c:pt idx="128">
                  <c:v>740.1851188371005</c:v>
                </c:pt>
                <c:pt idx="129">
                  <c:v>752.72916901779229</c:v>
                </c:pt>
                <c:pt idx="130">
                  <c:v>765.26897273924578</c:v>
                </c:pt>
                <c:pt idx="131">
                  <c:v>595.21190686630177</c:v>
                </c:pt>
                <c:pt idx="132">
                  <c:v>598.45784933445782</c:v>
                </c:pt>
                <c:pt idx="133">
                  <c:v>601.70342575012376</c:v>
                </c:pt>
                <c:pt idx="134">
                  <c:v>604.94863836746367</c:v>
                </c:pt>
                <c:pt idx="135">
                  <c:v>608.19348941446935</c:v>
                </c:pt>
                <c:pt idx="136">
                  <c:v>611.43798109340787</c:v>
                </c:pt>
                <c:pt idx="137">
                  <c:v>614.68211558125449</c:v>
                </c:pt>
                <c:pt idx="138">
                  <c:v>617.92589503011948</c:v>
                </c:pt>
                <c:pt idx="139">
                  <c:v>621.16932156766325</c:v>
                </c:pt>
                <c:pt idx="140">
                  <c:v>624.41239729750362</c:v>
                </c:pt>
                <c:pt idx="141">
                  <c:v>635.0930149395175</c:v>
                </c:pt>
                <c:pt idx="142">
                  <c:v>645.7699208534392</c:v>
                </c:pt>
                <c:pt idx="143">
                  <c:v>656.44318504088847</c:v>
                </c:pt>
                <c:pt idx="144">
                  <c:v>667.1128750422024</c:v>
                </c:pt>
                <c:pt idx="145">
                  <c:v>677.77905606178786</c:v>
                </c:pt>
                <c:pt idx="146">
                  <c:v>688.44179108517721</c:v>
                </c:pt>
                <c:pt idx="147">
                  <c:v>699.10114098845713</c:v>
                </c:pt>
                <c:pt idx="148">
                  <c:v>709.75716464068046</c:v>
                </c:pt>
                <c:pt idx="149">
                  <c:v>720.40991899981043</c:v>
                </c:pt>
                <c:pt idx="150">
                  <c:v>731.05945920269949</c:v>
                </c:pt>
                <c:pt idx="151">
                  <c:v>2.030720609389346E-11</c:v>
                </c:pt>
                <c:pt idx="152">
                  <c:v>2.030720609389346E-11</c:v>
                </c:pt>
                <c:pt idx="153">
                  <c:v>2.030720609389346E-11</c:v>
                </c:pt>
                <c:pt idx="154">
                  <c:v>2.030720609389346E-11</c:v>
                </c:pt>
                <c:pt idx="155">
                  <c:v>2.030720609389346E-11</c:v>
                </c:pt>
                <c:pt idx="156">
                  <c:v>2.030720609389346E-11</c:v>
                </c:pt>
                <c:pt idx="157">
                  <c:v>2.030720609389346E-11</c:v>
                </c:pt>
                <c:pt idx="158">
                  <c:v>2.030720609389346E-11</c:v>
                </c:pt>
                <c:pt idx="159">
                  <c:v>2.030720609389346E-11</c:v>
                </c:pt>
                <c:pt idx="160">
                  <c:v>2.030720609389346E-11</c:v>
                </c:pt>
                <c:pt idx="161">
                  <c:v>2.030720609389346E-11</c:v>
                </c:pt>
                <c:pt idx="162">
                  <c:v>2.030720609389346E-11</c:v>
                </c:pt>
                <c:pt idx="163">
                  <c:v>2.030720609389346E-11</c:v>
                </c:pt>
                <c:pt idx="164">
                  <c:v>2.030720609389346E-11</c:v>
                </c:pt>
                <c:pt idx="165">
                  <c:v>2.030720609389346E-11</c:v>
                </c:pt>
                <c:pt idx="166">
                  <c:v>2.030720609389346E-11</c:v>
                </c:pt>
                <c:pt idx="167">
                  <c:v>2.030720609389346E-11</c:v>
                </c:pt>
                <c:pt idx="168">
                  <c:v>2.030720609389346E-11</c:v>
                </c:pt>
                <c:pt idx="169">
                  <c:v>2.030720609389346E-11</c:v>
                </c:pt>
                <c:pt idx="170">
                  <c:v>2.030720609389346E-11</c:v>
                </c:pt>
                <c:pt idx="171">
                  <c:v>2.030720609389346E-11</c:v>
                </c:pt>
                <c:pt idx="172">
                  <c:v>2.030720609389346E-11</c:v>
                </c:pt>
                <c:pt idx="173">
                  <c:v>2.030720609389346E-11</c:v>
                </c:pt>
                <c:pt idx="174">
                  <c:v>2.030720609389346E-11</c:v>
                </c:pt>
                <c:pt idx="175">
                  <c:v>2.030720609389346E-11</c:v>
                </c:pt>
                <c:pt idx="176">
                  <c:v>2.030720609389346E-11</c:v>
                </c:pt>
                <c:pt idx="177">
                  <c:v>2.030720609389346E-11</c:v>
                </c:pt>
                <c:pt idx="178">
                  <c:v>2.030720609389346E-11</c:v>
                </c:pt>
                <c:pt idx="179">
                  <c:v>2.030720609389346E-11</c:v>
                </c:pt>
                <c:pt idx="180">
                  <c:v>2.030720609389346E-11</c:v>
                </c:pt>
                <c:pt idx="181">
                  <c:v>2.030720609389346E-11</c:v>
                </c:pt>
                <c:pt idx="182">
                  <c:v>2.030720609389346E-11</c:v>
                </c:pt>
                <c:pt idx="183">
                  <c:v>2.030720609389346E-11</c:v>
                </c:pt>
                <c:pt idx="184">
                  <c:v>2.030720609389346E-11</c:v>
                </c:pt>
                <c:pt idx="185">
                  <c:v>2.030720609389346E-11</c:v>
                </c:pt>
                <c:pt idx="186">
                  <c:v>2.030720609389346E-11</c:v>
                </c:pt>
                <c:pt idx="187">
                  <c:v>2.030720609389346E-11</c:v>
                </c:pt>
                <c:pt idx="188">
                  <c:v>2.030720609389346E-11</c:v>
                </c:pt>
                <c:pt idx="189">
                  <c:v>2.030720609389346E-11</c:v>
                </c:pt>
                <c:pt idx="190">
                  <c:v>2.030720609389346E-11</c:v>
                </c:pt>
                <c:pt idx="191">
                  <c:v>2.030720609389346E-11</c:v>
                </c:pt>
                <c:pt idx="192">
                  <c:v>2.030720609389346E-11</c:v>
                </c:pt>
                <c:pt idx="193">
                  <c:v>2.030720609389346E-11</c:v>
                </c:pt>
                <c:pt idx="194">
                  <c:v>2.030720609389346E-11</c:v>
                </c:pt>
                <c:pt idx="195">
                  <c:v>2.030720609389346E-11</c:v>
                </c:pt>
                <c:pt idx="196">
                  <c:v>2.030720609389346E-11</c:v>
                </c:pt>
                <c:pt idx="197">
                  <c:v>2.030720609389346E-11</c:v>
                </c:pt>
                <c:pt idx="198">
                  <c:v>2.030720609389346E-11</c:v>
                </c:pt>
                <c:pt idx="199">
                  <c:v>2.030720609389346E-11</c:v>
                </c:pt>
                <c:pt idx="200">
                  <c:v>2.030720609389346E-11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83538832"/>
        <c:axId val="1683530128"/>
      </c:scatterChart>
      <c:valAx>
        <c:axId val="16835388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83530128"/>
        <c:crosses val="autoZero"/>
        <c:crossBetween val="midCat"/>
      </c:valAx>
      <c:valAx>
        <c:axId val="1683530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835388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83532848"/>
        <c:axId val="1683534480"/>
      </c:scatterChart>
      <c:valAx>
        <c:axId val="16835328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83534480"/>
        <c:crosses val="autoZero"/>
        <c:crossBetween val="midCat"/>
      </c:valAx>
      <c:valAx>
        <c:axId val="1683534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835328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83536656"/>
        <c:axId val="1683526320"/>
      </c:scatterChart>
      <c:valAx>
        <c:axId val="16835366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83526320"/>
        <c:crosses val="autoZero"/>
        <c:crossBetween val="midCat"/>
      </c:valAx>
      <c:valAx>
        <c:axId val="1683526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835366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83537200"/>
        <c:axId val="1683525232"/>
      </c:scatterChart>
      <c:valAx>
        <c:axId val="16835372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83525232"/>
        <c:crosses val="autoZero"/>
        <c:crossBetween val="midCat"/>
      </c:valAx>
      <c:valAx>
        <c:axId val="1683525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83537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83528496"/>
        <c:axId val="1683537744"/>
      </c:scatterChart>
      <c:valAx>
        <c:axId val="16835284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83537744"/>
        <c:crosses val="autoZero"/>
        <c:crossBetween val="midCat"/>
      </c:valAx>
      <c:valAx>
        <c:axId val="1683537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835284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83538288"/>
        <c:axId val="1683529040"/>
      </c:scatterChart>
      <c:valAx>
        <c:axId val="16835382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83529040"/>
        <c:crosses val="autoZero"/>
        <c:crossBetween val="midCat"/>
      </c:valAx>
      <c:valAx>
        <c:axId val="1683529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835382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83530672"/>
        <c:axId val="1683531216"/>
      </c:scatterChart>
      <c:valAx>
        <c:axId val="16835306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83531216"/>
        <c:crosses val="autoZero"/>
        <c:crossBetween val="midCat"/>
      </c:valAx>
      <c:valAx>
        <c:axId val="1683531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835306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7354320"/>
        <c:axId val="1755675600"/>
      </c:scatterChart>
      <c:valAx>
        <c:axId val="14773543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55675600"/>
        <c:crosses val="autoZero"/>
        <c:crossBetween val="midCat"/>
      </c:valAx>
      <c:valAx>
        <c:axId val="1755675600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773543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topLeftCell="A4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88" zoomScale="85" zoomScaleNormal="85" workbookViewId="0">
      <selection activeCell="A88" sqref="A88:A107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2.64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112</v>
      </c>
      <c r="C9" s="35">
        <v>0.81</v>
      </c>
      <c r="D9" s="36">
        <f t="shared" ref="D9:D18" si="0">C9*$C$5</f>
        <v>2.1384000000000003</v>
      </c>
      <c r="E9" s="37">
        <v>18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14</v>
      </c>
      <c r="C10" s="35">
        <v>0.19</v>
      </c>
      <c r="D10" s="36">
        <f t="shared" si="0"/>
        <v>0.50160000000000005</v>
      </c>
      <c r="E10" s="37">
        <v>150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2.6400000000000006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Peuplier Koster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8</v>
      </c>
      <c r="B36" s="63">
        <v>10</v>
      </c>
      <c r="C36" s="63"/>
      <c r="D36" s="63"/>
      <c r="E36" s="54"/>
      <c r="F36" s="54"/>
      <c r="G36" s="54"/>
      <c r="H36" s="54"/>
      <c r="I36" s="52">
        <f>IFERROR(B36/A36,"")</f>
        <v>1.25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9</v>
      </c>
      <c r="B37" s="63">
        <v>29</v>
      </c>
      <c r="C37" s="63"/>
      <c r="D37" s="63"/>
      <c r="E37" s="54"/>
      <c r="F37" s="54"/>
      <c r="G37" s="54"/>
      <c r="H37" s="54"/>
      <c r="I37" s="56">
        <f t="shared" ref="I37:I55" si="1">IF(A37&lt;&gt;0,(B37-(B36-D36))/(A37-A36),"")</f>
        <v>19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10</v>
      </c>
      <c r="B38" s="63">
        <v>49</v>
      </c>
      <c r="C38" s="63"/>
      <c r="D38" s="63"/>
      <c r="E38" s="54"/>
      <c r="F38" s="54"/>
      <c r="G38" s="54"/>
      <c r="H38" s="54"/>
      <c r="I38" s="56">
        <f t="shared" si="1"/>
        <v>20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11</v>
      </c>
      <c r="B39" s="63">
        <v>73</v>
      </c>
      <c r="C39" s="63"/>
      <c r="D39" s="63"/>
      <c r="E39" s="54"/>
      <c r="F39" s="54"/>
      <c r="G39" s="54"/>
      <c r="H39" s="54"/>
      <c r="I39" s="52">
        <f t="shared" si="1"/>
        <v>24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12</v>
      </c>
      <c r="B40" s="63">
        <v>100</v>
      </c>
      <c r="C40" s="63"/>
      <c r="D40" s="63"/>
      <c r="E40" s="54"/>
      <c r="F40" s="54"/>
      <c r="G40" s="54"/>
      <c r="H40" s="54"/>
      <c r="I40" s="52">
        <f t="shared" si="1"/>
        <v>27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13</v>
      </c>
      <c r="B41" s="63">
        <v>124</v>
      </c>
      <c r="C41" s="63"/>
      <c r="D41" s="63"/>
      <c r="E41" s="54"/>
      <c r="F41" s="54"/>
      <c r="G41" s="54"/>
      <c r="H41" s="54"/>
      <c r="I41" s="56">
        <f t="shared" si="1"/>
        <v>24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14</v>
      </c>
      <c r="B42" s="63">
        <v>151</v>
      </c>
      <c r="C42" s="63"/>
      <c r="D42" s="63"/>
      <c r="E42" s="54"/>
      <c r="F42" s="54"/>
      <c r="G42" s="54"/>
      <c r="H42" s="54"/>
      <c r="I42" s="56">
        <f t="shared" si="1"/>
        <v>27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53">
        <v>15</v>
      </c>
      <c r="B43" s="63">
        <v>177</v>
      </c>
      <c r="C43" s="63"/>
      <c r="D43" s="63"/>
      <c r="E43" s="54"/>
      <c r="F43" s="54"/>
      <c r="G43" s="54"/>
      <c r="H43" s="54"/>
      <c r="I43" s="52">
        <f t="shared" si="1"/>
        <v>26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53">
        <v>16</v>
      </c>
      <c r="B44" s="63">
        <v>202</v>
      </c>
      <c r="C44" s="63"/>
      <c r="D44" s="63"/>
      <c r="E44" s="54"/>
      <c r="F44" s="54"/>
      <c r="G44" s="54"/>
      <c r="H44" s="54"/>
      <c r="I44" s="52">
        <f t="shared" si="1"/>
        <v>25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53">
        <v>17</v>
      </c>
      <c r="B45" s="63">
        <v>226</v>
      </c>
      <c r="C45" s="63"/>
      <c r="D45" s="63"/>
      <c r="E45" s="54"/>
      <c r="F45" s="54"/>
      <c r="G45" s="54"/>
      <c r="H45" s="54"/>
      <c r="I45" s="52">
        <f t="shared" si="1"/>
        <v>24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53">
        <v>18</v>
      </c>
      <c r="B46" s="63">
        <v>249</v>
      </c>
      <c r="C46" s="63">
        <v>1</v>
      </c>
      <c r="D46" s="63">
        <f>B46</f>
        <v>249</v>
      </c>
      <c r="E46" s="54">
        <v>0.72</v>
      </c>
      <c r="F46" s="54"/>
      <c r="G46" s="54">
        <v>0.14000000000000001</v>
      </c>
      <c r="H46" s="54">
        <v>0.14000000000000001</v>
      </c>
      <c r="I46" s="52">
        <f t="shared" si="1"/>
        <v>23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5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5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5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5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5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5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5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5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Chêne sessile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20</v>
      </c>
      <c r="B62" s="63">
        <v>73</v>
      </c>
      <c r="C62" s="63"/>
      <c r="D62" s="63"/>
      <c r="E62" s="54"/>
      <c r="F62" s="54"/>
      <c r="G62" s="54"/>
      <c r="H62" s="54"/>
      <c r="I62" s="56">
        <f>IFERROR(B62/A62,"")</f>
        <v>3.65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25</v>
      </c>
      <c r="B63" s="63">
        <v>109</v>
      </c>
      <c r="C63" s="63">
        <v>1</v>
      </c>
      <c r="D63" s="63">
        <v>34</v>
      </c>
      <c r="E63" s="54"/>
      <c r="F63" s="54"/>
      <c r="G63" s="54"/>
      <c r="H63" s="54">
        <v>1</v>
      </c>
      <c r="I63" s="52">
        <f>IF(A63&lt;&gt;0,(B63-(B62-D62))/(A63-A62),"")</f>
        <v>7.2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30</v>
      </c>
      <c r="B64" s="63">
        <v>121</v>
      </c>
      <c r="C64" s="63"/>
      <c r="D64" s="63"/>
      <c r="E64" s="54"/>
      <c r="F64" s="54"/>
      <c r="G64" s="54"/>
      <c r="H64" s="54"/>
      <c r="I64" s="52">
        <f>IF(A64&lt;&gt;0,(B64-(B63-D63))/(A64-A63),"")</f>
        <v>9.1999999999999993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35</v>
      </c>
      <c r="B65" s="63">
        <v>175</v>
      </c>
      <c r="C65" s="63">
        <v>2</v>
      </c>
      <c r="D65" s="63">
        <v>56</v>
      </c>
      <c r="E65" s="54"/>
      <c r="F65" s="54"/>
      <c r="G65" s="54"/>
      <c r="H65" s="54"/>
      <c r="I65" s="52">
        <f>IF(A65&lt;&gt;0,(B65-(B64-D64))/(A65-A64),"")</f>
        <v>10.8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40</v>
      </c>
      <c r="B66" s="63">
        <v>175</v>
      </c>
      <c r="C66" s="63"/>
      <c r="D66" s="63"/>
      <c r="E66" s="54"/>
      <c r="F66" s="54"/>
      <c r="G66" s="54"/>
      <c r="H66" s="54"/>
      <c r="I66" s="52">
        <f t="shared" ref="I66:I81" si="2">IF(A66&lt;&gt;0,(B66-(B65-D65))/(A66-A65),"")</f>
        <v>11.2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45</v>
      </c>
      <c r="B67" s="63">
        <v>232</v>
      </c>
      <c r="C67" s="63">
        <v>3</v>
      </c>
      <c r="D67" s="63">
        <v>56</v>
      </c>
      <c r="E67" s="54"/>
      <c r="F67" s="54"/>
      <c r="G67" s="54"/>
      <c r="H67" s="54"/>
      <c r="I67" s="52">
        <f t="shared" si="2"/>
        <v>11.4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50</v>
      </c>
      <c r="B68" s="63">
        <v>231</v>
      </c>
      <c r="C68" s="63"/>
      <c r="D68" s="63"/>
      <c r="E68" s="54"/>
      <c r="F68" s="54"/>
      <c r="G68" s="54"/>
      <c r="H68" s="54"/>
      <c r="I68" s="52">
        <f t="shared" si="2"/>
        <v>11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55</v>
      </c>
      <c r="B69" s="53">
        <v>282</v>
      </c>
      <c r="C69" s="63">
        <v>4</v>
      </c>
      <c r="D69" s="53">
        <v>56</v>
      </c>
      <c r="E69" s="54"/>
      <c r="F69" s="54"/>
      <c r="G69" s="54"/>
      <c r="H69" s="54"/>
      <c r="I69" s="52">
        <f t="shared" si="2"/>
        <v>10.199999999999999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60</v>
      </c>
      <c r="B70" s="53">
        <v>273</v>
      </c>
      <c r="C70" s="63"/>
      <c r="D70" s="53"/>
      <c r="E70" s="54"/>
      <c r="F70" s="54"/>
      <c r="G70" s="54"/>
      <c r="H70" s="54"/>
      <c r="I70" s="52">
        <f t="shared" si="2"/>
        <v>9.4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65</v>
      </c>
      <c r="B71" s="53">
        <v>317</v>
      </c>
      <c r="C71" s="63">
        <v>5</v>
      </c>
      <c r="D71" s="53">
        <v>56</v>
      </c>
      <c r="E71" s="54"/>
      <c r="F71" s="54"/>
      <c r="G71" s="54"/>
      <c r="H71" s="54"/>
      <c r="I71" s="52">
        <f t="shared" si="2"/>
        <v>8.8000000000000007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70</v>
      </c>
      <c r="B72" s="53">
        <v>302</v>
      </c>
      <c r="C72" s="63"/>
      <c r="D72" s="53"/>
      <c r="E72" s="54"/>
      <c r="F72" s="54"/>
      <c r="G72" s="54"/>
      <c r="H72" s="54"/>
      <c r="I72" s="52">
        <f t="shared" si="2"/>
        <v>8.1999999999999993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75</v>
      </c>
      <c r="B73" s="53">
        <v>340</v>
      </c>
      <c r="C73" s="63">
        <v>6</v>
      </c>
      <c r="D73" s="53">
        <v>56</v>
      </c>
      <c r="E73" s="54"/>
      <c r="F73" s="54"/>
      <c r="G73" s="54"/>
      <c r="H73" s="54"/>
      <c r="I73" s="52">
        <f t="shared" si="2"/>
        <v>7.6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80</v>
      </c>
      <c r="B74" s="53">
        <v>320</v>
      </c>
      <c r="C74" s="63"/>
      <c r="D74" s="53"/>
      <c r="E74" s="54"/>
      <c r="F74" s="54"/>
      <c r="G74" s="54"/>
      <c r="H74" s="54"/>
      <c r="I74" s="52">
        <f t="shared" si="2"/>
        <v>7.2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>
        <v>90</v>
      </c>
      <c r="B75" s="53">
        <v>386</v>
      </c>
      <c r="C75" s="53">
        <v>7</v>
      </c>
      <c r="D75" s="53">
        <v>84</v>
      </c>
      <c r="E75" s="54"/>
      <c r="F75" s="54"/>
      <c r="G75" s="54"/>
      <c r="H75" s="54"/>
      <c r="I75" s="52">
        <f t="shared" si="2"/>
        <v>6.6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>
        <v>100</v>
      </c>
      <c r="B76" s="53">
        <v>333</v>
      </c>
      <c r="C76" s="53"/>
      <c r="D76" s="53"/>
      <c r="E76" s="54"/>
      <c r="F76" s="54"/>
      <c r="G76" s="54"/>
      <c r="H76" s="54"/>
      <c r="I76" s="52">
        <f t="shared" si="2"/>
        <v>3.1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>
        <v>110</v>
      </c>
      <c r="B77" s="53">
        <v>413</v>
      </c>
      <c r="C77" s="53">
        <v>8</v>
      </c>
      <c r="D77" s="53">
        <v>106</v>
      </c>
      <c r="E77" s="54"/>
      <c r="F77" s="54"/>
      <c r="G77" s="54"/>
      <c r="H77" s="54"/>
      <c r="I77" s="52">
        <f t="shared" si="2"/>
        <v>8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>
        <v>120</v>
      </c>
      <c r="B78" s="53">
        <v>328</v>
      </c>
      <c r="C78" s="53"/>
      <c r="D78" s="53"/>
      <c r="E78" s="54"/>
      <c r="F78" s="54"/>
      <c r="G78" s="54"/>
      <c r="H78" s="54"/>
      <c r="I78" s="52">
        <f t="shared" si="2"/>
        <v>2.1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>
        <v>130</v>
      </c>
      <c r="B79" s="53">
        <v>394</v>
      </c>
      <c r="C79" s="53">
        <v>9</v>
      </c>
      <c r="D79" s="53">
        <v>91</v>
      </c>
      <c r="E79" s="54"/>
      <c r="F79" s="54"/>
      <c r="G79" s="54"/>
      <c r="H79" s="54"/>
      <c r="I79" s="52">
        <f t="shared" si="2"/>
        <v>6.6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>
        <v>140</v>
      </c>
      <c r="B80" s="53">
        <v>320</v>
      </c>
      <c r="C80" s="53"/>
      <c r="D80" s="53"/>
      <c r="E80" s="54"/>
      <c r="F80" s="54"/>
      <c r="G80" s="54"/>
      <c r="H80" s="54"/>
      <c r="I80" s="52">
        <f t="shared" si="2"/>
        <v>1.7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>
        <v>150</v>
      </c>
      <c r="B81" s="53">
        <v>376</v>
      </c>
      <c r="C81" s="53">
        <v>10</v>
      </c>
      <c r="D81" s="53">
        <v>376</v>
      </c>
      <c r="E81" s="54"/>
      <c r="F81" s="54"/>
      <c r="G81" s="54"/>
      <c r="H81" s="54"/>
      <c r="I81" s="52">
        <f t="shared" si="2"/>
        <v>5.6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/>
      <c r="B88" s="63"/>
      <c r="C88" s="63"/>
      <c r="D88" s="63"/>
      <c r="E88" s="54"/>
      <c r="F88" s="54"/>
      <c r="G88" s="54"/>
      <c r="H88" s="54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/>
      <c r="B89" s="63"/>
      <c r="C89" s="63"/>
      <c r="D89" s="63"/>
      <c r="E89" s="54"/>
      <c r="F89" s="54"/>
      <c r="G89" s="54"/>
      <c r="H89" s="54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/>
      <c r="B90" s="63"/>
      <c r="C90" s="63"/>
      <c r="D90" s="63"/>
      <c r="E90" s="93"/>
      <c r="F90" s="93"/>
      <c r="G90" s="93"/>
      <c r="H90" s="54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/>
      <c r="B91" s="63"/>
      <c r="C91" s="63"/>
      <c r="D91" s="63"/>
      <c r="E91" s="93"/>
      <c r="F91" s="93"/>
      <c r="G91" s="93"/>
      <c r="H91" s="54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/>
      <c r="B92" s="63"/>
      <c r="C92" s="63"/>
      <c r="D92" s="63"/>
      <c r="E92" s="93"/>
      <c r="F92" s="93"/>
      <c r="G92" s="93"/>
      <c r="H92" s="54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/>
      <c r="B93" s="63"/>
      <c r="C93" s="63"/>
      <c r="D93" s="63"/>
      <c r="E93" s="93"/>
      <c r="F93" s="93"/>
      <c r="G93" s="93"/>
      <c r="H93" s="54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/>
      <c r="B94" s="63"/>
      <c r="C94" s="63"/>
      <c r="D94" s="63"/>
      <c r="E94" s="93"/>
      <c r="F94" s="93"/>
      <c r="G94" s="93"/>
      <c r="H94" s="54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53"/>
      <c r="B95" s="53"/>
      <c r="C95" s="63"/>
      <c r="D95" s="53"/>
      <c r="E95" s="93"/>
      <c r="F95" s="93"/>
      <c r="G95" s="93"/>
      <c r="H95" s="54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53"/>
      <c r="B96" s="53"/>
      <c r="C96" s="63"/>
      <c r="D96" s="53"/>
      <c r="E96" s="93"/>
      <c r="F96" s="93"/>
      <c r="G96" s="93"/>
      <c r="H96" s="54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53"/>
      <c r="B97" s="53"/>
      <c r="C97" s="63"/>
      <c r="D97" s="53"/>
      <c r="E97" s="93"/>
      <c r="F97" s="93"/>
      <c r="G97" s="93"/>
      <c r="H97" s="54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53"/>
      <c r="B98" s="53"/>
      <c r="C98" s="63"/>
      <c r="D98" s="53"/>
      <c r="E98" s="93"/>
      <c r="F98" s="93"/>
      <c r="G98" s="93"/>
      <c r="H98" s="54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53"/>
      <c r="B99" s="53"/>
      <c r="C99" s="63"/>
      <c r="D99" s="53"/>
      <c r="E99" s="93"/>
      <c r="F99" s="93"/>
      <c r="G99" s="93"/>
      <c r="H99" s="54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53"/>
      <c r="B100" s="53"/>
      <c r="C100" s="63"/>
      <c r="D100" s="53"/>
      <c r="E100" s="68"/>
      <c r="F100" s="68"/>
      <c r="G100" s="68"/>
      <c r="H100" s="54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53"/>
      <c r="B101" s="53"/>
      <c r="C101" s="53"/>
      <c r="D101" s="53"/>
      <c r="E101" s="68"/>
      <c r="F101" s="68"/>
      <c r="G101" s="68"/>
      <c r="H101" s="54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53"/>
      <c r="B102" s="53"/>
      <c r="C102" s="53"/>
      <c r="D102" s="53"/>
      <c r="E102" s="57"/>
      <c r="F102" s="57"/>
      <c r="G102" s="57"/>
      <c r="H102" s="54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53"/>
      <c r="B103" s="53"/>
      <c r="C103" s="53"/>
      <c r="D103" s="53"/>
      <c r="E103" s="57"/>
      <c r="F103" s="57"/>
      <c r="G103" s="57"/>
      <c r="H103" s="54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53"/>
      <c r="B104" s="53"/>
      <c r="C104" s="53"/>
      <c r="D104" s="53"/>
      <c r="E104" s="57"/>
      <c r="F104" s="57"/>
      <c r="G104" s="57"/>
      <c r="H104" s="54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4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4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4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D25" sqref="D25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1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Peuplier Koster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Chêne sessile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83.735137603292344</v>
      </c>
      <c r="T3" s="62">
        <f>IF('Données projet'!E9&gt;30,$R$33-$H$33,LOOKUP('Données projet'!$E$9,$A$3:$A$203,R3:R203)-LOOKUP('Données projet'!$E$9,$A$3:$A$203,$H$3:$H$203))</f>
        <v>277.23937202597483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427.83662275523142</v>
      </c>
      <c r="AO3" s="62">
        <f>IF('Données projet'!E10&gt;30,$AM$33-$H$33,LOOKUP('Données projet'!$E$10,$A$3:$A$203,AM3:AM203)-LOOKUP('Données projet'!$E$10,$A$3:$A$203,$H$3:$H$203))</f>
        <v>240.19413322685813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2">
        <f>IFERROR(EXP(-1.0587+0.8836*LN(C4)+0.284),0)</f>
        <v>0.26998241883213048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70">
        <f t="shared" ref="H4:H67" si="1">(B4+E4+F4)*44/12+(C4+D4)*0.475*44/12</f>
        <v>258.08783604613262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1.25</v>
      </c>
      <c r="N4" s="14">
        <f>IF('Données projet'!$A$36&gt;35,N3+M4-V3,IF(A4&lt;'Données projet'!$A$36,$K$205^A4,IF(A4='Données projet'!$A$36,'Données projet'!$B$36,N3+M4-V3)))</f>
        <v>1.333521432163324</v>
      </c>
      <c r="O4" s="14">
        <f>N4*VLOOKUP('Données projet'!$B$9,Paramètres!$A$1:$I$89,3,0)*VLOOKUP('Données projet'!$B$9,Paramètres!$A$1:$I$89,5,0)</f>
        <v>0.67817565954098002</v>
      </c>
      <c r="P4" s="14">
        <f>EXP(-1.0587+0.8836*LN(O4)+0.284)</f>
        <v>0.32698364548427006</v>
      </c>
      <c r="Q4" s="22">
        <f t="shared" ref="Q4:Q34" si="2">(O4+P4)*0.475*44/12</f>
        <v>1.7506524562523105</v>
      </c>
      <c r="R4" s="62">
        <f t="shared" si="0"/>
        <v>259.63954134514114</v>
      </c>
      <c r="S4" s="62">
        <f ca="1">AVERAGE(OFFSET($R$3,0,0,'Données projet'!$E$9+1,1))-AVERAGE(OFFSET($H$3,0,0,'Données projet'!$E$9+1,1))</f>
        <v>83.735137603292344</v>
      </c>
      <c r="T4" s="62">
        <f>$T$3</f>
        <v>277.23937202597483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3.65</v>
      </c>
      <c r="AI4" s="14">
        <f>IF('Données projet'!$A$62&gt;35,AI3+AH4-AQ3,IF(A4&lt;'Données projet'!$A$62,$AF$205^A4,IF(A4='Données projet'!$A$62,'Données projet'!$B$62,AI3+AH4-AQ3)))</f>
        <v>1.2392705892426346</v>
      </c>
      <c r="AJ4" s="14">
        <f>AI4*VLOOKUP('Données projet'!$B$10,Paramètres!$A$1:$I$89,3,0)*VLOOKUP('Données projet'!$B$10,Paramètres!$A$1:$I$89,5,0)</f>
        <v>1.1212920291467359</v>
      </c>
      <c r="AK4" s="14">
        <f>EXP(-1.0587+0.8836*LN(AJ4)+0.284)</f>
        <v>0.50989827066551541</v>
      </c>
      <c r="AL4" s="22">
        <f t="shared" ref="AL4:AL67" si="4">(AJ4+AK4)*0.475*44/12</f>
        <v>2.8409897721730037</v>
      </c>
      <c r="AM4" s="62">
        <f t="shared" ref="AM4:AM67" si="5">AL4+(AD4+AE4)*44/12</f>
        <v>260.72987866106189</v>
      </c>
      <c r="AN4" s="62">
        <f ca="1">AVERAGE(OFFSET($AM$3,0,0,'Données projet'!$E$10+1,1))-AVERAGE(OFFSET($H$3,0,0,'Données projet'!$E$10+1,1))</f>
        <v>427.83662275523142</v>
      </c>
      <c r="AO4" s="62">
        <f>$AO$3</f>
        <v>240.19413322685813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2">
        <f t="shared" ref="D5:D68" si="32">IFERROR(EXP(-1.0587+0.8836*LN(C5)+0.284),0)</f>
        <v>0.49811037558348636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70">
        <f t="shared" si="1"/>
        <v>259.43610890414124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1.25</v>
      </c>
      <c r="N5" s="14">
        <f>IF('Données projet'!$A$36&gt;35,N4+M5-V4,IF(A5&lt;'Données projet'!$A$36,$K$205^A5,IF(A5='Données projet'!$A$36,'Données projet'!$B$36,N4+M5-V4)))</f>
        <v>1.7782794100389228</v>
      </c>
      <c r="O5" s="14">
        <f>N5*VLOOKUP('Données projet'!$B$9,Paramètres!$A$1:$I$89,3,0)*VLOOKUP('Données projet'!$B$9,Paramètres!$A$1:$I$89,5,0)</f>
        <v>0.90436177676939467</v>
      </c>
      <c r="P5" s="14">
        <f t="shared" ref="P5:P68" si="33">EXP(-1.0587+0.8836*LN(O5)+0.284)</f>
        <v>0.42167323074567703</v>
      </c>
      <c r="Q5" s="22">
        <f t="shared" si="2"/>
        <v>2.3095109714220832</v>
      </c>
      <c r="R5" s="62">
        <f t="shared" si="0"/>
        <v>261.42062208253321</v>
      </c>
      <c r="S5" s="62">
        <f ca="1">AVERAGE(OFFSET($R$3,0,0,'Données projet'!$E$9+1,1))-AVERAGE(OFFSET($H$3,0,0,'Données projet'!$E$9+1,1))</f>
        <v>83.735137603292344</v>
      </c>
      <c r="T5" s="62">
        <f t="shared" ref="T5:T68" si="34">$T$3</f>
        <v>277.23937202597483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3.65</v>
      </c>
      <c r="AI5" s="14">
        <f>IF('Données projet'!$A$62&gt;35,AI4+AH5-AQ4,IF(A5&lt;'Données projet'!$A$62,$AF$205^A5,IF(A5='Données projet'!$A$62,'Données projet'!$B$62,AI4+AH5-AQ4)))</f>
        <v>1.5357915933617867</v>
      </c>
      <c r="AJ5" s="14">
        <f>AI5*VLOOKUP('Données projet'!$B$10,Paramètres!$A$1:$I$89,3,0)*VLOOKUP('Données projet'!$B$10,Paramètres!$A$1:$I$89,5,0)</f>
        <v>1.3895842336737447</v>
      </c>
      <c r="AK5" s="14">
        <f t="shared" ref="AK5:AK68" si="35">EXP(-1.0587+0.8836*LN(AJ5)+0.284)</f>
        <v>0.61631841327304715</v>
      </c>
      <c r="AL5" s="22">
        <f t="shared" si="4"/>
        <v>3.4936137767656628</v>
      </c>
      <c r="AM5" s="62">
        <f t="shared" si="5"/>
        <v>262.60472488787678</v>
      </c>
      <c r="AN5" s="62">
        <f ca="1">AVERAGE(OFFSET($AM$3,0,0,'Données projet'!$E$10+1,1))-AVERAGE(OFFSET($H$3,0,0,'Données projet'!$E$10+1,1))</f>
        <v>427.83662275523142</v>
      </c>
      <c r="AO5" s="62">
        <f t="shared" ref="AO5:AO68" si="36">$AO$3</f>
        <v>240.19413322685813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2">
        <f t="shared" si="32"/>
        <v>0.71272144204532062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70">
        <f t="shared" si="1"/>
        <v>260.7608398448956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1.25</v>
      </c>
      <c r="N6" s="14">
        <f>IF('Données projet'!$A$36&gt;35,N5+M6-V5,IF(A6&lt;'Données projet'!$A$36,$K$205^A6,IF(A6='Données projet'!$A$36,'Données projet'!$B$36,N5+M6-V5)))</f>
        <v>2.3713737056616551</v>
      </c>
      <c r="O6" s="14">
        <f>N6*VLOOKUP('Données projet'!$B$9,Paramètres!$A$1:$I$89,3,0)*VLOOKUP('Données projet'!$B$9,Paramètres!$A$1:$I$89,5,0)</f>
        <v>1.2059858117512914</v>
      </c>
      <c r="P6" s="14">
        <f t="shared" si="33"/>
        <v>0.54378350716641755</v>
      </c>
      <c r="Q6" s="22">
        <f t="shared" si="2"/>
        <v>3.0475148971150094</v>
      </c>
      <c r="R6" s="62">
        <f t="shared" si="0"/>
        <v>263.38084823044835</v>
      </c>
      <c r="S6" s="62">
        <f ca="1">AVERAGE(OFFSET($R$3,0,0,'Données projet'!$E$9+1,1))-AVERAGE(OFFSET($H$3,0,0,'Données projet'!$E$9+1,1))</f>
        <v>83.735137603292344</v>
      </c>
      <c r="T6" s="62">
        <f t="shared" si="34"/>
        <v>277.23937202597483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3.65</v>
      </c>
      <c r="AI6" s="14">
        <f>IF('Données projet'!$A$62&gt;35,AI5+AH6-AQ5,IF(A6&lt;'Données projet'!$A$62,$AF$205^A6,IF(A6='Données projet'!$A$62,'Données projet'!$B$62,AI5+AH6-AQ5)))</f>
        <v>1.9032613528593461</v>
      </c>
      <c r="AJ6" s="14">
        <f>AI6*VLOOKUP('Données projet'!$B$10,Paramètres!$A$1:$I$89,3,0)*VLOOKUP('Données projet'!$B$10,Paramètres!$A$1:$I$89,5,0)</f>
        <v>1.7220708720671365</v>
      </c>
      <c r="AK6" s="14">
        <f t="shared" si="35"/>
        <v>0.74494935243383209</v>
      </c>
      <c r="AL6" s="22">
        <f t="shared" si="4"/>
        <v>4.2967268910058536</v>
      </c>
      <c r="AM6" s="62">
        <f t="shared" si="5"/>
        <v>264.63006022433916</v>
      </c>
      <c r="AN6" s="62">
        <f ca="1">AVERAGE(OFFSET($AM$3,0,0,'Données projet'!$E$10+1,1))-AVERAGE(OFFSET($H$3,0,0,'Données projet'!$E$10+1,1))</f>
        <v>427.83662275523142</v>
      </c>
      <c r="AO6" s="62">
        <f t="shared" si="36"/>
        <v>240.19413322685813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2">
        <f t="shared" si="32"/>
        <v>0.91900038282935004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70">
        <f t="shared" si="1"/>
        <v>262.07105900009446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1.25</v>
      </c>
      <c r="N7" s="14">
        <f>IF('Données projet'!$A$36&gt;35,N6+M7-V6,IF(A7&lt;'Données projet'!$A$36,$K$205^A7,IF(A7='Données projet'!$A$36,'Données projet'!$B$36,N6+M7-V6)))</f>
        <v>3.1622776601683791</v>
      </c>
      <c r="O7" s="14">
        <f>N7*VLOOKUP('Données projet'!$B$9,Paramètres!$A$1:$I$89,3,0)*VLOOKUP('Données projet'!$B$9,Paramètres!$A$1:$I$89,5,0)</f>
        <v>1.608207926855231</v>
      </c>
      <c r="P7" s="14">
        <f t="shared" si="33"/>
        <v>0.70125509780001816</v>
      </c>
      <c r="Q7" s="22">
        <f t="shared" si="2"/>
        <v>4.022314767941225</v>
      </c>
      <c r="R7" s="62">
        <f t="shared" si="0"/>
        <v>265.57787032349677</v>
      </c>
      <c r="S7" s="62">
        <f ca="1">AVERAGE(OFFSET($R$3,0,0,'Données projet'!$E$9+1,1))-AVERAGE(OFFSET($H$3,0,0,'Données projet'!$E$9+1,1))</f>
        <v>83.735137603292344</v>
      </c>
      <c r="T7" s="62">
        <f t="shared" si="34"/>
        <v>277.23937202597483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3.65</v>
      </c>
      <c r="AI7" s="14">
        <f>IF('Données projet'!$A$62&gt;35,AI6+AH7-AQ6,IF(A7&lt;'Données projet'!$A$62,$AF$205^A7,IF(A7='Données projet'!$A$62,'Données projet'!$B$62,AI6+AH7-AQ6)))</f>
        <v>2.3586558182407358</v>
      </c>
      <c r="AJ7" s="14">
        <f>AI7*VLOOKUP('Données projet'!$B$10,Paramètres!$A$1:$I$89,3,0)*VLOOKUP('Données projet'!$B$10,Paramètres!$A$1:$I$89,5,0)</f>
        <v>2.1341117843442179</v>
      </c>
      <c r="AK7" s="14">
        <f t="shared" si="35"/>
        <v>0.90042667189585779</v>
      </c>
      <c r="AL7" s="22">
        <f t="shared" si="4"/>
        <v>5.2851544779514645</v>
      </c>
      <c r="AM7" s="62">
        <f t="shared" si="5"/>
        <v>266.84071003350698</v>
      </c>
      <c r="AN7" s="62">
        <f ca="1">AVERAGE(OFFSET($AM$3,0,0,'Données projet'!$E$10+1,1))-AVERAGE(OFFSET($H$3,0,0,'Données projet'!$E$10+1,1))</f>
        <v>427.83662275523142</v>
      </c>
      <c r="AO7" s="62">
        <f t="shared" si="36"/>
        <v>240.19413322685813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2">
        <f t="shared" si="32"/>
        <v>1.1192971032254277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70">
        <f t="shared" si="1"/>
        <v>263.37085912145096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1.25</v>
      </c>
      <c r="N8" s="14">
        <f>IF('Données projet'!$A$36&gt;35,N7+M8-V7,IF(A8&lt;'Données projet'!$A$36,$K$205^A8,IF(A8='Données projet'!$A$36,'Données projet'!$B$36,N7+M8-V7)))</f>
        <v>4.2169650342858223</v>
      </c>
      <c r="O8" s="14">
        <f>N8*VLOOKUP('Données projet'!$B$9,Paramètres!$A$1:$I$89,3,0)*VLOOKUP('Données projet'!$B$9,Paramètres!$A$1:$I$89,5,0)</f>
        <v>2.144579737836398</v>
      </c>
      <c r="P8" s="14">
        <f t="shared" si="33"/>
        <v>0.90432811166524951</v>
      </c>
      <c r="Q8" s="22">
        <f t="shared" si="2"/>
        <v>5.3101811712153699</v>
      </c>
      <c r="R8" s="62">
        <f t="shared" si="0"/>
        <v>268.08795894899316</v>
      </c>
      <c r="S8" s="62">
        <f ca="1">AVERAGE(OFFSET($R$3,0,0,'Données projet'!$E$9+1,1))-AVERAGE(OFFSET($H$3,0,0,'Données projet'!$E$9+1,1))</f>
        <v>83.735137603292344</v>
      </c>
      <c r="T8" s="62">
        <f t="shared" si="34"/>
        <v>277.23937202597483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3.65</v>
      </c>
      <c r="AI8" s="14">
        <f>IF('Données projet'!$A$62&gt;35,AI7+AH8-AQ7,IF(A8&lt;'Données projet'!$A$62,$AF$205^A8,IF(A8='Données projet'!$A$62,'Données projet'!$B$62,AI7+AH8-AQ7)))</f>
        <v>2.9230127856917649</v>
      </c>
      <c r="AJ8" s="14">
        <f>AI8*VLOOKUP('Données projet'!$B$10,Paramètres!$A$1:$I$89,3,0)*VLOOKUP('Données projet'!$B$10,Paramètres!$A$1:$I$89,5,0)</f>
        <v>2.6447419684939089</v>
      </c>
      <c r="AK8" s="14">
        <f t="shared" si="35"/>
        <v>1.0883534414958294</v>
      </c>
      <c r="AL8" s="22">
        <f t="shared" si="4"/>
        <v>6.5018078390654601</v>
      </c>
      <c r="AM8" s="62">
        <f t="shared" si="5"/>
        <v>269.27958561684324</v>
      </c>
      <c r="AN8" s="62">
        <f ca="1">AVERAGE(OFFSET($AM$3,0,0,'Données projet'!$E$10+1,1))-AVERAGE(OFFSET($H$3,0,0,'Données projet'!$E$10+1,1))</f>
        <v>427.83662275523142</v>
      </c>
      <c r="AO8" s="62">
        <f t="shared" si="36"/>
        <v>240.19413322685813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2">
        <f t="shared" si="32"/>
        <v>1.3149520873221716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70">
        <f t="shared" si="1"/>
        <v>264.66257488541947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1.25</v>
      </c>
      <c r="N9" s="14">
        <f>IF('Données projet'!$A$36&gt;35,N8+M9-V8,IF(A9&lt;'Données projet'!$A$36,$K$205^A9,IF(A9='Données projet'!$A$36,'Données projet'!$B$36,N8+M9-V8)))</f>
        <v>5.6234132519034903</v>
      </c>
      <c r="O9" s="14">
        <f>N9*VLOOKUP('Données projet'!$B$9,Paramètres!$A$1:$I$89,3,0)*VLOOKUP('Données projet'!$B$9,Paramètres!$A$1:$I$89,5,0)</f>
        <v>2.8598430433880391</v>
      </c>
      <c r="P9" s="14">
        <f t="shared" si="33"/>
        <v>1.1662080405742108</v>
      </c>
      <c r="Q9" s="22">
        <f t="shared" si="2"/>
        <v>7.0120389712342508</v>
      </c>
      <c r="R9" s="62">
        <f t="shared" si="0"/>
        <v>271.01203897123423</v>
      </c>
      <c r="S9" s="62">
        <f ca="1">AVERAGE(OFFSET($R$3,0,0,'Données projet'!$E$9+1,1))-AVERAGE(OFFSET($H$3,0,0,'Données projet'!$E$9+1,1))</f>
        <v>83.735137603292344</v>
      </c>
      <c r="T9" s="62">
        <f t="shared" si="34"/>
        <v>277.23937202597483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3.65</v>
      </c>
      <c r="AI9" s="14">
        <f>IF('Données projet'!$A$62&gt;35,AI8+AH9-AQ8,IF(A9&lt;'Données projet'!$A$62,$AF$205^A9,IF(A9='Données projet'!$A$62,'Données projet'!$B$62,AI8+AH9-AQ8)))</f>
        <v>3.6224037772879885</v>
      </c>
      <c r="AJ9" s="14">
        <f>AI9*VLOOKUP('Données projet'!$B$10,Paramètres!$A$1:$I$89,3,0)*VLOOKUP('Données projet'!$B$10,Paramètres!$A$1:$I$89,5,0)</f>
        <v>3.2775509376901719</v>
      </c>
      <c r="AK9" s="14">
        <f t="shared" si="35"/>
        <v>1.315502139804245</v>
      </c>
      <c r="AL9" s="22">
        <f t="shared" si="4"/>
        <v>7.9995674433027766</v>
      </c>
      <c r="AM9" s="62">
        <f t="shared" si="5"/>
        <v>271.99956744330279</v>
      </c>
      <c r="AN9" s="62">
        <f ca="1">AVERAGE(OFFSET($AM$3,0,0,'Données projet'!$E$10+1,1))-AVERAGE(OFFSET($H$3,0,0,'Données projet'!$E$10+1,1))</f>
        <v>427.83662275523142</v>
      </c>
      <c r="AO9" s="62">
        <f t="shared" si="36"/>
        <v>240.19413322685813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2">
        <f t="shared" si="32"/>
        <v>1.5068294933809407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70">
        <f t="shared" si="1"/>
        <v>265.94771136763848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1.25</v>
      </c>
      <c r="N10" s="14">
        <f>IF('Données projet'!$A$36&gt;35,N9+M10-V9,IF(A10&lt;'Données projet'!$A$36,$K$205^A10,IF(A10='Données projet'!$A$36,'Données projet'!$B$36,N9+M10-V9)))</f>
        <v>7.4989420933245574</v>
      </c>
      <c r="O10" s="14">
        <f>N10*VLOOKUP('Données projet'!$B$9,Paramètres!$A$1:$I$89,3,0)*VLOOKUP('Données projet'!$B$9,Paramètres!$A$1:$I$89,5,0)</f>
        <v>3.8136619909811373</v>
      </c>
      <c r="P10" s="14">
        <f t="shared" si="33"/>
        <v>1.5039244897469028</v>
      </c>
      <c r="Q10" s="22">
        <f t="shared" si="2"/>
        <v>9.261463120601336</v>
      </c>
      <c r="R10" s="62">
        <f t="shared" si="0"/>
        <v>274.48368534282355</v>
      </c>
      <c r="S10" s="62">
        <f ca="1">AVERAGE(OFFSET($R$3,0,0,'Données projet'!$E$9+1,1))-AVERAGE(OFFSET($H$3,0,0,'Données projet'!$E$9+1,1))</f>
        <v>83.735137603292344</v>
      </c>
      <c r="T10" s="62">
        <f t="shared" si="34"/>
        <v>277.23937202597483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3.65</v>
      </c>
      <c r="AI10" s="14">
        <f>IF('Données projet'!$A$62&gt;35,AI9+AH10-AQ9,IF(A10&lt;'Données projet'!$A$62,$AF$205^A10,IF(A10='Données projet'!$A$62,'Données projet'!$B$62,AI9+AH10-AQ9)))</f>
        <v>4.4891384635544309</v>
      </c>
      <c r="AJ10" s="14">
        <f>AI10*VLOOKUP('Données projet'!$B$10,Paramètres!$A$1:$I$89,3,0)*VLOOKUP('Données projet'!$B$10,Paramètres!$A$1:$I$89,5,0)</f>
        <v>4.0617724818240486</v>
      </c>
      <c r="AK10" s="14">
        <f t="shared" si="35"/>
        <v>1.590058719758437</v>
      </c>
      <c r="AL10" s="22">
        <f t="shared" si="4"/>
        <v>9.8436060094228282</v>
      </c>
      <c r="AM10" s="62">
        <f t="shared" si="5"/>
        <v>275.06582823164507</v>
      </c>
      <c r="AN10" s="62">
        <f ca="1">AVERAGE(OFFSET($AM$3,0,0,'Données projet'!$E$10+1,1))-AVERAGE(OFFSET($H$3,0,0,'Données projet'!$E$10+1,1))</f>
        <v>427.83662275523142</v>
      </c>
      <c r="AO10" s="62">
        <f t="shared" si="36"/>
        <v>240.19413322685813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2">
        <f t="shared" si="32"/>
        <v>1.6955312417477209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70">
        <f t="shared" si="1"/>
        <v>267.22731691271065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>
        <f>VLOOKUP(A11,'Données projet'!$A$35:$I$55,2,0)</f>
        <v>10</v>
      </c>
      <c r="L11" s="13">
        <f>VLOOKUP(A11,'Données projet'!$A$35:$I$55,9,0)</f>
        <v>1.25</v>
      </c>
      <c r="M11" s="13">
        <f t="array" ref="M11">INDEX(L:L,MIN(IF(ISNUMBER(L11:L207),ROW(L11:L207),"")))</f>
        <v>1.25</v>
      </c>
      <c r="N11" s="14">
        <f>IF('Données projet'!$A$36&gt;35,N10+M11-V10,IF(A11&lt;'Données projet'!$A$36,$K$205^A11,IF(A11='Données projet'!$A$36,'Données projet'!$B$36,N10+M11-V10)))</f>
        <v>10</v>
      </c>
      <c r="O11" s="14">
        <f>N11*VLOOKUP('Données projet'!$B$9,Paramètres!$A$1:$I$89,3,0)*VLOOKUP('Données projet'!$B$9,Paramètres!$A$1:$I$89,5,0)</f>
        <v>5.0856000000000003</v>
      </c>
      <c r="P11" s="14">
        <f t="shared" si="33"/>
        <v>1.939438583999846</v>
      </c>
      <c r="Q11" s="22">
        <f t="shared" si="2"/>
        <v>12.235275533799731</v>
      </c>
      <c r="R11" s="62">
        <f t="shared" si="0"/>
        <v>278.67971997824418</v>
      </c>
      <c r="S11" s="62">
        <f ca="1">AVERAGE(OFFSET($R$3,0,0,'Données projet'!$E$9+1,1))-AVERAGE(OFFSET($H$3,0,0,'Données projet'!$E$9+1,1))</f>
        <v>83.735137603292344</v>
      </c>
      <c r="T11" s="62">
        <f t="shared" si="34"/>
        <v>277.23937202597483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3.65</v>
      </c>
      <c r="AI11" s="14">
        <f>IF('Données projet'!$A$62&gt;35,AI10+AH11-AQ10,IF(A11&lt;'Données projet'!$A$62,$AF$205^A11,IF(A11='Données projet'!$A$62,'Données projet'!$B$62,AI10+AH11-AQ10)))</f>
        <v>5.563257268920875</v>
      </c>
      <c r="AJ11" s="14">
        <f>AI11*VLOOKUP('Données projet'!$B$10,Paramètres!$A$1:$I$89,3,0)*VLOOKUP('Données projet'!$B$10,Paramètres!$A$1:$I$89,5,0)</f>
        <v>5.0336351769196082</v>
      </c>
      <c r="AK11" s="14">
        <f t="shared" si="35"/>
        <v>1.9219176128866391</v>
      </c>
      <c r="AL11" s="22">
        <f t="shared" si="4"/>
        <v>12.11425444224588</v>
      </c>
      <c r="AM11" s="62">
        <f t="shared" si="5"/>
        <v>278.55869888669031</v>
      </c>
      <c r="AN11" s="62">
        <f ca="1">AVERAGE(OFFSET($AM$3,0,0,'Données projet'!$E$10+1,1))-AVERAGE(OFFSET($H$3,0,0,'Données projet'!$E$10+1,1))</f>
        <v>427.83662275523142</v>
      </c>
      <c r="AO11" s="62">
        <f t="shared" si="36"/>
        <v>240.19413322685813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2">
        <f t="shared" si="32"/>
        <v>1.8814997515338503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70">
        <f t="shared" si="1"/>
        <v>268.5021620672548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>
        <f>VLOOKUP(A12,'Données projet'!$A$35:$I$55,2,0)</f>
        <v>29</v>
      </c>
      <c r="L12" s="13">
        <f>VLOOKUP(A12,'Données projet'!$A$35:$I$55,9,0)</f>
        <v>19</v>
      </c>
      <c r="M12" s="13">
        <f t="array" ref="M12">INDEX(L:L,MIN(IF(ISNUMBER(L12:L208),ROW(L12:L208),"")))</f>
        <v>19</v>
      </c>
      <c r="N12" s="14">
        <f>IF('Données projet'!$A$36&gt;35,N11+M12-V11,IF(A12&lt;'Données projet'!$A$36,$K$205^A12,IF(A12='Données projet'!$A$36,'Données projet'!$B$36,N11+M12-V11)))</f>
        <v>29</v>
      </c>
      <c r="O12" s="14">
        <f>N12*VLOOKUP('Données projet'!$B$9,Paramètres!$A$1:$I$89,3,0)*VLOOKUP('Données projet'!$B$9,Paramètres!$A$1:$I$89,5,0)</f>
        <v>14.748240000000001</v>
      </c>
      <c r="P12" s="14">
        <f t="shared" si="33"/>
        <v>4.9687929763413896</v>
      </c>
      <c r="Q12" s="22">
        <f t="shared" si="2"/>
        <v>34.340499100461251</v>
      </c>
      <c r="R12" s="62">
        <f t="shared" si="0"/>
        <v>302.00716576712796</v>
      </c>
      <c r="S12" s="62">
        <f ca="1">AVERAGE(OFFSET($R$3,0,0,'Données projet'!$E$9+1,1))-AVERAGE(OFFSET($H$3,0,0,'Données projet'!$E$9+1,1))</f>
        <v>83.735137603292344</v>
      </c>
      <c r="T12" s="62">
        <f t="shared" si="34"/>
        <v>277.23937202597483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3.65</v>
      </c>
      <c r="AI12" s="14">
        <f>IF('Données projet'!$A$62&gt;35,AI11+AH12-AQ11,IF(A12&lt;'Données projet'!$A$62,$AF$205^A12,IF(A12='Données projet'!$A$62,'Données projet'!$B$62,AI11+AH12-AQ11)))</f>
        <v>6.8943811137639424</v>
      </c>
      <c r="AJ12" s="14">
        <f>AI12*VLOOKUP('Données projet'!$B$10,Paramètres!$A$1:$I$89,3,0)*VLOOKUP('Données projet'!$B$10,Paramètres!$A$1:$I$89,5,0)</f>
        <v>6.2380360317336141</v>
      </c>
      <c r="AK12" s="14">
        <f t="shared" si="35"/>
        <v>2.3230383034439352</v>
      </c>
      <c r="AL12" s="22">
        <f t="shared" si="4"/>
        <v>14.910537800434229</v>
      </c>
      <c r="AM12" s="62">
        <f t="shared" si="5"/>
        <v>282.5772044671009</v>
      </c>
      <c r="AN12" s="62">
        <f ca="1">AVERAGE(OFFSET($AM$3,0,0,'Données projet'!$E$10+1,1))-AVERAGE(OFFSET($H$3,0,0,'Données projet'!$E$10+1,1))</f>
        <v>427.83662275523142</v>
      </c>
      <c r="AO12" s="62">
        <f t="shared" si="36"/>
        <v>240.19413322685813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2">
        <f t="shared" si="32"/>
        <v>2.0650733588092973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70">
        <f t="shared" si="1"/>
        <v>269.77283609992622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>
        <f>VLOOKUP(A13,'Données projet'!$A$35:$I$55,2,0)</f>
        <v>49</v>
      </c>
      <c r="L13" s="13">
        <f>VLOOKUP(A13,'Données projet'!$A$35:$I$55,9,0)</f>
        <v>20</v>
      </c>
      <c r="M13" s="13">
        <f t="array" ref="M13">INDEX(L:L,MIN(IF(ISNUMBER(L13:L209),ROW(L13:L209),"")))</f>
        <v>20</v>
      </c>
      <c r="N13" s="14">
        <f>IF('Données projet'!$A$36&gt;35,N12+M13-V12,IF(A13&lt;'Données projet'!$A$36,$K$205^A13,IF(A13='Données projet'!$A$36,'Données projet'!$B$36,N12+M13-V12)))</f>
        <v>49</v>
      </c>
      <c r="O13" s="14">
        <f>N13*VLOOKUP('Données projet'!$B$9,Paramètres!$A$1:$I$89,3,0)*VLOOKUP('Données projet'!$B$9,Paramètres!$A$1:$I$89,5,0)</f>
        <v>24.919440000000002</v>
      </c>
      <c r="P13" s="14">
        <f t="shared" si="33"/>
        <v>7.8982938575045445</v>
      </c>
      <c r="Q13" s="22">
        <f t="shared" si="2"/>
        <v>57.157553135153762</v>
      </c>
      <c r="R13" s="62">
        <f t="shared" si="0"/>
        <v>326.04644202404262</v>
      </c>
      <c r="S13" s="62">
        <f ca="1">AVERAGE(OFFSET($R$3,0,0,'Données projet'!$E$9+1,1))-AVERAGE(OFFSET($H$3,0,0,'Données projet'!$E$9+1,1))</f>
        <v>83.735137603292344</v>
      </c>
      <c r="T13" s="62">
        <f t="shared" si="34"/>
        <v>277.23937202597483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3.65</v>
      </c>
      <c r="AI13" s="14">
        <f>IF('Données projet'!$A$62&gt;35,AI12+AH13-AQ12,IF(A13&lt;'Données projet'!$A$62,$AF$205^A13,IF(A13='Données projet'!$A$62,'Données projet'!$B$62,AI12+AH13-AQ12)))</f>
        <v>8.5440037453175322</v>
      </c>
      <c r="AJ13" s="14">
        <f>AI13*VLOOKUP('Données projet'!$B$10,Paramètres!$A$1:$I$89,3,0)*VLOOKUP('Données projet'!$B$10,Paramètres!$A$1:$I$89,5,0)</f>
        <v>7.7306145887633031</v>
      </c>
      <c r="AK13" s="14">
        <f t="shared" si="35"/>
        <v>2.8078763226288115</v>
      </c>
      <c r="AL13" s="22">
        <f t="shared" si="4"/>
        <v>18.354538337341264</v>
      </c>
      <c r="AM13" s="62">
        <f t="shared" si="5"/>
        <v>287.2434272262301</v>
      </c>
      <c r="AN13" s="62">
        <f ca="1">AVERAGE(OFFSET($AM$3,0,0,'Données projet'!$E$10+1,1))-AVERAGE(OFFSET($H$3,0,0,'Données projet'!$E$10+1,1))</f>
        <v>427.83662275523142</v>
      </c>
      <c r="AO13" s="62">
        <f t="shared" si="36"/>
        <v>240.19413322685813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2">
        <f t="shared" si="32"/>
        <v>2.2465188167092136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70">
        <f t="shared" si="1"/>
        <v>271.03980360576855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>
        <f>VLOOKUP(A14,'Données projet'!$A$35:$I$55,2,0)</f>
        <v>73</v>
      </c>
      <c r="L14" s="13">
        <f>VLOOKUP(A14,'Données projet'!$A$35:$I$55,9,0)</f>
        <v>24</v>
      </c>
      <c r="M14" s="13">
        <f t="array" ref="M14">INDEX(L:L,MIN(IF(ISNUMBER(L14:L210),ROW(L14:L210),"")))</f>
        <v>24</v>
      </c>
      <c r="N14" s="14">
        <f>IF('Données projet'!$A$36&gt;35,N13+M14-V13,IF(A14&lt;'Données projet'!$A$36,$K$205^A14,IF(A14='Données projet'!$A$36,'Données projet'!$B$36,N13+M14-V13)))</f>
        <v>73</v>
      </c>
      <c r="O14" s="14">
        <f>N14*VLOOKUP('Données projet'!$B$9,Paramètres!$A$1:$I$89,3,0)*VLOOKUP('Données projet'!$B$9,Paramètres!$A$1:$I$89,5,0)</f>
        <v>37.124880000000005</v>
      </c>
      <c r="P14" s="14">
        <f t="shared" si="33"/>
        <v>11.233319480868495</v>
      </c>
      <c r="Q14" s="22">
        <f t="shared" si="2"/>
        <v>84.223864095845968</v>
      </c>
      <c r="R14" s="62">
        <f t="shared" si="0"/>
        <v>354.3349752069571</v>
      </c>
      <c r="S14" s="62">
        <f ca="1">AVERAGE(OFFSET($R$3,0,0,'Données projet'!$E$9+1,1))-AVERAGE(OFFSET($H$3,0,0,'Données projet'!$E$9+1,1))</f>
        <v>83.735137603292344</v>
      </c>
      <c r="T14" s="62">
        <f t="shared" si="34"/>
        <v>277.23937202597483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3.65</v>
      </c>
      <c r="AI14" s="14">
        <f>IF('Données projet'!$A$62&gt;35,AI13+AH14-AQ13,IF(A14&lt;'Données projet'!$A$62,$AF$205^A14,IF(A14='Données projet'!$A$62,'Données projet'!$B$62,AI13+AH14-AQ13)))</f>
        <v>10.588332555950936</v>
      </c>
      <c r="AJ14" s="14">
        <f>AI14*VLOOKUP('Données projet'!$B$10,Paramètres!$A$1:$I$89,3,0)*VLOOKUP('Données projet'!$B$10,Paramètres!$A$1:$I$89,5,0)</f>
        <v>9.5803232966244067</v>
      </c>
      <c r="AK14" s="14">
        <f t="shared" si="35"/>
        <v>3.3939041949894282</v>
      </c>
      <c r="AL14" s="22">
        <f t="shared" si="4"/>
        <v>22.596779547894098</v>
      </c>
      <c r="AM14" s="62">
        <f t="shared" si="5"/>
        <v>292.70789065900522</v>
      </c>
      <c r="AN14" s="62">
        <f ca="1">AVERAGE(OFFSET($AM$3,0,0,'Données projet'!$E$10+1,1))-AVERAGE(OFFSET($H$3,0,0,'Données projet'!$E$10+1,1))</f>
        <v>427.83662275523142</v>
      </c>
      <c r="AO14" s="62">
        <f t="shared" si="36"/>
        <v>240.19413322685813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2">
        <f t="shared" si="32"/>
        <v>2.4260515959655744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70">
        <f t="shared" si="1"/>
        <v>272.30343986297339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100</v>
      </c>
      <c r="L15" s="13">
        <f>VLOOKUP(A15,'Données projet'!$A$35:$I$55,9,0)</f>
        <v>27</v>
      </c>
      <c r="M15" s="13">
        <f t="array" ref="M15">INDEX(L:L,MIN(IF(ISNUMBER(L15:L211),ROW(L15:L211),"")))</f>
        <v>27</v>
      </c>
      <c r="N15" s="14">
        <f>IF('Données projet'!$A$36&gt;35,N14+M15-V14,IF(A15&lt;'Données projet'!$A$36,$K$205^A15,IF(A15='Données projet'!$A$36,'Données projet'!$B$36,N14+M15-V14)))</f>
        <v>100</v>
      </c>
      <c r="O15" s="14">
        <f>N15*VLOOKUP('Données projet'!$B$9,Paramètres!$A$1:$I$89,3,0)*VLOOKUP('Données projet'!$B$9,Paramètres!$A$1:$I$89,5,0)</f>
        <v>50.856000000000002</v>
      </c>
      <c r="P15" s="14">
        <f t="shared" si="33"/>
        <v>14.83460652063861</v>
      </c>
      <c r="Q15" s="22">
        <f t="shared" si="2"/>
        <v>114.41113969011224</v>
      </c>
      <c r="R15" s="62">
        <f t="shared" si="0"/>
        <v>385.74447302344555</v>
      </c>
      <c r="S15" s="62">
        <f ca="1">AVERAGE(OFFSET($R$3,0,0,'Données projet'!$E$9+1,1))-AVERAGE(OFFSET($H$3,0,0,'Données projet'!$E$9+1,1))</f>
        <v>83.735137603292344</v>
      </c>
      <c r="T15" s="62">
        <f t="shared" si="34"/>
        <v>277.23937202597483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3.65</v>
      </c>
      <c r="AI15" s="14">
        <f>IF('Données projet'!$A$62&gt;35,AI14+AH15-AQ14,IF(A15&lt;'Données projet'!$A$62,$AF$205^A15,IF(A15='Données projet'!$A$62,'Données projet'!$B$62,AI14+AH15-AQ14)))</f>
        <v>13.121809125710287</v>
      </c>
      <c r="AJ15" s="14">
        <f>AI15*VLOOKUP('Données projet'!$B$10,Paramètres!$A$1:$I$89,3,0)*VLOOKUP('Données projet'!$B$10,Paramètres!$A$1:$I$89,5,0)</f>
        <v>11.872612896942668</v>
      </c>
      <c r="AK15" s="14">
        <f t="shared" si="35"/>
        <v>4.1022411108131784</v>
      </c>
      <c r="AL15" s="22">
        <f t="shared" si="4"/>
        <v>27.822870730174767</v>
      </c>
      <c r="AM15" s="62">
        <f t="shared" si="5"/>
        <v>299.15620406350808</v>
      </c>
      <c r="AN15" s="62">
        <f ca="1">AVERAGE(OFFSET($AM$3,0,0,'Données projet'!$E$10+1,1))-AVERAGE(OFFSET($H$3,0,0,'Données projet'!$E$10+1,1))</f>
        <v>427.83662275523142</v>
      </c>
      <c r="AO15" s="62">
        <f t="shared" si="36"/>
        <v>240.19413322685813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2">
        <f t="shared" si="32"/>
        <v>2.6038492076799815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70">
        <f t="shared" si="1"/>
        <v>273.56405403670931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>
        <f>VLOOKUP(A16,'Données projet'!$A$35:$I$55,2,0)</f>
        <v>124</v>
      </c>
      <c r="L16" s="13">
        <f>VLOOKUP(A16,'Données projet'!$A$35:$I$55,9,0)</f>
        <v>24</v>
      </c>
      <c r="M16" s="13">
        <f t="array" ref="M16">INDEX(L:L,MIN(IF(ISNUMBER(L16:L212),ROW(L16:L212),"")))</f>
        <v>24</v>
      </c>
      <c r="N16" s="14">
        <f>IF('Données projet'!$A$36&gt;35,N15+M16-V15,IF(A16&lt;'Données projet'!$A$36,$K$205^A16,IF(A16='Données projet'!$A$36,'Données projet'!$B$36,N15+M16-V15)))</f>
        <v>124</v>
      </c>
      <c r="O16" s="14">
        <f>N16*VLOOKUP('Données projet'!$B$9,Paramètres!$A$1:$I$89,3,0)*VLOOKUP('Données projet'!$B$9,Paramètres!$A$1:$I$89,5,0)</f>
        <v>63.061440000000005</v>
      </c>
      <c r="P16" s="14">
        <f t="shared" si="33"/>
        <v>17.940041048051118</v>
      </c>
      <c r="Q16" s="22">
        <f t="shared" si="2"/>
        <v>141.07757949202235</v>
      </c>
      <c r="R16" s="62">
        <f t="shared" si="0"/>
        <v>413.63313504757787</v>
      </c>
      <c r="S16" s="62">
        <f ca="1">AVERAGE(OFFSET($R$3,0,0,'Données projet'!$E$9+1,1))-AVERAGE(OFFSET($H$3,0,0,'Données projet'!$E$9+1,1))</f>
        <v>83.735137603292344</v>
      </c>
      <c r="T16" s="62">
        <f t="shared" si="34"/>
        <v>277.23937202597483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3.65</v>
      </c>
      <c r="AI16" s="14">
        <f>IF('Données projet'!$A$62&gt;35,AI15+AH16-AQ15,IF(A16&lt;'Données projet'!$A$62,$AF$205^A16,IF(A16='Données projet'!$A$62,'Données projet'!$B$62,AI15+AH16-AQ15)))</f>
        <v>16.261472127148366</v>
      </c>
      <c r="AJ16" s="14">
        <f>AI16*VLOOKUP('Données projet'!$B$10,Paramètres!$A$1:$I$89,3,0)*VLOOKUP('Données projet'!$B$10,Paramètres!$A$1:$I$89,5,0)</f>
        <v>14.713379980643843</v>
      </c>
      <c r="AK16" s="14">
        <f t="shared" si="35"/>
        <v>4.9584140165447881</v>
      </c>
      <c r="AL16" s="22">
        <f t="shared" si="4"/>
        <v>34.261707878436859</v>
      </c>
      <c r="AM16" s="62">
        <f t="shared" si="5"/>
        <v>306.81726343399242</v>
      </c>
      <c r="AN16" s="62">
        <f ca="1">AVERAGE(OFFSET($AM$3,0,0,'Données projet'!$E$10+1,1))-AVERAGE(OFFSET($H$3,0,0,'Données projet'!$E$10+1,1))</f>
        <v>427.83662275523142</v>
      </c>
      <c r="AO16" s="62">
        <f t="shared" si="36"/>
        <v>240.19413322685813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2">
        <f t="shared" si="32"/>
        <v>2.7800603022041317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70">
        <f t="shared" si="1"/>
        <v>274.82190502633887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>
        <f>VLOOKUP(A17,'Données projet'!$A$35:$I$55,2,0)</f>
        <v>151</v>
      </c>
      <c r="L17" s="13">
        <f>VLOOKUP(A17,'Données projet'!$A$35:$I$55,9,0)</f>
        <v>27</v>
      </c>
      <c r="M17" s="13">
        <f t="array" ref="M17">INDEX(L:L,MIN(IF(ISNUMBER(L17:L213),ROW(L17:L213),"")))</f>
        <v>27</v>
      </c>
      <c r="N17" s="14">
        <f>IF('Données projet'!$A$36&gt;35,N16+M17-V16,IF(A17&lt;'Données projet'!$A$36,$K$205^A17,IF(A17='Données projet'!$A$36,'Données projet'!$B$36,N16+M17-V16)))</f>
        <v>151</v>
      </c>
      <c r="O17" s="14">
        <f>N17*VLOOKUP('Données projet'!$B$9,Paramètres!$A$1:$I$89,3,0)*VLOOKUP('Données projet'!$B$9,Paramètres!$A$1:$I$89,5,0)</f>
        <v>76.792559999999995</v>
      </c>
      <c r="P17" s="14">
        <f t="shared" si="33"/>
        <v>21.351090531806321</v>
      </c>
      <c r="Q17" s="22">
        <f t="shared" si="2"/>
        <v>170.93352467622933</v>
      </c>
      <c r="R17" s="62">
        <f t="shared" si="0"/>
        <v>444.71130245400707</v>
      </c>
      <c r="S17" s="62">
        <f ca="1">AVERAGE(OFFSET($R$3,0,0,'Données projet'!$E$9+1,1))-AVERAGE(OFFSET($H$3,0,0,'Données projet'!$E$9+1,1))</f>
        <v>83.735137603292344</v>
      </c>
      <c r="T17" s="62">
        <f t="shared" si="34"/>
        <v>277.23937202597483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3.65</v>
      </c>
      <c r="AI17" s="14">
        <f>IF('Données projet'!$A$62&gt;35,AI16+AH17-AQ16,IF(A17&lt;'Données projet'!$A$62,$AF$205^A17,IF(A17='Données projet'!$A$62,'Données projet'!$B$62,AI16+AH17-AQ16)))</f>
        <v>20.152364144963837</v>
      </c>
      <c r="AJ17" s="14">
        <f>AI17*VLOOKUP('Données projet'!$B$10,Paramètres!$A$1:$I$89,3,0)*VLOOKUP('Données projet'!$B$10,Paramètres!$A$1:$I$89,5,0)</f>
        <v>18.233859078363277</v>
      </c>
      <c r="AK17" s="14">
        <f t="shared" si="35"/>
        <v>5.9932775513027368</v>
      </c>
      <c r="AL17" s="22">
        <f t="shared" si="4"/>
        <v>42.195596296668306</v>
      </c>
      <c r="AM17" s="62">
        <f t="shared" si="5"/>
        <v>315.9733740744461</v>
      </c>
      <c r="AN17" s="62">
        <f ca="1">AVERAGE(OFFSET($AM$3,0,0,'Données projet'!$E$10+1,1))-AVERAGE(OFFSET($H$3,0,0,'Données projet'!$E$10+1,1))</f>
        <v>427.83662275523142</v>
      </c>
      <c r="AO17" s="62">
        <f t="shared" si="36"/>
        <v>240.19413322685813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2">
        <f t="shared" si="32"/>
        <v>2.9548110908066194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70">
        <f t="shared" si="1"/>
        <v>276.07721264982155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177</v>
      </c>
      <c r="L18" s="13">
        <f>VLOOKUP(A18,'Données projet'!$A$35:$I$55,9,0)</f>
        <v>26</v>
      </c>
      <c r="M18" s="13">
        <f t="array" ref="M18">INDEX(L:L,MIN(IF(ISNUMBER(L18:L214),ROW(L18:L214),"")))</f>
        <v>26</v>
      </c>
      <c r="N18" s="14">
        <f>IF('Données projet'!$A$36&gt;35,N17+M18-V17,IF(A18&lt;'Données projet'!$A$36,$K$205^A18,IF(A18='Données projet'!$A$36,'Données projet'!$B$36,N17+M18-V17)))</f>
        <v>177</v>
      </c>
      <c r="O18" s="14">
        <f>N18*VLOOKUP('Données projet'!$B$9,Paramètres!$A$1:$I$89,3,0)*VLOOKUP('Données projet'!$B$9,Paramètres!$A$1:$I$89,5,0)</f>
        <v>90.01512000000001</v>
      </c>
      <c r="P18" s="14">
        <f t="shared" si="33"/>
        <v>24.568871538168054</v>
      </c>
      <c r="Q18" s="22">
        <f t="shared" si="2"/>
        <v>199.56711859564268</v>
      </c>
      <c r="R18" s="62">
        <f t="shared" si="0"/>
        <v>474.56711859564268</v>
      </c>
      <c r="S18" s="62">
        <f ca="1">AVERAGE(OFFSET($R$3,0,0,'Données projet'!$E$9+1,1))-AVERAGE(OFFSET($H$3,0,0,'Données projet'!$E$9+1,1))</f>
        <v>83.735137603292344</v>
      </c>
      <c r="T18" s="62">
        <f t="shared" si="34"/>
        <v>277.23937202597483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3.65</v>
      </c>
      <c r="AI18" s="14">
        <f>IF('Données projet'!$A$62&gt;35,AI17+AH18-AQ17,IF(A18&lt;'Données projet'!$A$62,$AF$205^A18,IF(A18='Données projet'!$A$62,'Données projet'!$B$62,AI17+AH18-AQ17)))</f>
        <v>24.974232188561476</v>
      </c>
      <c r="AJ18" s="14">
        <f>AI18*VLOOKUP('Données projet'!$B$10,Paramètres!$A$1:$I$89,3,0)*VLOOKUP('Données projet'!$B$10,Paramètres!$A$1:$I$89,5,0)</f>
        <v>22.596685284210423</v>
      </c>
      <c r="AK18" s="14">
        <f t="shared" si="35"/>
        <v>7.2441259820371586</v>
      </c>
      <c r="AL18" s="22">
        <f t="shared" si="4"/>
        <v>51.972746288714539</v>
      </c>
      <c r="AM18" s="62">
        <f t="shared" si="5"/>
        <v>326.97274628871452</v>
      </c>
      <c r="AN18" s="62">
        <f ca="1">AVERAGE(OFFSET($AM$3,0,0,'Données projet'!$E$10+1,1))-AVERAGE(OFFSET($H$3,0,0,'Données projet'!$E$10+1,1))</f>
        <v>427.83662275523142</v>
      </c>
      <c r="AO18" s="62">
        <f t="shared" si="36"/>
        <v>240.19413322685813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2">
        <f t="shared" si="32"/>
        <v>3.1282100045396777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70">
        <f t="shared" si="1"/>
        <v>277.33016575790663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>
        <f>VLOOKUP(A19,'Données projet'!$A$35:$I$55,2,0)</f>
        <v>202</v>
      </c>
      <c r="L19" s="13">
        <f>VLOOKUP(A19,'Données projet'!$A$35:$I$55,9,0)</f>
        <v>25</v>
      </c>
      <c r="M19" s="13">
        <f t="array" ref="M19">INDEX(L:L,MIN(IF(ISNUMBER(L19:L215),ROW(L19:L215),"")))</f>
        <v>25</v>
      </c>
      <c r="N19" s="14">
        <f>IF('Données projet'!$A$36&gt;35,N18+M19-V18,IF(A19&lt;'Données projet'!$A$36,$K$205^A19,IF(A19='Données projet'!$A$36,'Données projet'!$B$36,N18+M19-V18)))</f>
        <v>202</v>
      </c>
      <c r="O19" s="14">
        <f>N19*VLOOKUP('Données projet'!$B$9,Paramètres!$A$1:$I$89,3,0)*VLOOKUP('Données projet'!$B$9,Paramètres!$A$1:$I$89,5,0)</f>
        <v>102.72912000000001</v>
      </c>
      <c r="P19" s="14">
        <f t="shared" si="33"/>
        <v>27.611150389514602</v>
      </c>
      <c r="Q19" s="22">
        <f t="shared" si="2"/>
        <v>227.00930426173795</v>
      </c>
      <c r="R19" s="62">
        <f t="shared" si="0"/>
        <v>503.23152648396018</v>
      </c>
      <c r="S19" s="62">
        <f ca="1">AVERAGE(OFFSET($R$3,0,0,'Données projet'!$E$9+1,1))-AVERAGE(OFFSET($H$3,0,0,'Données projet'!$E$9+1,1))</f>
        <v>83.735137603292344</v>
      </c>
      <c r="T19" s="62">
        <f t="shared" si="34"/>
        <v>277.23937202597483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3.65</v>
      </c>
      <c r="AI19" s="14">
        <f>IF('Données projet'!$A$62&gt;35,AI18+AH19-AQ18,IF(A19&lt;'Données projet'!$A$62,$AF$205^A19,IF(A19='Données projet'!$A$62,'Données projet'!$B$62,AI18+AH19-AQ18)))</f>
        <v>30.949831440200953</v>
      </c>
      <c r="AJ19" s="14">
        <f>AI19*VLOOKUP('Données projet'!$B$10,Paramètres!$A$1:$I$89,3,0)*VLOOKUP('Données projet'!$B$10,Paramètres!$A$1:$I$89,5,0)</f>
        <v>28.003407487093821</v>
      </c>
      <c r="AK19" s="14">
        <f t="shared" si="35"/>
        <v>8.7560372090925433</v>
      </c>
      <c r="AL19" s="22">
        <f t="shared" si="4"/>
        <v>64.022699512524582</v>
      </c>
      <c r="AM19" s="62">
        <f t="shared" si="5"/>
        <v>340.24492173474681</v>
      </c>
      <c r="AN19" s="62">
        <f ca="1">AVERAGE(OFFSET($AM$3,0,0,'Données projet'!$E$10+1,1))-AVERAGE(OFFSET($H$3,0,0,'Données projet'!$E$10+1,1))</f>
        <v>427.83662275523142</v>
      </c>
      <c r="AO19" s="62">
        <f t="shared" si="36"/>
        <v>240.19413322685813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2">
        <f t="shared" si="32"/>
        <v>3.3003511545061563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70">
        <f t="shared" si="1"/>
        <v>278.58092826076489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226</v>
      </c>
      <c r="L20" s="13">
        <f>VLOOKUP(A20,'Données projet'!$A$35:$I$55,9,0)</f>
        <v>24</v>
      </c>
      <c r="M20" s="13">
        <f t="array" ref="M20">INDEX(L:L,MIN(IF(ISNUMBER(L20:L216),ROW(L20:L216),"")))</f>
        <v>24</v>
      </c>
      <c r="N20" s="14">
        <f>IF('Données projet'!$A$36&gt;35,N19+M20-V19,IF(A20&lt;'Données projet'!$A$36,$K$205^A20,IF(A20='Données projet'!$A$36,'Données projet'!$B$36,N19+M20-V19)))</f>
        <v>226</v>
      </c>
      <c r="O20" s="14">
        <f>N20*VLOOKUP('Données projet'!$B$9,Paramètres!$A$1:$I$89,3,0)*VLOOKUP('Données projet'!$B$9,Paramètres!$A$1:$I$89,5,0)</f>
        <v>114.93456</v>
      </c>
      <c r="P20" s="14">
        <f t="shared" si="33"/>
        <v>30.490619492675087</v>
      </c>
      <c r="Q20" s="22">
        <f t="shared" si="2"/>
        <v>253.28218761640912</v>
      </c>
      <c r="R20" s="62">
        <f t="shared" si="0"/>
        <v>530.7266320608536</v>
      </c>
      <c r="S20" s="62">
        <f ca="1">AVERAGE(OFFSET($R$3,0,0,'Données projet'!$E$9+1,1))-AVERAGE(OFFSET($H$3,0,0,'Données projet'!$E$9+1,1))</f>
        <v>83.735137603292344</v>
      </c>
      <c r="T20" s="62">
        <f t="shared" si="34"/>
        <v>277.23937202597483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3.65</v>
      </c>
      <c r="AI20" s="14">
        <f>IF('Données projet'!$A$62&gt;35,AI19+AH20-AQ19,IF(A20&lt;'Données projet'!$A$62,$AF$205^A20,IF(A20='Données projet'!$A$62,'Données projet'!$B$62,AI19+AH20-AQ19)))</f>
        <v>38.355215845858055</v>
      </c>
      <c r="AJ20" s="14">
        <f>AI20*VLOOKUP('Données projet'!$B$10,Paramètres!$A$1:$I$89,3,0)*VLOOKUP('Données projet'!$B$10,Paramètres!$A$1:$I$89,5,0)</f>
        <v>34.703799297332367</v>
      </c>
      <c r="AK20" s="14">
        <f t="shared" si="35"/>
        <v>10.583497277259243</v>
      </c>
      <c r="AL20" s="22">
        <f t="shared" si="4"/>
        <v>78.875374867413711</v>
      </c>
      <c r="AM20" s="62">
        <f t="shared" si="5"/>
        <v>356.31981931185817</v>
      </c>
      <c r="AN20" s="62">
        <f ca="1">AVERAGE(OFFSET($AM$3,0,0,'Données projet'!$E$10+1,1))-AVERAGE(OFFSET($H$3,0,0,'Données projet'!$E$10+1,1))</f>
        <v>427.83662275523142</v>
      </c>
      <c r="AO20" s="62">
        <f t="shared" si="36"/>
        <v>240.19413322685813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2">
        <f t="shared" si="32"/>
        <v>3.4713169544550633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70">
        <f t="shared" si="1"/>
        <v>279.82964369567594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>
        <f>VLOOKUP(A21,'Données projet'!$A$35:$I$55,2,0)</f>
        <v>249</v>
      </c>
      <c r="L21" s="13">
        <f>VLOOKUP(A21,'Données projet'!$A$35:$I$55,9,0)</f>
        <v>23</v>
      </c>
      <c r="M21" s="13">
        <f t="array" ref="M21">INDEX(L:L,MIN(IF(ISNUMBER(L21:L217),ROW(L21:L217),"")))</f>
        <v>23</v>
      </c>
      <c r="N21" s="14">
        <f>IF('Données projet'!$A$36&gt;35,N20+M21-V20,IF(A21&lt;'Données projet'!$A$36,$K$205^A21,IF(A21='Données projet'!$A$36,'Données projet'!$B$36,N20+M21-V20)))</f>
        <v>249</v>
      </c>
      <c r="O21" s="14">
        <f>N21*VLOOKUP('Données projet'!$B$9,Paramètres!$A$1:$I$89,3,0)*VLOOKUP('Données projet'!$B$9,Paramètres!$A$1:$I$89,5,0)</f>
        <v>126.63144000000001</v>
      </c>
      <c r="P21" s="14">
        <f t="shared" si="33"/>
        <v>33.216798691856866</v>
      </c>
      <c r="Q21" s="22">
        <f t="shared" si="2"/>
        <v>278.40234905498409</v>
      </c>
      <c r="R21" s="62">
        <f t="shared" si="0"/>
        <v>557.06901572165077</v>
      </c>
      <c r="S21" s="62">
        <f ca="1">AVERAGE(OFFSET($R$3,0,0,'Données projet'!$E$9+1,1))-AVERAGE(OFFSET($H$3,0,0,'Données projet'!$E$9+1,1))</f>
        <v>83.735137603292344</v>
      </c>
      <c r="T21" s="62">
        <f t="shared" si="34"/>
        <v>277.23937202597483</v>
      </c>
      <c r="U21" s="16">
        <f>IF(ISNA(VLOOKUP(A21,'Données projet'!$A$35:$I$55,3,0)),0,VLOOKUP(A21,'Données projet'!$A$35:$I$55,3,0))</f>
        <v>1</v>
      </c>
      <c r="V21" s="16">
        <f>IF(ISNA(VLOOKUP(A21,'Données projet'!$A$35:$I$55,4,0)),0,VLOOKUP(A21,'Données projet'!$A$35:$I$55,4,0))</f>
        <v>249</v>
      </c>
      <c r="W21" s="17">
        <f>IF(ISNA(VLOOKUP(A21,'Données projet'!$A$35:$I$55,5,0)),0%,VLOOKUP(A21,'Données projet'!$A$35:$I$55,5,0)*VLOOKUP('Données projet'!$B$9,Paramètres!$A$1:$I$89,7,0))</f>
        <v>0.432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0.14000000000000001</v>
      </c>
      <c r="Z21" s="23">
        <f>EXP(-LN(2)/35)*Z20+(1-EXP(-LN(2)/35))/(LN(2)/35)*V21*W21*VLOOKUP('Données projet'!$B$9,Paramètres!$A$1:$I$89,3,0)*0.475*44/12</f>
        <v>60.474516208244921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16.727224062533232</v>
      </c>
      <c r="AC21" s="24">
        <f t="shared" si="3"/>
        <v>77.201740270778146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3.65</v>
      </c>
      <c r="AI21" s="14">
        <f>IF('Données projet'!$A$62&gt;35,AI20+AH21-AQ20,IF(A21&lt;'Données projet'!$A$62,$AF$205^A21,IF(A21='Données projet'!$A$62,'Données projet'!$B$62,AI20+AH21-AQ20)))</f>
        <v>47.532490941824946</v>
      </c>
      <c r="AJ21" s="14">
        <f>AI21*VLOOKUP('Données projet'!$B$10,Paramètres!$A$1:$I$89,3,0)*VLOOKUP('Données projet'!$B$10,Paramètres!$A$1:$I$89,5,0)</f>
        <v>43.007397804163212</v>
      </c>
      <c r="AK21" s="14">
        <f t="shared" si="35"/>
        <v>12.792363936215189</v>
      </c>
      <c r="AL21" s="22">
        <f t="shared" si="4"/>
        <v>97.184585031159045</v>
      </c>
      <c r="AM21" s="62">
        <f t="shared" si="5"/>
        <v>375.85125169782572</v>
      </c>
      <c r="AN21" s="62">
        <f ca="1">AVERAGE(OFFSET($AM$3,0,0,'Données projet'!$E$10+1,1))-AVERAGE(OFFSET($H$3,0,0,'Données projet'!$E$10+1,1))</f>
        <v>427.83662275523142</v>
      </c>
      <c r="AO21" s="62">
        <f t="shared" si="36"/>
        <v>240.19413322685813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2">
        <f t="shared" si="32"/>
        <v>3.6411801438697724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70">
        <f t="shared" si="1"/>
        <v>281.07643875057323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0</v>
      </c>
      <c r="N22" s="14">
        <f>IF('Données projet'!$A$36&gt;35,N21+M22-V21,IF(A22&lt;'Données projet'!$A$36,$K$205^A22,IF(A22='Données projet'!$A$36,'Données projet'!$B$36,N21+M22-V21)))</f>
        <v>0</v>
      </c>
      <c r="O22" s="14">
        <f>N22*VLOOKUP('Données projet'!$B$9,Paramètres!$A$1:$I$89,3,0)*VLOOKUP('Données projet'!$B$9,Paramètres!$A$1:$I$89,5,0)</f>
        <v>0</v>
      </c>
      <c r="P22" s="14" t="e">
        <f t="shared" si="33"/>
        <v>#NUM!</v>
      </c>
      <c r="Q22" s="22" t="e">
        <f t="shared" si="2"/>
        <v>#NUM!</v>
      </c>
      <c r="R22" s="62" t="e">
        <f t="shared" si="0"/>
        <v>#NUM!</v>
      </c>
      <c r="S22" s="62">
        <f ca="1">AVERAGE(OFFSET($R$3,0,0,'Données projet'!$E$9+1,1))-AVERAGE(OFFSET($H$3,0,0,'Données projet'!$E$9+1,1))</f>
        <v>83.735137603292344</v>
      </c>
      <c r="T22" s="62">
        <f t="shared" si="34"/>
        <v>277.23937202597483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59.288647831213957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11.82793356504404</v>
      </c>
      <c r="AC22" s="24">
        <f t="shared" si="3"/>
        <v>71.116581396257999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3.65</v>
      </c>
      <c r="AI22" s="14">
        <f>IF('Données projet'!$A$62&gt;35,AI21+AH22-AQ21,IF(A22&lt;'Données projet'!$A$62,$AF$205^A22,IF(A22='Données projet'!$A$62,'Données projet'!$B$62,AI21+AH22-AQ21)))</f>
        <v>58.90561805764559</v>
      </c>
      <c r="AJ22" s="14">
        <f>AI22*VLOOKUP('Données projet'!$B$10,Paramètres!$A$1:$I$89,3,0)*VLOOKUP('Données projet'!$B$10,Paramètres!$A$1:$I$89,5,0)</f>
        <v>53.297803218557732</v>
      </c>
      <c r="AK22" s="14">
        <f t="shared" si="35"/>
        <v>15.462240012873817</v>
      </c>
      <c r="AL22" s="22">
        <f t="shared" si="4"/>
        <v>119.75707529474329</v>
      </c>
      <c r="AM22" s="62">
        <f t="shared" si="5"/>
        <v>399.64596418363215</v>
      </c>
      <c r="AN22" s="62">
        <f ca="1">AVERAGE(OFFSET($AM$3,0,0,'Données projet'!$E$10+1,1))-AVERAGE(OFFSET($H$3,0,0,'Données projet'!$E$10+1,1))</f>
        <v>427.83662275523142</v>
      </c>
      <c r="AO22" s="62">
        <f t="shared" si="36"/>
        <v>240.19413322685813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2">
        <f t="shared" si="32"/>
        <v>3.810005372992582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70">
        <f t="shared" si="1"/>
        <v>282.32142602462875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0</v>
      </c>
      <c r="N23" s="14">
        <f>IF('Données projet'!$A$36&gt;35,N22+M23-V22,IF(A23&lt;'Données projet'!$A$36,$K$205^A23,IF(A23='Données projet'!$A$36,'Données projet'!$B$36,N22+M23-V22)))</f>
        <v>0</v>
      </c>
      <c r="O23" s="14">
        <f>N23*VLOOKUP('Données projet'!$B$9,Paramètres!$A$1:$I$89,3,0)*VLOOKUP('Données projet'!$B$9,Paramètres!$A$1:$I$89,5,0)</f>
        <v>0</v>
      </c>
      <c r="P23" s="14" t="e">
        <f t="shared" si="33"/>
        <v>#NUM!</v>
      </c>
      <c r="Q23" s="22" t="e">
        <f t="shared" si="2"/>
        <v>#NUM!</v>
      </c>
      <c r="R23" s="62" t="e">
        <f t="shared" si="0"/>
        <v>#NUM!</v>
      </c>
      <c r="S23" s="62">
        <f ca="1">AVERAGE(OFFSET($R$3,0,0,'Données projet'!$E$9+1,1))-AVERAGE(OFFSET($H$3,0,0,'Données projet'!$E$9+1,1))</f>
        <v>83.735137603292344</v>
      </c>
      <c r="T23" s="62">
        <f t="shared" si="34"/>
        <v>277.23937202597483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58.126033609748276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8.3636120312666176</v>
      </c>
      <c r="AC23" s="24">
        <f t="shared" si="3"/>
        <v>66.489645641014889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73</v>
      </c>
      <c r="AG23" s="13">
        <f>VLOOKUP(A23,'Données projet'!$A$61:$I$81,9,0)</f>
        <v>3.65</v>
      </c>
      <c r="AH23" s="13">
        <f t="array" ref="AH23">INDEX(AG:AG,MIN(IF(ISNUMBER(AG23:AG219),ROW(AG23:AG219),"")))</f>
        <v>3.65</v>
      </c>
      <c r="AI23" s="14">
        <f>IF('Données projet'!$A$62&gt;35,AI22+AH23-AQ22,IF(A23&lt;'Données projet'!$A$62,$AF$205^A23,IF(A23='Données projet'!$A$62,'Données projet'!$B$62,AI22+AH23-AQ22)))</f>
        <v>73</v>
      </c>
      <c r="AJ23" s="14">
        <f>AI23*VLOOKUP('Données projet'!$B$10,Paramètres!$A$1:$I$89,3,0)*VLOOKUP('Données projet'!$B$10,Paramètres!$A$1:$I$89,5,0)</f>
        <v>66.050399999999996</v>
      </c>
      <c r="AK23" s="14">
        <f t="shared" si="35"/>
        <v>18.689342126897891</v>
      </c>
      <c r="AL23" s="22">
        <f t="shared" si="4"/>
        <v>147.58838420434714</v>
      </c>
      <c r="AM23" s="62">
        <f t="shared" si="5"/>
        <v>428.69949531545831</v>
      </c>
      <c r="AN23" s="62">
        <f ca="1">AVERAGE(OFFSET($AM$3,0,0,'Données projet'!$E$10+1,1))-AVERAGE(OFFSET($H$3,0,0,'Données projet'!$E$10+1,1))</f>
        <v>427.83662275523142</v>
      </c>
      <c r="AO23" s="62">
        <f t="shared" si="36"/>
        <v>240.19413322685813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2">
        <f t="shared" si="32"/>
        <v>3.9778504618356041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70">
        <f t="shared" si="1"/>
        <v>283.56470622103035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83.735137603292344</v>
      </c>
      <c r="T24" s="62">
        <f t="shared" si="34"/>
        <v>277.23937202597483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56.986217544040883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5.9139667825220208</v>
      </c>
      <c r="AC24" s="24">
        <f t="shared" si="3"/>
        <v>62.900184326562908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7.2</v>
      </c>
      <c r="AI24" s="14">
        <f>IF('Données projet'!$A$62&gt;35,AI23+AH24-AQ23,IF(A24&lt;'Données projet'!$A$62,$AF$205^A24,IF(A24='Données projet'!$A$62,'Données projet'!$B$62,AI23+AH24-AQ23)))</f>
        <v>80.2</v>
      </c>
      <c r="AJ24" s="14">
        <f>AI24*VLOOKUP('Données projet'!$B$10,Paramètres!$A$1:$I$89,3,0)*VLOOKUP('Données projet'!$B$10,Paramètres!$A$1:$I$89,5,0)</f>
        <v>72.564959999999999</v>
      </c>
      <c r="AK24" s="14">
        <f t="shared" si="35"/>
        <v>20.30908732150932</v>
      </c>
      <c r="AL24" s="22">
        <f t="shared" si="4"/>
        <v>161.75563241829539</v>
      </c>
      <c r="AM24" s="62">
        <f t="shared" si="5"/>
        <v>444.08896575162873</v>
      </c>
      <c r="AN24" s="62">
        <f ca="1">AVERAGE(OFFSET($AM$3,0,0,'Données projet'!$E$10+1,1))-AVERAGE(OFFSET($H$3,0,0,'Données projet'!$E$10+1,1))</f>
        <v>427.83662275523142</v>
      </c>
      <c r="AO24" s="62">
        <f t="shared" si="36"/>
        <v>240.19413322685813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2">
        <f t="shared" si="32"/>
        <v>4.1447674125853915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70">
        <f t="shared" si="1"/>
        <v>284.8063699102529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83.735137603292344</v>
      </c>
      <c r="T25" s="62">
        <f t="shared" si="34"/>
        <v>277.23937202597483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55.868752576162862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4.1818060156333097</v>
      </c>
      <c r="AC25" s="24">
        <f t="shared" si="3"/>
        <v>60.050558591796175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7.2</v>
      </c>
      <c r="AI25" s="14">
        <f>IF('Données projet'!$A$62&gt;35,AI24+AH25-AQ24,IF(A25&lt;'Données projet'!$A$62,$AF$205^A25,IF(A25='Données projet'!$A$62,'Données projet'!$B$62,AI24+AH25-AQ24)))</f>
        <v>87.4</v>
      </c>
      <c r="AJ25" s="14">
        <f>AI25*VLOOKUP('Données projet'!$B$10,Paramètres!$A$1:$I$89,3,0)*VLOOKUP('Données projet'!$B$10,Paramètres!$A$1:$I$89,5,0)</f>
        <v>79.079520000000002</v>
      </c>
      <c r="AK25" s="14">
        <f t="shared" si="35"/>
        <v>21.911970621402002</v>
      </c>
      <c r="AL25" s="22">
        <f t="shared" si="4"/>
        <v>175.89351283227515</v>
      </c>
      <c r="AM25" s="62">
        <f t="shared" si="5"/>
        <v>459.44906838783072</v>
      </c>
      <c r="AN25" s="62">
        <f ca="1">AVERAGE(OFFSET($AM$3,0,0,'Données projet'!$E$10+1,1))-AVERAGE(OFFSET($H$3,0,0,'Données projet'!$E$10+1,1))</f>
        <v>427.83662275523142</v>
      </c>
      <c r="AO25" s="62">
        <f t="shared" si="36"/>
        <v>240.19413322685813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2">
        <f t="shared" si="32"/>
        <v>4.3108032327306516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70">
        <f t="shared" si="1"/>
        <v>286.04649896367255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83.735137603292344</v>
      </c>
      <c r="T26" s="62">
        <f t="shared" si="34"/>
        <v>277.23937202597483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54.773200414718595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2.9569833912610108</v>
      </c>
      <c r="AC26" s="24">
        <f t="shared" si="3"/>
        <v>57.730183805979607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7.2</v>
      </c>
      <c r="AI26" s="14">
        <f>IF('Données projet'!$A$62&gt;35,AI25+AH26-AQ25,IF(A26&lt;'Données projet'!$A$62,$AF$205^A26,IF(A26='Données projet'!$A$62,'Données projet'!$B$62,AI25+AH26-AQ25)))</f>
        <v>94.600000000000009</v>
      </c>
      <c r="AJ26" s="14">
        <f>AI26*VLOOKUP('Données projet'!$B$10,Paramètres!$A$1:$I$89,3,0)*VLOOKUP('Données projet'!$B$10,Paramètres!$A$1:$I$89,5,0)</f>
        <v>85.594080000000005</v>
      </c>
      <c r="AK26" s="14">
        <f t="shared" si="35"/>
        <v>23.499539031833248</v>
      </c>
      <c r="AL26" s="22">
        <f t="shared" si="4"/>
        <v>190.00471981377623</v>
      </c>
      <c r="AM26" s="62">
        <f t="shared" si="5"/>
        <v>474.78249759155403</v>
      </c>
      <c r="AN26" s="62">
        <f ca="1">AVERAGE(OFFSET($AM$3,0,0,'Données projet'!$E$10+1,1))-AVERAGE(OFFSET($H$3,0,0,'Données projet'!$E$10+1,1))</f>
        <v>427.83662275523142</v>
      </c>
      <c r="AO26" s="62">
        <f t="shared" si="36"/>
        <v>240.19413322685813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2">
        <f t="shared" si="32"/>
        <v>4.4760006109979766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70">
        <f t="shared" si="1"/>
        <v>287.28516773082151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83.735137603292344</v>
      </c>
      <c r="T27" s="62">
        <f t="shared" si="34"/>
        <v>277.23937202597483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53.699131362939418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2.0909030078166548</v>
      </c>
      <c r="AC27" s="24">
        <f t="shared" si="3"/>
        <v>55.790034370756075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7.2</v>
      </c>
      <c r="AI27" s="14">
        <f>IF('Données projet'!$A$62&gt;35,AI26+AH27-AQ26,IF(A27&lt;'Données projet'!$A$62,$AF$205^A27,IF(A27='Données projet'!$A$62,'Données projet'!$B$62,AI26+AH27-AQ26)))</f>
        <v>101.80000000000001</v>
      </c>
      <c r="AJ27" s="14">
        <f>AI27*VLOOKUP('Données projet'!$B$10,Paramètres!$A$1:$I$89,3,0)*VLOOKUP('Données projet'!$B$10,Paramètres!$A$1:$I$89,5,0)</f>
        <v>92.108640000000008</v>
      </c>
      <c r="AK27" s="14">
        <f t="shared" si="35"/>
        <v>25.073090701604293</v>
      </c>
      <c r="AL27" s="22">
        <f t="shared" si="4"/>
        <v>204.09151430529414</v>
      </c>
      <c r="AM27" s="62">
        <f t="shared" si="5"/>
        <v>490.09151430529414</v>
      </c>
      <c r="AN27" s="62">
        <f ca="1">AVERAGE(OFFSET($AM$3,0,0,'Données projet'!$E$10+1,1))-AVERAGE(OFFSET($H$3,0,0,'Données projet'!$E$10+1,1))</f>
        <v>427.83662275523142</v>
      </c>
      <c r="AO27" s="62">
        <f t="shared" si="36"/>
        <v>240.19413322685813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2">
        <f t="shared" si="32"/>
        <v>4.6403984774572109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70">
        <f t="shared" si="1"/>
        <v>288.52244401490464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83.735137603292344</v>
      </c>
      <c r="T28" s="62">
        <f t="shared" si="34"/>
        <v>277.23937202597483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52.646124150148196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1.4784916956305054</v>
      </c>
      <c r="AC28" s="24">
        <f t="shared" si="3"/>
        <v>54.124615845778699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109</v>
      </c>
      <c r="AG28" s="13">
        <f>VLOOKUP(A28,'Données projet'!$A$61:$I$81,9,0)</f>
        <v>7.2</v>
      </c>
      <c r="AH28" s="13">
        <f t="array" ref="AH28">INDEX(AG:AG,MIN(IF(ISNUMBER(AG28:AG224),ROW(AG28:AG224),"")))</f>
        <v>7.2</v>
      </c>
      <c r="AI28" s="14">
        <f>IF('Données projet'!$A$62&gt;35,AI27+AH28-AQ27,IF(A28&lt;'Données projet'!$A$62,$AF$205^A28,IF(A28='Données projet'!$A$62,'Données projet'!$B$62,AI27+AH28-AQ27)))</f>
        <v>109.00000000000001</v>
      </c>
      <c r="AJ28" s="14">
        <f>AI28*VLOOKUP('Données projet'!$B$10,Paramètres!$A$1:$I$89,3,0)*VLOOKUP('Données projet'!$B$10,Paramètres!$A$1:$I$89,5,0)</f>
        <v>98.623200000000011</v>
      </c>
      <c r="AK28" s="14">
        <f t="shared" si="35"/>
        <v>26.633729748944933</v>
      </c>
      <c r="AL28" s="22">
        <f t="shared" si="4"/>
        <v>218.15581931274576</v>
      </c>
      <c r="AM28" s="62">
        <f t="shared" si="5"/>
        <v>505.37804153496802</v>
      </c>
      <c r="AN28" s="62">
        <f ca="1">AVERAGE(OFFSET($AM$3,0,0,'Données projet'!$E$10+1,1))-AVERAGE(OFFSET($H$3,0,0,'Données projet'!$E$10+1,1))</f>
        <v>427.83662275523142</v>
      </c>
      <c r="AO28" s="62">
        <f t="shared" si="36"/>
        <v>240.19413322685813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34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2">
        <f t="shared" si="32"/>
        <v>4.8040324714872957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70">
        <f t="shared" si="1"/>
        <v>289.75838988784039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83.735137603292344</v>
      </c>
      <c r="T29" s="62">
        <f t="shared" si="34"/>
        <v>277.23937202597483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51.613765766528829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1.0454515039083274</v>
      </c>
      <c r="AC29" s="24">
        <f t="shared" si="3"/>
        <v>52.659217270437154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9.1999999999999993</v>
      </c>
      <c r="AI29" s="14">
        <f>IF('Données projet'!$A$62&gt;35,AI28+AH29-AQ28,IF(A29&lt;'Données projet'!$A$62,$AF$205^A29,IF(A29='Données projet'!$A$62,'Données projet'!$B$62,AI28+AH29-AQ28)))</f>
        <v>84.200000000000017</v>
      </c>
      <c r="AJ29" s="14">
        <f>AI29*VLOOKUP('Données projet'!$B$10,Paramètres!$A$1:$I$89,3,0)*VLOOKUP('Données projet'!$B$10,Paramètres!$A$1:$I$89,5,0)</f>
        <v>76.184160000000006</v>
      </c>
      <c r="AK29" s="14">
        <f t="shared" si="35"/>
        <v>21.201554232857223</v>
      </c>
      <c r="AL29" s="22">
        <f t="shared" si="4"/>
        <v>169.613452288893</v>
      </c>
      <c r="AM29" s="62">
        <f t="shared" si="5"/>
        <v>458.05789673333743</v>
      </c>
      <c r="AN29" s="62">
        <f ca="1">AVERAGE(OFFSET($AM$3,0,0,'Données projet'!$E$10+1,1))-AVERAGE(OFFSET($H$3,0,0,'Données projet'!$E$10+1,1))</f>
        <v>427.83662275523142</v>
      </c>
      <c r="AO29" s="62">
        <f t="shared" si="36"/>
        <v>240.19413322685813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2">
        <f t="shared" si="32"/>
        <v>4.9669353357224146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70">
        <f t="shared" si="1"/>
        <v>290.99306237638319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83.735137603292344</v>
      </c>
      <c r="T30" s="62">
        <f t="shared" si="34"/>
        <v>277.23937202597483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50.601651301135796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0.73924584781525271</v>
      </c>
      <c r="AC30" s="24">
        <f t="shared" si="3"/>
        <v>51.340897148951051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9.1999999999999993</v>
      </c>
      <c r="AI30" s="14">
        <f>IF('Données projet'!$A$62&gt;35,AI29+AH30-AQ29,IF(A30&lt;'Données projet'!$A$62,$AF$205^A30,IF(A30='Données projet'!$A$62,'Données projet'!$B$62,AI29+AH30-AQ29)))</f>
        <v>93.40000000000002</v>
      </c>
      <c r="AJ30" s="14">
        <f>AI30*VLOOKUP('Données projet'!$B$10,Paramètres!$A$1:$I$89,3,0)*VLOOKUP('Données projet'!$B$10,Paramètres!$A$1:$I$89,5,0)</f>
        <v>84.508320000000026</v>
      </c>
      <c r="AK30" s="14">
        <f t="shared" si="35"/>
        <v>23.235950088324714</v>
      </c>
      <c r="AL30" s="22">
        <f t="shared" si="4"/>
        <v>187.65460373716556</v>
      </c>
      <c r="AM30" s="62">
        <f t="shared" si="5"/>
        <v>477.32127040383227</v>
      </c>
      <c r="AN30" s="62">
        <f ca="1">AVERAGE(OFFSET($AM$3,0,0,'Données projet'!$E$10+1,1))-AVERAGE(OFFSET($H$3,0,0,'Données projet'!$E$10+1,1))</f>
        <v>427.83662275523142</v>
      </c>
      <c r="AO30" s="62">
        <f t="shared" si="36"/>
        <v>240.19413322685813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2">
        <f t="shared" si="32"/>
        <v>5.1291372499950274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70">
        <f t="shared" si="1"/>
        <v>292.22651404374136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83.735137603292344</v>
      </c>
      <c r="T31" s="62">
        <f t="shared" si="34"/>
        <v>277.23937202597483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49.609383783080254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0.52272575195416371</v>
      </c>
      <c r="AC31" s="24">
        <f t="shared" si="3"/>
        <v>50.132109535034417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9.1999999999999993</v>
      </c>
      <c r="AI31" s="14">
        <f>IF('Données projet'!$A$62&gt;35,AI30+AH31-AQ30,IF(A31&lt;'Données projet'!$A$62,$AF$205^A31,IF(A31='Données projet'!$A$62,'Données projet'!$B$62,AI30+AH31-AQ30)))</f>
        <v>102.60000000000002</v>
      </c>
      <c r="AJ31" s="14">
        <f>AI31*VLOOKUP('Données projet'!$B$10,Paramètres!$A$1:$I$89,3,0)*VLOOKUP('Données projet'!$B$10,Paramètres!$A$1:$I$89,5,0)</f>
        <v>92.832480000000018</v>
      </c>
      <c r="AK31" s="14">
        <f t="shared" si="35"/>
        <v>25.247114117480137</v>
      </c>
      <c r="AL31" s="22">
        <f t="shared" si="4"/>
        <v>205.65529308794461</v>
      </c>
      <c r="AM31" s="62">
        <f t="shared" si="5"/>
        <v>496.54418197683344</v>
      </c>
      <c r="AN31" s="62">
        <f ca="1">AVERAGE(OFFSET($AM$3,0,0,'Données projet'!$E$10+1,1))-AVERAGE(OFFSET($H$3,0,0,'Données projet'!$E$10+1,1))</f>
        <v>427.83662275523142</v>
      </c>
      <c r="AO31" s="62">
        <f t="shared" si="36"/>
        <v>240.19413322685813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2">
        <f t="shared" si="32"/>
        <v>5.2906661162322051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70">
        <f t="shared" si="1"/>
        <v>293.45879348577108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83.735137603292344</v>
      </c>
      <c r="T32" s="62">
        <f t="shared" si="34"/>
        <v>277.23937202597483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48.636574025830356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0.36962292390762636</v>
      </c>
      <c r="AC32" s="24">
        <f t="shared" si="3"/>
        <v>49.006196949737983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9.1999999999999993</v>
      </c>
      <c r="AI32" s="14">
        <f>IF('Données projet'!$A$62&gt;35,AI31+AH32-AQ31,IF(A32&lt;'Données projet'!$A$62,$AF$205^A32,IF(A32='Données projet'!$A$62,'Données projet'!$B$62,AI31+AH32-AQ31)))</f>
        <v>111.80000000000003</v>
      </c>
      <c r="AJ32" s="14">
        <f>AI32*VLOOKUP('Données projet'!$B$10,Paramètres!$A$1:$I$89,3,0)*VLOOKUP('Données projet'!$B$10,Paramètres!$A$1:$I$89,5,0)</f>
        <v>101.15664000000001</v>
      </c>
      <c r="AK32" s="14">
        <f t="shared" si="35"/>
        <v>27.237366379381644</v>
      </c>
      <c r="AL32" s="22">
        <f t="shared" si="4"/>
        <v>223.61956111075639</v>
      </c>
      <c r="AM32" s="62">
        <f t="shared" si="5"/>
        <v>515.73067222186751</v>
      </c>
      <c r="AN32" s="62">
        <f ca="1">AVERAGE(OFFSET($AM$3,0,0,'Données projet'!$E$10+1,1))-AVERAGE(OFFSET($H$3,0,0,'Données projet'!$E$10+1,1))</f>
        <v>427.83662275523142</v>
      </c>
      <c r="AO32" s="62">
        <f t="shared" si="36"/>
        <v>240.19413322685813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2">
        <f t="shared" si="32"/>
        <v>5.4515478029518807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70">
        <f t="shared" si="1"/>
        <v>294.68994575680784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83.735137603292344</v>
      </c>
      <c r="T33" s="62">
        <f t="shared" si="34"/>
        <v>277.23937202597483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47.682840474564763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0.26136287597708185</v>
      </c>
      <c r="AC33" s="24">
        <f t="shared" si="3"/>
        <v>47.944203350541848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121</v>
      </c>
      <c r="AG33" s="13">
        <f>VLOOKUP(A33,'Données projet'!$A$61:$I$81,9,0)</f>
        <v>9.1999999999999993</v>
      </c>
      <c r="AH33" s="13">
        <f t="array" ref="AH33">INDEX(AG:AG,MIN(IF(ISNUMBER(AG33:AG229),ROW(AG33:AG229),"")))</f>
        <v>9.1999999999999993</v>
      </c>
      <c r="AI33" s="14">
        <f>IF('Données projet'!$A$62&gt;35,AI32+AH33-AQ32,IF(A33&lt;'Données projet'!$A$62,$AF$205^A33,IF(A33='Données projet'!$A$62,'Données projet'!$B$62,AI32+AH33-AQ32)))</f>
        <v>121.00000000000003</v>
      </c>
      <c r="AJ33" s="14">
        <f>AI33*VLOOKUP('Données projet'!$B$10,Paramètres!$A$1:$I$89,3,0)*VLOOKUP('Données projet'!$B$10,Paramètres!$A$1:$I$89,5,0)</f>
        <v>109.48080000000002</v>
      </c>
      <c r="AK33" s="14">
        <f t="shared" si="35"/>
        <v>29.208623339903898</v>
      </c>
      <c r="AL33" s="22">
        <f t="shared" si="4"/>
        <v>241.55074565033269</v>
      </c>
      <c r="AM33" s="62">
        <f t="shared" si="5"/>
        <v>534.88407898366597</v>
      </c>
      <c r="AN33" s="62">
        <f ca="1">AVERAGE(OFFSET($AM$3,0,0,'Données projet'!$E$10+1,1))-AVERAGE(OFFSET($H$3,0,0,'Données projet'!$E$10+1,1))</f>
        <v>427.83662275523142</v>
      </c>
      <c r="AO33" s="62">
        <f t="shared" si="36"/>
        <v>240.19413322685813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2">
        <f t="shared" si="32"/>
        <v>5.6118063562438518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70">
        <f t="shared" si="1"/>
        <v>295.92001273712469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83.735137603292344</v>
      </c>
      <c r="T34" s="62">
        <f t="shared" si="34"/>
        <v>277.23937202597483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46.747809056519465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0.18481146195381318</v>
      </c>
      <c r="AC34" s="24">
        <f t="shared" si="3"/>
        <v>46.932620518473279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10.8</v>
      </c>
      <c r="AI34" s="14">
        <f>IF('Données projet'!$A$62&gt;35,AI33+AH34-AQ33,IF(A34&lt;'Données projet'!$A$62,$AF$205^A34,IF(A34='Données projet'!$A$62,'Données projet'!$B$62,AI33+AH34-AQ33)))</f>
        <v>131.80000000000004</v>
      </c>
      <c r="AJ34" s="14">
        <f>AI34*VLOOKUP('Données projet'!$B$10,Paramètres!$A$1:$I$89,3,0)*VLOOKUP('Données projet'!$B$10,Paramètres!$A$1:$I$89,5,0)</f>
        <v>119.25264000000003</v>
      </c>
      <c r="AK34" s="14">
        <f t="shared" si="35"/>
        <v>31.500626518374375</v>
      </c>
      <c r="AL34" s="22">
        <f t="shared" si="4"/>
        <v>262.56193918616879</v>
      </c>
      <c r="AM34" s="62">
        <f t="shared" si="5"/>
        <v>555.8952725195021</v>
      </c>
      <c r="AN34" s="62">
        <f ca="1">AVERAGE(OFFSET($AM$3,0,0,'Données projet'!$E$10+1,1))-AVERAGE(OFFSET($H$3,0,0,'Données projet'!$E$10+1,1))</f>
        <v>427.83662275523142</v>
      </c>
      <c r="AO34" s="62">
        <f t="shared" si="36"/>
        <v>240.19413322685813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2">
        <f t="shared" si="32"/>
        <v>5.7714641827626956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70">
        <f t="shared" si="1"/>
        <v>297.14903345164504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83.735137603292344</v>
      </c>
      <c r="T35" s="62">
        <f t="shared" si="34"/>
        <v>277.23937202597483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45.831113034269187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0.13068143798854093</v>
      </c>
      <c r="AC35" s="24">
        <f t="shared" si="3"/>
        <v>45.961794472257729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10.8</v>
      </c>
      <c r="AI35" s="14">
        <f>IF('Données projet'!$A$62&gt;35,AI34+AH35-AQ34,IF(A35&lt;'Données projet'!$A$62,$AF$205^A35,IF(A35='Données projet'!$A$62,'Données projet'!$B$62,AI34+AH35-AQ34)))</f>
        <v>142.60000000000005</v>
      </c>
      <c r="AJ35" s="14">
        <f>AI35*VLOOKUP('Données projet'!$B$10,Paramètres!$A$1:$I$89,3,0)*VLOOKUP('Données projet'!$B$10,Paramètres!$A$1:$I$89,5,0)</f>
        <v>129.02448000000004</v>
      </c>
      <c r="AK35" s="14">
        <f t="shared" si="35"/>
        <v>33.770846580616279</v>
      </c>
      <c r="AL35" s="22">
        <f t="shared" si="4"/>
        <v>283.53519379457339</v>
      </c>
      <c r="AM35" s="62">
        <f t="shared" si="5"/>
        <v>576.86852712790665</v>
      </c>
      <c r="AN35" s="62">
        <f ca="1">AVERAGE(OFFSET($AM$3,0,0,'Données projet'!$E$10+1,1))-AVERAGE(OFFSET($H$3,0,0,'Données projet'!$E$10+1,1))</f>
        <v>427.83662275523142</v>
      </c>
      <c r="AO35" s="62">
        <f t="shared" si="36"/>
        <v>240.19413322685813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2">
        <f t="shared" si="32"/>
        <v>5.9305422092039777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70">
        <f t="shared" si="1"/>
        <v>298.37704434769694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83.735137603292344</v>
      </c>
      <c r="T36" s="62">
        <f t="shared" si="34"/>
        <v>277.23937202597483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44.932392861885866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9.2405730976906589E-2</v>
      </c>
      <c r="AC36" s="24">
        <f t="shared" si="3"/>
        <v>45.024798592862773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10.8</v>
      </c>
      <c r="AI36" s="14">
        <f>IF('Données projet'!$A$62&gt;35,AI35+AH36-AQ35,IF(A36&lt;'Données projet'!$A$62,$AF$205^A36,IF(A36='Données projet'!$A$62,'Données projet'!$B$62,AI35+AH36-AQ35)))</f>
        <v>153.40000000000006</v>
      </c>
      <c r="AJ36" s="14">
        <f>AI36*VLOOKUP('Données projet'!$B$10,Paramètres!$A$1:$I$89,3,0)*VLOOKUP('Données projet'!$B$10,Paramètres!$A$1:$I$89,5,0)</f>
        <v>138.79632000000007</v>
      </c>
      <c r="AK36" s="14">
        <f t="shared" si="35"/>
        <v>36.021120886354588</v>
      </c>
      <c r="AL36" s="22">
        <f t="shared" si="4"/>
        <v>304.47370954373434</v>
      </c>
      <c r="AM36" s="62">
        <f t="shared" si="5"/>
        <v>597.80704287706772</v>
      </c>
      <c r="AN36" s="62">
        <f ca="1">AVERAGE(OFFSET($AM$3,0,0,'Données projet'!$E$10+1,1))-AVERAGE(OFFSET($H$3,0,0,'Données projet'!$E$10+1,1))</f>
        <v>427.83662275523142</v>
      </c>
      <c r="AO36" s="62">
        <f t="shared" si="36"/>
        <v>240.19413322685813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2">
        <f t="shared" si="32"/>
        <v>6.0890600219069135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70">
        <f t="shared" si="1"/>
        <v>299.60407953815456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83.735137603292344</v>
      </c>
      <c r="T37" s="62">
        <f t="shared" si="34"/>
        <v>277.23937202597483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44.051296043917809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6.5340718994270464E-2</v>
      </c>
      <c r="AC37" s="24">
        <f t="shared" si="3"/>
        <v>44.11663676291208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10.8</v>
      </c>
      <c r="AI37" s="14">
        <f>IF('Données projet'!$A$62&gt;35,AI36+AH37-AQ36,IF(A37&lt;'Données projet'!$A$62,$AF$205^A37,IF(A37='Données projet'!$A$62,'Données projet'!$B$62,AI36+AH37-AQ36)))</f>
        <v>164.20000000000007</v>
      </c>
      <c r="AJ37" s="14">
        <f>AI37*VLOOKUP('Données projet'!$B$10,Paramètres!$A$1:$I$89,3,0)*VLOOKUP('Données projet'!$B$10,Paramètres!$A$1:$I$89,5,0)</f>
        <v>148.56816000000006</v>
      </c>
      <c r="AK37" s="14">
        <f t="shared" si="35"/>
        <v>38.253013425360628</v>
      </c>
      <c r="AL37" s="22">
        <f t="shared" si="4"/>
        <v>325.38021038250321</v>
      </c>
      <c r="AM37" s="62">
        <f t="shared" si="5"/>
        <v>618.71354371583652</v>
      </c>
      <c r="AN37" s="62">
        <f ca="1">AVERAGE(OFFSET($AM$3,0,0,'Données projet'!$E$10+1,1))-AVERAGE(OFFSET($H$3,0,0,'Données projet'!$E$10+1,1))</f>
        <v>427.83662275523142</v>
      </c>
      <c r="AO37" s="62">
        <f t="shared" si="36"/>
        <v>240.19413322685813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2">
        <f t="shared" si="32"/>
        <v>6.2470359895716463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70">
        <f t="shared" si="1"/>
        <v>300.83017101517061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83.735137603292344</v>
      </c>
      <c r="T38" s="62">
        <f t="shared" si="34"/>
        <v>277.23937202597483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43.187476997134112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4.6202865488453294E-2</v>
      </c>
      <c r="AC38" s="24">
        <f t="shared" si="3"/>
        <v>43.233679862622566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175</v>
      </c>
      <c r="AG38" s="13">
        <f>VLOOKUP(A38,'Données projet'!$A$61:$I$81,9,0)</f>
        <v>10.8</v>
      </c>
      <c r="AH38" s="13">
        <f t="array" ref="AH38">INDEX(AG:AG,MIN(IF(ISNUMBER(AG38:AG234),ROW(AG38:AG234),"")))</f>
        <v>10.8</v>
      </c>
      <c r="AI38" s="14">
        <f>IF('Données projet'!$A$62&gt;35,AI37+AH38-AQ37,IF(A38&lt;'Données projet'!$A$62,$AF$205^A38,IF(A38='Données projet'!$A$62,'Données projet'!$B$62,AI37+AH38-AQ37)))</f>
        <v>175.00000000000009</v>
      </c>
      <c r="AJ38" s="14">
        <f>AI38*VLOOKUP('Données projet'!$B$10,Paramètres!$A$1:$I$89,3,0)*VLOOKUP('Données projet'!$B$10,Paramètres!$A$1:$I$89,5,0)</f>
        <v>158.34000000000006</v>
      </c>
      <c r="AK38" s="14">
        <f t="shared" si="35"/>
        <v>40.467870812652819</v>
      </c>
      <c r="AL38" s="22">
        <f t="shared" si="4"/>
        <v>346.25704166537042</v>
      </c>
      <c r="AM38" s="62">
        <f t="shared" si="5"/>
        <v>639.59037499870374</v>
      </c>
      <c r="AN38" s="62">
        <f ca="1">AVERAGE(OFFSET($AM$3,0,0,'Données projet'!$E$10+1,1))-AVERAGE(OFFSET($H$3,0,0,'Données projet'!$E$10+1,1))</f>
        <v>427.83662275523142</v>
      </c>
      <c r="AO38" s="62">
        <f t="shared" si="36"/>
        <v>240.19413322685813</v>
      </c>
      <c r="AP38" s="16">
        <f>IF(ISNA(VLOOKUP(A38,'Données projet'!$A$61:$I$81,3,0)),0,VLOOKUP(A38,'Données projet'!$A$61:$I$81,3,0))</f>
        <v>2</v>
      </c>
      <c r="AQ38" s="16">
        <f>IF(ISNA(VLOOKUP(A38,'Données projet'!$A$61:$I$81,4,0)),0,VLOOKUP(A38,'Données projet'!$A$61:$I$81,4,0))</f>
        <v>56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2">
        <f t="shared" si="32"/>
        <v>6.4044873715575248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70">
        <f t="shared" si="1"/>
        <v>302.05534883879602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83.735137603292344</v>
      </c>
      <c r="T39" s="62">
        <f t="shared" si="34"/>
        <v>277.23937202597483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42.340596914980246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3.2670359497135232E-2</v>
      </c>
      <c r="AC39" s="24">
        <f t="shared" si="3"/>
        <v>42.373267274477378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11.2</v>
      </c>
      <c r="AI39" s="14">
        <f>IF('Données projet'!$A$62&gt;35,AI38+AH39-AQ38,IF(A39&lt;'Données projet'!$A$62,$AF$205^A39,IF(A39='Données projet'!$A$62,'Données projet'!$B$62,AI38+AH39-AQ38)))</f>
        <v>130.20000000000007</v>
      </c>
      <c r="AJ39" s="14">
        <f>AI39*VLOOKUP('Données projet'!$B$10,Paramètres!$A$1:$I$89,3,0)*VLOOKUP('Données projet'!$B$10,Paramètres!$A$1:$I$89,5,0)</f>
        <v>117.80496000000005</v>
      </c>
      <c r="AK39" s="14">
        <f t="shared" si="35"/>
        <v>31.162493487829593</v>
      </c>
      <c r="AL39" s="22">
        <f t="shared" si="4"/>
        <v>259.45164815796994</v>
      </c>
      <c r="AM39" s="62">
        <f t="shared" si="5"/>
        <v>552.78498149130326</v>
      </c>
      <c r="AN39" s="62">
        <f ca="1">AVERAGE(OFFSET($AM$3,0,0,'Données projet'!$E$10+1,1))-AVERAGE(OFFSET($H$3,0,0,'Données projet'!$E$10+1,1))</f>
        <v>427.83662275523142</v>
      </c>
      <c r="AO39" s="62">
        <f t="shared" si="36"/>
        <v>240.19413322685813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2">
        <f t="shared" si="32"/>
        <v>6.5614304138099282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70">
        <f t="shared" si="1"/>
        <v>303.27964130405229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83.735137603292344</v>
      </c>
      <c r="T40" s="62">
        <f t="shared" si="34"/>
        <v>277.23937202597483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41.510323634691574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2.3101432744226647E-2</v>
      </c>
      <c r="AC40" s="24">
        <f t="shared" si="3"/>
        <v>41.5334250674358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11.2</v>
      </c>
      <c r="AI40" s="14">
        <f>IF('Données projet'!$A$62&gt;35,AI39+AH40-AQ39,IF(A40&lt;'Données projet'!$A$62,$AF$205^A40,IF(A40='Données projet'!$A$62,'Données projet'!$B$62,AI39+AH40-AQ39)))</f>
        <v>141.40000000000006</v>
      </c>
      <c r="AJ40" s="14">
        <f>AI40*VLOOKUP('Données projet'!$B$10,Paramètres!$A$1:$I$89,3,0)*VLOOKUP('Données projet'!$B$10,Paramètres!$A$1:$I$89,5,0)</f>
        <v>127.93872000000005</v>
      </c>
      <c r="AK40" s="14">
        <f t="shared" si="35"/>
        <v>33.519615889545641</v>
      </c>
      <c r="AL40" s="22">
        <f t="shared" si="4"/>
        <v>281.20660167429202</v>
      </c>
      <c r="AM40" s="62">
        <f t="shared" si="5"/>
        <v>574.53993500762533</v>
      </c>
      <c r="AN40" s="62">
        <f ca="1">AVERAGE(OFFSET($AM$3,0,0,'Données projet'!$E$10+1,1))-AVERAGE(OFFSET($H$3,0,0,'Données projet'!$E$10+1,1))</f>
        <v>427.83662275523142</v>
      </c>
      <c r="AO40" s="62">
        <f t="shared" si="36"/>
        <v>240.19413322685813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2">
        <f t="shared" si="32"/>
        <v>6.717880434124976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70">
        <f t="shared" si="1"/>
        <v>304.50307508943433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83.735137603292344</v>
      </c>
      <c r="T41" s="62">
        <f t="shared" si="34"/>
        <v>277.23937202597483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40.696331507012665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1.6335179748567616E-2</v>
      </c>
      <c r="AC41" s="24">
        <f t="shared" si="3"/>
        <v>40.712666686761231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11.2</v>
      </c>
      <c r="AI41" s="14">
        <f>IF('Données projet'!$A$62&gt;35,AI40+AH41-AQ40,IF(A41&lt;'Données projet'!$A$62,$AF$205^A41,IF(A41='Données projet'!$A$62,'Données projet'!$B$62,AI40+AH41-AQ40)))</f>
        <v>152.60000000000005</v>
      </c>
      <c r="AJ41" s="14">
        <f>AI41*VLOOKUP('Données projet'!$B$10,Paramètres!$A$1:$I$89,3,0)*VLOOKUP('Données projet'!$B$10,Paramètres!$A$1:$I$89,5,0)</f>
        <v>138.07248000000004</v>
      </c>
      <c r="AK41" s="14">
        <f t="shared" si="35"/>
        <v>35.85508207677799</v>
      </c>
      <c r="AL41" s="22">
        <f t="shared" si="4"/>
        <v>302.92383728372175</v>
      </c>
      <c r="AM41" s="62">
        <f t="shared" si="5"/>
        <v>596.25717061705507</v>
      </c>
      <c r="AN41" s="62">
        <f ca="1">AVERAGE(OFFSET($AM$3,0,0,'Données projet'!$E$10+1,1))-AVERAGE(OFFSET($H$3,0,0,'Données projet'!$E$10+1,1))</f>
        <v>427.83662275523142</v>
      </c>
      <c r="AO41" s="62">
        <f t="shared" si="36"/>
        <v>240.19413322685813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2">
        <f t="shared" si="32"/>
        <v>6.8738518981865644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70">
        <f t="shared" si="1"/>
        <v>305.72567538934157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83.735137603292344</v>
      </c>
      <c r="T42" s="62">
        <f t="shared" si="34"/>
        <v>277.23937202597483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39.898301268471364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1.1550716372113324E-2</v>
      </c>
      <c r="AC42" s="24">
        <f t="shared" si="3"/>
        <v>39.909851984843478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11.2</v>
      </c>
      <c r="AI42" s="14">
        <f>IF('Données projet'!$A$62&gt;35,AI41+AH42-AQ41,IF(A42&lt;'Données projet'!$A$62,$AF$205^A42,IF(A42='Données projet'!$A$62,'Données projet'!$B$62,AI41+AH42-AQ41)))</f>
        <v>163.80000000000004</v>
      </c>
      <c r="AJ42" s="14">
        <f>AI42*VLOOKUP('Données projet'!$B$10,Paramètres!$A$1:$I$89,3,0)*VLOOKUP('Données projet'!$B$10,Paramètres!$A$1:$I$89,5,0)</f>
        <v>148.20624000000004</v>
      </c>
      <c r="AK42" s="14">
        <f t="shared" si="35"/>
        <v>38.170662245893794</v>
      </c>
      <c r="AL42" s="22">
        <f t="shared" si="4"/>
        <v>324.60643807826506</v>
      </c>
      <c r="AM42" s="62">
        <f t="shared" si="5"/>
        <v>617.93977141159837</v>
      </c>
      <c r="AN42" s="62">
        <f ca="1">AVERAGE(OFFSET($AM$3,0,0,'Données projet'!$E$10+1,1))-AVERAGE(OFFSET($H$3,0,0,'Données projet'!$E$10+1,1))</f>
        <v>427.83662275523142</v>
      </c>
      <c r="AO42" s="62">
        <f t="shared" si="36"/>
        <v>240.19413322685813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2">
        <f t="shared" si="32"/>
        <v>7.0293584875852577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70">
        <f t="shared" si="1"/>
        <v>306.9474660325443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83.735137603292344</v>
      </c>
      <c r="T43" s="62">
        <f t="shared" si="34"/>
        <v>277.23937202597483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39.11591991615748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8.1675898742838079E-3</v>
      </c>
      <c r="AC43" s="24">
        <f t="shared" si="3"/>
        <v>39.124087506031763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175</v>
      </c>
      <c r="AG43" s="13">
        <f>VLOOKUP(A43,'Données projet'!$A$61:$I$81,9,0)</f>
        <v>11.2</v>
      </c>
      <c r="AH43" s="13">
        <f t="array" ref="AH43">INDEX(AG:AG,MIN(IF(ISNUMBER(AG43:AG239),ROW(AG43:AG239),"")))</f>
        <v>11.2</v>
      </c>
      <c r="AI43" s="14">
        <f>IF('Données projet'!$A$62&gt;35,AI42+AH43-AQ42,IF(A43&lt;'Données projet'!$A$62,$AF$205^A43,IF(A43='Données projet'!$A$62,'Données projet'!$B$62,AI42+AH43-AQ42)))</f>
        <v>175.00000000000003</v>
      </c>
      <c r="AJ43" s="14">
        <f>AI43*VLOOKUP('Données projet'!$B$10,Paramètres!$A$1:$I$89,3,0)*VLOOKUP('Données projet'!$B$10,Paramètres!$A$1:$I$89,5,0)</f>
        <v>158.34000000000003</v>
      </c>
      <c r="AK43" s="14">
        <f t="shared" si="35"/>
        <v>40.467870812652819</v>
      </c>
      <c r="AL43" s="22">
        <f t="shared" si="4"/>
        <v>346.25704166537042</v>
      </c>
      <c r="AM43" s="62">
        <f t="shared" si="5"/>
        <v>639.59037499870374</v>
      </c>
      <c r="AN43" s="62">
        <f ca="1">AVERAGE(OFFSET($AM$3,0,0,'Données projet'!$E$10+1,1))-AVERAGE(OFFSET($H$3,0,0,'Données projet'!$E$10+1,1))</f>
        <v>427.83662275523142</v>
      </c>
      <c r="AO43" s="62">
        <f t="shared" si="36"/>
        <v>240.19413322685813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2">
        <f t="shared" si="32"/>
        <v>7.1844131608438397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70">
        <f t="shared" si="1"/>
        <v>308.16846958846969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83.735137603292344</v>
      </c>
      <c r="T44" s="62">
        <f t="shared" si="34"/>
        <v>277.23937202597483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38.348880584956966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5.7753581860566618E-3</v>
      </c>
      <c r="AC44" s="24">
        <f t="shared" si="3"/>
        <v>38.354655943143023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11.4</v>
      </c>
      <c r="AI44" s="14">
        <f>IF('Données projet'!$A$62&gt;35,AI43+AH44-AQ43,IF(A44&lt;'Données projet'!$A$62,$AF$205^A44,IF(A44='Données projet'!$A$62,'Données projet'!$B$62,AI43+AH44-AQ43)))</f>
        <v>186.40000000000003</v>
      </c>
      <c r="AJ44" s="14">
        <f>AI44*VLOOKUP('Données projet'!$B$10,Paramètres!$A$1:$I$89,3,0)*VLOOKUP('Données projet'!$B$10,Paramètres!$A$1:$I$89,5,0)</f>
        <v>168.65472000000003</v>
      </c>
      <c r="AK44" s="14">
        <f t="shared" si="35"/>
        <v>42.78858644059585</v>
      </c>
      <c r="AL44" s="22">
        <f t="shared" si="4"/>
        <v>368.2637587173711</v>
      </c>
      <c r="AM44" s="62">
        <f t="shared" si="5"/>
        <v>661.59709205070442</v>
      </c>
      <c r="AN44" s="62">
        <f ca="1">AVERAGE(OFFSET($AM$3,0,0,'Données projet'!$E$10+1,1))-AVERAGE(OFFSET($H$3,0,0,'Données projet'!$E$10+1,1))</f>
        <v>427.83662275523142</v>
      </c>
      <c r="AO44" s="62">
        <f t="shared" si="36"/>
        <v>240.19413322685813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2">
        <f t="shared" si="32"/>
        <v>7.3390282083215048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70">
        <f t="shared" si="1"/>
        <v>309.38870746282663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83.735137603292344</v>
      </c>
      <c r="T45" s="62">
        <f t="shared" si="34"/>
        <v>277.23937202597483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37.596882427193499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4.083794937141904E-3</v>
      </c>
      <c r="AC45" s="24">
        <f t="shared" si="3"/>
        <v>37.600966222130644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11.4</v>
      </c>
      <c r="AI45" s="14">
        <f>IF('Données projet'!$A$62&gt;35,AI44+AH45-AQ44,IF(A45&lt;'Données projet'!$A$62,$AF$205^A45,IF(A45='Données projet'!$A$62,'Données projet'!$B$62,AI44+AH45-AQ44)))</f>
        <v>197.80000000000004</v>
      </c>
      <c r="AJ45" s="14">
        <f>AI45*VLOOKUP('Données projet'!$B$10,Paramètres!$A$1:$I$89,3,0)*VLOOKUP('Données projet'!$B$10,Paramètres!$A$1:$I$89,5,0)</f>
        <v>178.96944000000002</v>
      </c>
      <c r="AK45" s="14">
        <f t="shared" si="35"/>
        <v>45.092828990632619</v>
      </c>
      <c r="AL45" s="22">
        <f t="shared" si="4"/>
        <v>390.24178515868516</v>
      </c>
      <c r="AM45" s="62">
        <f t="shared" si="5"/>
        <v>683.57511849201842</v>
      </c>
      <c r="AN45" s="62">
        <f ca="1">AVERAGE(OFFSET($AM$3,0,0,'Données projet'!$E$10+1,1))-AVERAGE(OFFSET($H$3,0,0,'Données projet'!$E$10+1,1))</f>
        <v>427.83662275523142</v>
      </c>
      <c r="AO45" s="62">
        <f t="shared" si="36"/>
        <v>240.19413322685813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2">
        <f t="shared" si="32"/>
        <v>7.4932153017418166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70">
        <f t="shared" si="1"/>
        <v>310.608199983867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83.735137603292344</v>
      </c>
      <c r="T46" s="62">
        <f t="shared" si="34"/>
        <v>277.23937202597483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36.859630494630181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2.8876790930283309E-3</v>
      </c>
      <c r="AC46" s="24">
        <f t="shared" si="3"/>
        <v>36.86251817372321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11.4</v>
      </c>
      <c r="AI46" s="14">
        <f>IF('Données projet'!$A$62&gt;35,AI45+AH46-AQ45,IF(A46&lt;'Données projet'!$A$62,$AF$205^A46,IF(A46='Données projet'!$A$62,'Données projet'!$B$62,AI45+AH46-AQ45)))</f>
        <v>209.20000000000005</v>
      </c>
      <c r="AJ46" s="14">
        <f>AI46*VLOOKUP('Données projet'!$B$10,Paramètres!$A$1:$I$89,3,0)*VLOOKUP('Données projet'!$B$10,Paramètres!$A$1:$I$89,5,0)</f>
        <v>189.28416000000001</v>
      </c>
      <c r="AK46" s="14">
        <f t="shared" si="35"/>
        <v>47.381656039514027</v>
      </c>
      <c r="AL46" s="22">
        <f t="shared" si="4"/>
        <v>412.19296293548695</v>
      </c>
      <c r="AM46" s="62">
        <f t="shared" si="5"/>
        <v>705.52629626882026</v>
      </c>
      <c r="AN46" s="62">
        <f ca="1">AVERAGE(OFFSET($AM$3,0,0,'Données projet'!$E$10+1,1))-AVERAGE(OFFSET($H$3,0,0,'Données projet'!$E$10+1,1))</f>
        <v>427.83662275523142</v>
      </c>
      <c r="AO46" s="62">
        <f t="shared" si="36"/>
        <v>240.19413322685813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2">
        <f t="shared" si="32"/>
        <v>7.6469855389835546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70">
        <f t="shared" si="1"/>
        <v>311.82696648039632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83.735137603292344</v>
      </c>
      <c r="T47" s="62">
        <f t="shared" si="34"/>
        <v>277.23937202597483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36.136835622785156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2.041897468570952E-3</v>
      </c>
      <c r="AC47" s="24">
        <f t="shared" si="3"/>
        <v>36.138877520253729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11.4</v>
      </c>
      <c r="AI47" s="14">
        <f>IF('Données projet'!$A$62&gt;35,AI46+AH47-AQ46,IF(A47&lt;'Données projet'!$A$62,$AF$205^A47,IF(A47='Données projet'!$A$62,'Données projet'!$B$62,AI46+AH47-AQ46)))</f>
        <v>220.60000000000005</v>
      </c>
      <c r="AJ47" s="14">
        <f>AI47*VLOOKUP('Données projet'!$B$10,Paramètres!$A$1:$I$89,3,0)*VLOOKUP('Données projet'!$B$10,Paramètres!$A$1:$I$89,5,0)</f>
        <v>199.59888000000004</v>
      </c>
      <c r="AK47" s="14">
        <f t="shared" si="35"/>
        <v>49.656003392529037</v>
      </c>
      <c r="AL47" s="22">
        <f t="shared" si="4"/>
        <v>434.11892190865478</v>
      </c>
      <c r="AM47" s="62">
        <f t="shared" si="5"/>
        <v>727.45225524198804</v>
      </c>
      <c r="AN47" s="62">
        <f ca="1">AVERAGE(OFFSET($AM$3,0,0,'Données projet'!$E$10+1,1))-AVERAGE(OFFSET($H$3,0,0,'Données projet'!$E$10+1,1))</f>
        <v>427.83662275523142</v>
      </c>
      <c r="AO47" s="62">
        <f t="shared" si="36"/>
        <v>240.19413322685813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2">
        <f t="shared" si="32"/>
        <v>7.8003494846849248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70">
        <f t="shared" si="1"/>
        <v>313.04502535249287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83.735137603292344</v>
      </c>
      <c r="T48" s="62">
        <f t="shared" si="34"/>
        <v>277.23937202597483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35.428214317515675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1.4438395465141654E-3</v>
      </c>
      <c r="AC48" s="24">
        <f t="shared" si="3"/>
        <v>35.429658157062185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232</v>
      </c>
      <c r="AG48" s="13">
        <f>VLOOKUP(A48,'Données projet'!$A$61:$I$81,9,0)</f>
        <v>11.4</v>
      </c>
      <c r="AH48" s="13">
        <f t="array" ref="AH48">INDEX(AG:AG,MIN(IF(ISNUMBER(AG48:AG244),ROW(AG48:AG244),"")))</f>
        <v>11.4</v>
      </c>
      <c r="AI48" s="14">
        <f>IF('Données projet'!$A$62&gt;35,AI47+AH48-AQ47,IF(A48&lt;'Données projet'!$A$62,$AF$205^A48,IF(A48='Données projet'!$A$62,'Données projet'!$B$62,AI47+AH48-AQ47)))</f>
        <v>232.00000000000006</v>
      </c>
      <c r="AJ48" s="14">
        <f>AI48*VLOOKUP('Données projet'!$B$10,Paramètres!$A$1:$I$89,3,0)*VLOOKUP('Données projet'!$B$10,Paramètres!$A$1:$I$89,5,0)</f>
        <v>209.91360000000006</v>
      </c>
      <c r="AK48" s="14">
        <f t="shared" si="35"/>
        <v>51.916704672341361</v>
      </c>
      <c r="AL48" s="22">
        <f t="shared" si="4"/>
        <v>456.02111397099458</v>
      </c>
      <c r="AM48" s="62">
        <f t="shared" si="5"/>
        <v>749.35444730432789</v>
      </c>
      <c r="AN48" s="62">
        <f ca="1">AVERAGE(OFFSET($AM$3,0,0,'Données projet'!$E$10+1,1))-AVERAGE(OFFSET($H$3,0,0,'Données projet'!$E$10+1,1))</f>
        <v>427.83662275523142</v>
      </c>
      <c r="AO48" s="62">
        <f t="shared" si="36"/>
        <v>240.19413322685813</v>
      </c>
      <c r="AP48" s="16">
        <f>IF(ISNA(VLOOKUP(A48,'Données projet'!$A$61:$I$81,3,0)),0,VLOOKUP(A48,'Données projet'!$A$61:$I$81,3,0))</f>
        <v>3</v>
      </c>
      <c r="AQ48" s="16">
        <f>IF(ISNA(VLOOKUP(A48,'Données projet'!$A$61:$I$81,4,0)),0,VLOOKUP(A48,'Données projet'!$A$61:$I$81,4,0))</f>
        <v>56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2">
        <f t="shared" si="32"/>
        <v>7.9533172071366991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70">
        <f t="shared" si="1"/>
        <v>314.26239413576309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83.735137603292344</v>
      </c>
      <c r="T49" s="62">
        <f t="shared" si="34"/>
        <v>277.23937202597483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34.733488643826206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1.020948734285476E-3</v>
      </c>
      <c r="AC49" s="24">
        <f t="shared" si="3"/>
        <v>34.734509592560492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11</v>
      </c>
      <c r="AI49" s="14">
        <f>IF('Données projet'!$A$62&gt;35,AI48+AH49-AQ48,IF(A49&lt;'Données projet'!$A$62,$AF$205^A49,IF(A49='Données projet'!$A$62,'Données projet'!$B$62,AI48+AH49-AQ48)))</f>
        <v>187.00000000000006</v>
      </c>
      <c r="AJ49" s="14">
        <f>AI49*VLOOKUP('Données projet'!$B$10,Paramètres!$A$1:$I$89,3,0)*VLOOKUP('Données projet'!$B$10,Paramètres!$A$1:$I$89,5,0)</f>
        <v>169.19760000000005</v>
      </c>
      <c r="AK49" s="14">
        <f t="shared" si="35"/>
        <v>42.910263223432885</v>
      </c>
      <c r="AL49" s="22">
        <f t="shared" si="4"/>
        <v>369.42119511414563</v>
      </c>
      <c r="AM49" s="62">
        <f t="shared" si="5"/>
        <v>662.75452844747895</v>
      </c>
      <c r="AN49" s="62">
        <f ca="1">AVERAGE(OFFSET($AM$3,0,0,'Données projet'!$E$10+1,1))-AVERAGE(OFFSET($H$3,0,0,'Données projet'!$E$10+1,1))</f>
        <v>427.83662275523142</v>
      </c>
      <c r="AO49" s="62">
        <f t="shared" si="36"/>
        <v>240.19413322685813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2">
        <f t="shared" si="32"/>
        <v>8.1058983118768051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70">
        <f t="shared" si="1"/>
        <v>315.47908955985213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83.735137603292344</v>
      </c>
      <c r="T50" s="62">
        <f t="shared" si="34"/>
        <v>277.23937202597483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34.052386116856965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7.2191977325708272E-4</v>
      </c>
      <c r="AC50" s="24">
        <f t="shared" si="3"/>
        <v>34.053108036630221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11</v>
      </c>
      <c r="AI50" s="14">
        <f>IF('Données projet'!$A$62&gt;35,AI49+AH50-AQ49,IF(A50&lt;'Données projet'!$A$62,$AF$205^A50,IF(A50='Données projet'!$A$62,'Données projet'!$B$62,AI49+AH50-AQ49)))</f>
        <v>198.00000000000006</v>
      </c>
      <c r="AJ50" s="14">
        <f>AI50*VLOOKUP('Données projet'!$B$10,Paramètres!$A$1:$I$89,3,0)*VLOOKUP('Données projet'!$B$10,Paramètres!$A$1:$I$89,5,0)</f>
        <v>179.15040000000005</v>
      </c>
      <c r="AK50" s="14">
        <f t="shared" si="35"/>
        <v>45.133113803437347</v>
      </c>
      <c r="AL50" s="22">
        <f t="shared" si="4"/>
        <v>390.62711987432004</v>
      </c>
      <c r="AM50" s="62">
        <f t="shared" si="5"/>
        <v>683.96045320765336</v>
      </c>
      <c r="AN50" s="62">
        <f ca="1">AVERAGE(OFFSET($AM$3,0,0,'Données projet'!$E$10+1,1))-AVERAGE(OFFSET($H$3,0,0,'Données projet'!$E$10+1,1))</f>
        <v>427.83662275523142</v>
      </c>
      <c r="AO50" s="62">
        <f t="shared" si="36"/>
        <v>240.19413322685813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2">
        <f t="shared" si="32"/>
        <v>8.2581019723450915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70">
        <f t="shared" si="1"/>
        <v>316.69512760183437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83.735137603292344</v>
      </c>
      <c r="T51" s="62">
        <f t="shared" si="34"/>
        <v>277.23937202597483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33.384639595010071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5.10474367142738E-4</v>
      </c>
      <c r="AC51" s="24">
        <f t="shared" si="3"/>
        <v>33.385150069377211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11</v>
      </c>
      <c r="AI51" s="14">
        <f>IF('Données projet'!$A$62&gt;35,AI50+AH51-AQ50,IF(A51&lt;'Données projet'!$A$62,$AF$205^A51,IF(A51='Données projet'!$A$62,'Données projet'!$B$62,AI50+AH51-AQ50)))</f>
        <v>209.00000000000006</v>
      </c>
      <c r="AJ51" s="14">
        <f>AI51*VLOOKUP('Données projet'!$B$10,Paramètres!$A$1:$I$89,3,0)*VLOOKUP('Données projet'!$B$10,Paramètres!$A$1:$I$89,5,0)</f>
        <v>189.10320000000004</v>
      </c>
      <c r="AK51" s="14">
        <f t="shared" si="35"/>
        <v>47.341628542787163</v>
      </c>
      <c r="AL51" s="22">
        <f t="shared" si="4"/>
        <v>411.8080763786877</v>
      </c>
      <c r="AM51" s="62">
        <f t="shared" si="5"/>
        <v>705.14140971202096</v>
      </c>
      <c r="AN51" s="62">
        <f ca="1">AVERAGE(OFFSET($AM$3,0,0,'Données projet'!$E$10+1,1))-AVERAGE(OFFSET($H$3,0,0,'Données projet'!$E$10+1,1))</f>
        <v>427.83662275523142</v>
      </c>
      <c r="AO51" s="62">
        <f t="shared" si="36"/>
        <v>240.19413322685813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2">
        <f t="shared" si="32"/>
        <v>8.4099369579114391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70">
        <f t="shared" si="1"/>
        <v>317.91052353502909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83.735137603292344</v>
      </c>
      <c r="T52" s="62">
        <f t="shared" si="34"/>
        <v>277.23937202597483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32.729987175171438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3.6095988662854136E-4</v>
      </c>
      <c r="AC52" s="24">
        <f t="shared" si="3"/>
        <v>32.730348135058065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11</v>
      </c>
      <c r="AI52" s="14">
        <f>IF('Données projet'!$A$62&gt;35,AI51+AH52-AQ51,IF(A52&lt;'Données projet'!$A$62,$AF$205^A52,IF(A52='Données projet'!$A$62,'Données projet'!$B$62,AI51+AH52-AQ51)))</f>
        <v>220.00000000000006</v>
      </c>
      <c r="AJ52" s="14">
        <f>AI52*VLOOKUP('Données projet'!$B$10,Paramètres!$A$1:$I$89,3,0)*VLOOKUP('Données projet'!$B$10,Paramètres!$A$1:$I$89,5,0)</f>
        <v>199.05600000000004</v>
      </c>
      <c r="AK52" s="14">
        <f t="shared" si="35"/>
        <v>49.536648006253934</v>
      </c>
      <c r="AL52" s="22">
        <f t="shared" si="4"/>
        <v>432.96552861089231</v>
      </c>
      <c r="AM52" s="62">
        <f t="shared" si="5"/>
        <v>726.29886194422556</v>
      </c>
      <c r="AN52" s="62">
        <f ca="1">AVERAGE(OFFSET($AM$3,0,0,'Données projet'!$E$10+1,1))-AVERAGE(OFFSET($H$3,0,0,'Données projet'!$E$10+1,1))</f>
        <v>427.83662275523142</v>
      </c>
      <c r="AO52" s="62">
        <f t="shared" si="36"/>
        <v>240.19413322685813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2">
        <f t="shared" si="32"/>
        <v>8.5614116595512399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70">
        <f t="shared" si="1"/>
        <v>319.12529197371839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83.735137603292344</v>
      </c>
      <c r="T53" s="62">
        <f t="shared" si="34"/>
        <v>277.23937202597483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32.088172089987289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2.55237183571369E-4</v>
      </c>
      <c r="AC53" s="24">
        <f t="shared" si="3"/>
        <v>32.088427327170862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231</v>
      </c>
      <c r="AG53" s="13">
        <f>VLOOKUP(A53,'Données projet'!$A$61:$I$81,9,0)</f>
        <v>11</v>
      </c>
      <c r="AH53" s="13">
        <f t="array" ref="AH53">INDEX(AG:AG,MIN(IF(ISNUMBER(AG53:AG249),ROW(AG53:AG249),"")))</f>
        <v>11</v>
      </c>
      <c r="AI53" s="14">
        <f>IF('Données projet'!$A$62&gt;35,AI52+AH53-AQ52,IF(A53&lt;'Données projet'!$A$62,$AF$205^A53,IF(A53='Données projet'!$A$62,'Données projet'!$B$62,AI52+AH53-AQ52)))</f>
        <v>231.00000000000006</v>
      </c>
      <c r="AJ53" s="14">
        <f>AI53*VLOOKUP('Données projet'!$B$10,Paramètres!$A$1:$I$89,3,0)*VLOOKUP('Données projet'!$B$10,Paramètres!$A$1:$I$89,5,0)</f>
        <v>209.00880000000004</v>
      </c>
      <c r="AK53" s="14">
        <f t="shared" si="35"/>
        <v>51.718923953824252</v>
      </c>
      <c r="AL53" s="22">
        <f t="shared" si="4"/>
        <v>454.10078588624395</v>
      </c>
      <c r="AM53" s="62">
        <f t="shared" si="5"/>
        <v>747.43411921957727</v>
      </c>
      <c r="AN53" s="62">
        <f ca="1">AVERAGE(OFFSET($AM$3,0,0,'Données projet'!$E$10+1,1))-AVERAGE(OFFSET($H$3,0,0,'Données projet'!$E$10+1,1))</f>
        <v>427.83662275523142</v>
      </c>
      <c r="AO53" s="62">
        <f t="shared" si="36"/>
        <v>240.19413322685813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2">
        <f t="shared" si="32"/>
        <v>8.7125341134088217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70">
        <f t="shared" si="1"/>
        <v>320.33944691418702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83.735137603292344</v>
      </c>
      <c r="T54" s="62">
        <f t="shared" si="34"/>
        <v>277.23937202597483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31.458942607155052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1.8047994331427068E-4</v>
      </c>
      <c r="AC54" s="24">
        <f t="shared" si="3"/>
        <v>31.459123087098366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10.199999999999999</v>
      </c>
      <c r="AI54" s="14">
        <f>IF('Données projet'!$A$62&gt;35,AI53+AH54-AQ53,IF(A54&lt;'Données projet'!$A$62,$AF$205^A54,IF(A54='Données projet'!$A$62,'Données projet'!$B$62,AI53+AH54-AQ53)))</f>
        <v>241.20000000000005</v>
      </c>
      <c r="AJ54" s="14">
        <f>AI54*VLOOKUP('Données projet'!$B$10,Paramètres!$A$1:$I$89,3,0)*VLOOKUP('Données projet'!$B$10,Paramètres!$A$1:$I$89,5,0)</f>
        <v>218.23776000000004</v>
      </c>
      <c r="AK54" s="14">
        <f t="shared" si="35"/>
        <v>53.731692470599071</v>
      </c>
      <c r="AL54" s="22">
        <f t="shared" si="4"/>
        <v>473.68012971962668</v>
      </c>
      <c r="AM54" s="62">
        <f t="shared" si="5"/>
        <v>767.01346305295999</v>
      </c>
      <c r="AN54" s="62">
        <f ca="1">AVERAGE(OFFSET($AM$3,0,0,'Données projet'!$E$10+1,1))-AVERAGE(OFFSET($H$3,0,0,'Données projet'!$E$10+1,1))</f>
        <v>427.83662275523142</v>
      </c>
      <c r="AO54" s="62">
        <f t="shared" si="36"/>
        <v>240.19413322685813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2">
        <f t="shared" si="32"/>
        <v>8.8633120224605459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70">
        <f t="shared" si="1"/>
        <v>321.55300177245209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83.735137603292344</v>
      </c>
      <c r="T55" s="62">
        <f t="shared" si="34"/>
        <v>277.23937202597483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30.842051930689067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1.276185917856845E-4</v>
      </c>
      <c r="AC55" s="24">
        <f t="shared" si="3"/>
        <v>30.842179549280853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10.199999999999999</v>
      </c>
      <c r="AI55" s="14">
        <f>IF('Données projet'!$A$62&gt;35,AI54+AH55-AQ54,IF(A55&lt;'Données projet'!$A$62,$AF$205^A55,IF(A55='Données projet'!$A$62,'Données projet'!$B$62,AI54+AH55-AQ54)))</f>
        <v>251.40000000000003</v>
      </c>
      <c r="AJ55" s="14">
        <f>AI55*VLOOKUP('Données projet'!$B$10,Paramètres!$A$1:$I$89,3,0)*VLOOKUP('Données projet'!$B$10,Paramètres!$A$1:$I$89,5,0)</f>
        <v>227.46672000000004</v>
      </c>
      <c r="AK55" s="14">
        <f t="shared" si="35"/>
        <v>55.734574592438989</v>
      </c>
      <c r="AL55" s="22">
        <f t="shared" si="4"/>
        <v>493.24225474849794</v>
      </c>
      <c r="AM55" s="62">
        <f t="shared" si="5"/>
        <v>786.57558808183126</v>
      </c>
      <c r="AN55" s="62">
        <f ca="1">AVERAGE(OFFSET($AM$3,0,0,'Données projet'!$E$10+1,1))-AVERAGE(OFFSET($H$3,0,0,'Données projet'!$E$10+1,1))</f>
        <v>427.83662275523142</v>
      </c>
      <c r="AO55" s="62">
        <f t="shared" si="36"/>
        <v>240.19413322685813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2">
        <f t="shared" si="32"/>
        <v>9.0137527764644076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70">
        <f t="shared" si="1"/>
        <v>322.76596941900885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83.735137603292344</v>
      </c>
      <c r="T56" s="62">
        <f t="shared" si="34"/>
        <v>277.23937202597483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30.237258104122422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9.0239971657135341E-5</v>
      </c>
      <c r="AC56" s="24">
        <f t="shared" si="3"/>
        <v>30.23734834409408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10.199999999999999</v>
      </c>
      <c r="AI56" s="14">
        <f>IF('Données projet'!$A$62&gt;35,AI55+AH56-AQ55,IF(A56&lt;'Données projet'!$A$62,$AF$205^A56,IF(A56='Données projet'!$A$62,'Données projet'!$B$62,AI55+AH56-AQ55)))</f>
        <v>261.60000000000002</v>
      </c>
      <c r="AJ56" s="14">
        <f>AI56*VLOOKUP('Données projet'!$B$10,Paramètres!$A$1:$I$89,3,0)*VLOOKUP('Données projet'!$B$10,Paramètres!$A$1:$I$89,5,0)</f>
        <v>236.69568000000001</v>
      </c>
      <c r="AK56" s="14">
        <f t="shared" si="35"/>
        <v>57.72801732243034</v>
      </c>
      <c r="AL56" s="22">
        <f t="shared" si="4"/>
        <v>512.78793950323291</v>
      </c>
      <c r="AM56" s="62">
        <f t="shared" si="5"/>
        <v>806.12127283656628</v>
      </c>
      <c r="AN56" s="62">
        <f ca="1">AVERAGE(OFFSET($AM$3,0,0,'Données projet'!$E$10+1,1))-AVERAGE(OFFSET($H$3,0,0,'Données projet'!$E$10+1,1))</f>
        <v>427.83662275523142</v>
      </c>
      <c r="AO56" s="62">
        <f t="shared" si="36"/>
        <v>240.19413322685813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2">
        <f t="shared" si="32"/>
        <v>9.163863470361429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70">
        <f t="shared" si="1"/>
        <v>323.97836221087948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83.735137603292344</v>
      </c>
      <c r="T57" s="62">
        <f t="shared" si="34"/>
        <v>277.23937202597483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29.64432391560694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6.380929589284225E-5</v>
      </c>
      <c r="AC57" s="24">
        <f t="shared" si="3"/>
        <v>29.644387724902831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10.199999999999999</v>
      </c>
      <c r="AI57" s="14">
        <f>IF('Données projet'!$A$62&gt;35,AI56+AH57-AQ56,IF(A57&lt;'Données projet'!$A$62,$AF$205^A57,IF(A57='Données projet'!$A$62,'Données projet'!$B$62,AI56+AH57-AQ56)))</f>
        <v>271.8</v>
      </c>
      <c r="AJ57" s="14">
        <f>AI57*VLOOKUP('Données projet'!$B$10,Paramètres!$A$1:$I$89,3,0)*VLOOKUP('Données projet'!$B$10,Paramètres!$A$1:$I$89,5,0)</f>
        <v>245.92464000000001</v>
      </c>
      <c r="AK57" s="14">
        <f t="shared" si="35"/>
        <v>59.712430831913537</v>
      </c>
      <c r="AL57" s="22">
        <f t="shared" si="4"/>
        <v>532.31789836558266</v>
      </c>
      <c r="AM57" s="62">
        <f t="shared" si="5"/>
        <v>825.65123169891604</v>
      </c>
      <c r="AN57" s="62">
        <f ca="1">AVERAGE(OFFSET($AM$3,0,0,'Données projet'!$E$10+1,1))-AVERAGE(OFFSET($H$3,0,0,'Données projet'!$E$10+1,1))</f>
        <v>427.83662275523142</v>
      </c>
      <c r="AO57" s="62">
        <f t="shared" si="36"/>
        <v>240.19413322685813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2">
        <f t="shared" si="32"/>
        <v>9.3136509212754071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70">
        <f t="shared" si="1"/>
        <v>325.19019202122132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83.735137603292344</v>
      </c>
      <c r="T58" s="62">
        <f t="shared" si="34"/>
        <v>277.23937202597483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29.063016804874099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4.511998582856767E-5</v>
      </c>
      <c r="AC58" s="24">
        <f t="shared" si="3"/>
        <v>29.063061924859927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282</v>
      </c>
      <c r="AG58" s="13">
        <f>VLOOKUP(A58,'Données projet'!$A$61:$I$81,9,0)</f>
        <v>10.199999999999999</v>
      </c>
      <c r="AH58" s="13">
        <f t="array" ref="AH58">INDEX(AG:AG,MIN(IF(ISNUMBER(AG58:AG254),ROW(AG58:AG254),"")))</f>
        <v>10.199999999999999</v>
      </c>
      <c r="AI58" s="14">
        <f>IF('Données projet'!$A$62&gt;35,AI57+AH58-AQ57,IF(A58&lt;'Données projet'!$A$62,$AF$205^A58,IF(A58='Données projet'!$A$62,'Données projet'!$B$62,AI57+AH58-AQ57)))</f>
        <v>282</v>
      </c>
      <c r="AJ58" s="14">
        <f>AI58*VLOOKUP('Données projet'!$B$10,Paramètres!$A$1:$I$89,3,0)*VLOOKUP('Données projet'!$B$10,Paramètres!$A$1:$I$89,5,0)</f>
        <v>255.15360000000001</v>
      </c>
      <c r="AK58" s="14">
        <f t="shared" si="35"/>
        <v>61.688192762754426</v>
      </c>
      <c r="AL58" s="22">
        <f t="shared" si="4"/>
        <v>551.83278906179726</v>
      </c>
      <c r="AM58" s="62">
        <f t="shared" si="5"/>
        <v>845.16612239513051</v>
      </c>
      <c r="AN58" s="62">
        <f ca="1">AVERAGE(OFFSET($AM$3,0,0,'Données projet'!$E$10+1,1))-AVERAGE(OFFSET($H$3,0,0,'Données projet'!$E$10+1,1))</f>
        <v>427.83662275523142</v>
      </c>
      <c r="AO58" s="62">
        <f t="shared" si="36"/>
        <v>240.19413322685813</v>
      </c>
      <c r="AP58" s="16">
        <f>IF(ISNA(VLOOKUP(A58,'Données projet'!$A$61:$I$81,3,0)),0,VLOOKUP(A58,'Données projet'!$A$61:$I$81,3,0))</f>
        <v>4</v>
      </c>
      <c r="AQ58" s="16">
        <f>IF(ISNA(VLOOKUP(A58,'Données projet'!$A$61:$I$81,4,0)),0,VLOOKUP(A58,'Données projet'!$A$61:$I$81,4,0))</f>
        <v>56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2">
        <f t="shared" si="32"/>
        <v>9.4631216842413828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70">
        <f t="shared" si="1"/>
        <v>326.40147026672037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83.735137603292344</v>
      </c>
      <c r="T59" s="62">
        <f t="shared" si="34"/>
        <v>277.23937202597483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28.493108772020403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3.1904647946421125E-5</v>
      </c>
      <c r="AC59" s="24">
        <f t="shared" si="3"/>
        <v>28.49314067666835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9.4</v>
      </c>
      <c r="AI59" s="14">
        <f>IF('Données projet'!$A$62&gt;35,AI58+AH59-AQ58,IF(A59&lt;'Données projet'!$A$62,$AF$205^A59,IF(A59='Données projet'!$A$62,'Données projet'!$B$62,AI58+AH59-AQ58)))</f>
        <v>235.39999999999998</v>
      </c>
      <c r="AJ59" s="14">
        <f>AI59*VLOOKUP('Données projet'!$B$10,Paramètres!$A$1:$I$89,3,0)*VLOOKUP('Données projet'!$B$10,Paramètres!$A$1:$I$89,5,0)</f>
        <v>212.98991999999998</v>
      </c>
      <c r="AK59" s="14">
        <f t="shared" si="35"/>
        <v>52.588419883221171</v>
      </c>
      <c r="AL59" s="22">
        <f t="shared" si="4"/>
        <v>462.54894196327677</v>
      </c>
      <c r="AM59" s="62">
        <f t="shared" si="5"/>
        <v>755.88227529661003</v>
      </c>
      <c r="AN59" s="62">
        <f ca="1">AVERAGE(OFFSET($AM$3,0,0,'Données projet'!$E$10+1,1))-AVERAGE(OFFSET($H$3,0,0,'Données projet'!$E$10+1,1))</f>
        <v>427.83662275523142</v>
      </c>
      <c r="AO59" s="62">
        <f t="shared" si="36"/>
        <v>240.19413322685813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2">
        <f t="shared" si="32"/>
        <v>9.6122820667787945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70">
        <f t="shared" si="1"/>
        <v>327.61220793297304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83.735137603292344</v>
      </c>
      <c r="T60" s="62">
        <f t="shared" si="34"/>
        <v>277.23937202597483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27.934376288081392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2.2559992914283835E-5</v>
      </c>
      <c r="AC60" s="24">
        <f t="shared" si="3"/>
        <v>27.934398848074306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9.4</v>
      </c>
      <c r="AI60" s="14">
        <f>IF('Données projet'!$A$62&gt;35,AI59+AH60-AQ59,IF(A60&lt;'Données projet'!$A$62,$AF$205^A60,IF(A60='Données projet'!$A$62,'Données projet'!$B$62,AI59+AH60-AQ59)))</f>
        <v>244.79999999999998</v>
      </c>
      <c r="AJ60" s="14">
        <f>AI60*VLOOKUP('Données projet'!$B$10,Paramètres!$A$1:$I$89,3,0)*VLOOKUP('Données projet'!$B$10,Paramètres!$A$1:$I$89,5,0)</f>
        <v>221.49503999999999</v>
      </c>
      <c r="AK60" s="14">
        <f t="shared" si="35"/>
        <v>54.439697086174412</v>
      </c>
      <c r="AL60" s="22">
        <f t="shared" si="4"/>
        <v>480.58633375842032</v>
      </c>
      <c r="AM60" s="62">
        <f t="shared" si="5"/>
        <v>773.91966709175358</v>
      </c>
      <c r="AN60" s="62">
        <f ca="1">AVERAGE(OFFSET($AM$3,0,0,'Données projet'!$E$10+1,1))-AVERAGE(OFFSET($H$3,0,0,'Données projet'!$E$10+1,1))</f>
        <v>427.83662275523142</v>
      </c>
      <c r="AO60" s="62">
        <f t="shared" si="36"/>
        <v>240.19413322685813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2">
        <f t="shared" si="32"/>
        <v>9.7611381424130617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70">
        <f t="shared" si="1"/>
        <v>328.82241559803606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83.735137603292344</v>
      </c>
      <c r="T61" s="62">
        <f t="shared" si="34"/>
        <v>277.23937202597483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27.386600207359262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1.5952323973210562E-5</v>
      </c>
      <c r="AC61" s="24">
        <f t="shared" si="3"/>
        <v>27.386616159683236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9.4</v>
      </c>
      <c r="AI61" s="14">
        <f>IF('Données projet'!$A$62&gt;35,AI60+AH61-AQ60,IF(A61&lt;'Données projet'!$A$62,$AF$205^A61,IF(A61='Données projet'!$A$62,'Données projet'!$B$62,AI60+AH61-AQ60)))</f>
        <v>254.2</v>
      </c>
      <c r="AJ61" s="14">
        <f>AI61*VLOOKUP('Données projet'!$B$10,Paramètres!$A$1:$I$89,3,0)*VLOOKUP('Données projet'!$B$10,Paramètres!$A$1:$I$89,5,0)</f>
        <v>230.00015999999997</v>
      </c>
      <c r="AK61" s="14">
        <f t="shared" si="35"/>
        <v>56.282716126880423</v>
      </c>
      <c r="AL61" s="22">
        <f t="shared" si="4"/>
        <v>498.60934258765002</v>
      </c>
      <c r="AM61" s="62">
        <f t="shared" si="5"/>
        <v>791.94267592098333</v>
      </c>
      <c r="AN61" s="62">
        <f ca="1">AVERAGE(OFFSET($AM$3,0,0,'Données projet'!$E$10+1,1))-AVERAGE(OFFSET($H$3,0,0,'Données projet'!$E$10+1,1))</f>
        <v>427.83662275523142</v>
      </c>
      <c r="AO61" s="62">
        <f t="shared" si="36"/>
        <v>240.19413322685813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2">
        <f t="shared" si="32"/>
        <v>9.9096957632381564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70">
        <f t="shared" si="1"/>
        <v>330.03210345430642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83.735137603292344</v>
      </c>
      <c r="T62" s="62">
        <f t="shared" si="34"/>
        <v>277.23937202597483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26.849565681469674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1.1279996457141918E-5</v>
      </c>
      <c r="AC62" s="24">
        <f t="shared" si="3"/>
        <v>26.849576961466131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9.4</v>
      </c>
      <c r="AI62" s="14">
        <f>IF('Données projet'!$A$62&gt;35,AI61+AH62-AQ61,IF(A62&lt;'Données projet'!$A$62,$AF$205^A62,IF(A62='Données projet'!$A$62,'Données projet'!$B$62,AI61+AH62-AQ61)))</f>
        <v>263.59999999999997</v>
      </c>
      <c r="AJ62" s="14">
        <f>AI62*VLOOKUP('Données projet'!$B$10,Paramètres!$A$1:$I$89,3,0)*VLOOKUP('Données projet'!$B$10,Paramètres!$A$1:$I$89,5,0)</f>
        <v>238.50527999999997</v>
      </c>
      <c r="AK62" s="14">
        <f t="shared" si="35"/>
        <v>58.117817352909881</v>
      </c>
      <c r="AL62" s="22">
        <f t="shared" si="4"/>
        <v>516.61856122298457</v>
      </c>
      <c r="AM62" s="62">
        <f t="shared" si="5"/>
        <v>809.95189455631794</v>
      </c>
      <c r="AN62" s="62">
        <f ca="1">AVERAGE(OFFSET($AM$3,0,0,'Données projet'!$E$10+1,1))-AVERAGE(OFFSET($H$3,0,0,'Données projet'!$E$10+1,1))</f>
        <v>427.83662275523142</v>
      </c>
      <c r="AO62" s="62">
        <f t="shared" si="36"/>
        <v>240.19413322685813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2">
        <f t="shared" si="32"/>
        <v>10.05796057160342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70">
        <f t="shared" si="1"/>
        <v>331.24128132887591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83.735137603292344</v>
      </c>
      <c r="T63" s="62">
        <f t="shared" si="34"/>
        <v>277.23937202597483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26.323062075074063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7.9761619866052812E-6</v>
      </c>
      <c r="AC63" s="24">
        <f t="shared" si="3"/>
        <v>26.323070051236048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273</v>
      </c>
      <c r="AG63" s="13">
        <f>VLOOKUP(A63,'Données projet'!$A$61:$I$81,9,0)</f>
        <v>9.4</v>
      </c>
      <c r="AH63" s="13">
        <f t="array" ref="AH63">INDEX(AG:AG,MIN(IF(ISNUMBER(AG63:AG259),ROW(AG63:AG259),"")))</f>
        <v>9.4</v>
      </c>
      <c r="AI63" s="14">
        <f>IF('Données projet'!$A$62&gt;35,AI62+AH63-AQ62,IF(A63&lt;'Données projet'!$A$62,$AF$205^A63,IF(A63='Données projet'!$A$62,'Données projet'!$B$62,AI62+AH63-AQ62)))</f>
        <v>272.99999999999994</v>
      </c>
      <c r="AJ63" s="14">
        <f>AI63*VLOOKUP('Données projet'!$B$10,Paramètres!$A$1:$I$89,3,0)*VLOOKUP('Données projet'!$B$10,Paramètres!$A$1:$I$89,5,0)</f>
        <v>247.01039999999992</v>
      </c>
      <c r="AK63" s="14">
        <f t="shared" si="35"/>
        <v>59.945315462121812</v>
      </c>
      <c r="AL63" s="22">
        <f t="shared" si="4"/>
        <v>534.61453776319524</v>
      </c>
      <c r="AM63" s="62">
        <f t="shared" si="5"/>
        <v>827.94787109652862</v>
      </c>
      <c r="AN63" s="62">
        <f ca="1">AVERAGE(OFFSET($AM$3,0,0,'Données projet'!$E$10+1,1))-AVERAGE(OFFSET($H$3,0,0,'Données projet'!$E$10+1,1))</f>
        <v>427.83662275523142</v>
      </c>
      <c r="AO63" s="62">
        <f t="shared" si="36"/>
        <v>240.19413322685813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2">
        <f t="shared" si="32"/>
        <v>10.205938010999123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70">
        <f t="shared" si="1"/>
        <v>332.44995870249011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83.735137603292344</v>
      </c>
      <c r="T64" s="62">
        <f t="shared" si="34"/>
        <v>277.23937202597483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25.806882883264379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5.6399982285709588E-6</v>
      </c>
      <c r="AC64" s="24">
        <f t="shared" si="3"/>
        <v>25.806888523262607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8.8000000000000007</v>
      </c>
      <c r="AI64" s="14">
        <f>IF('Données projet'!$A$62&gt;35,AI63+AH64-AQ63,IF(A64&lt;'Données projet'!$A$62,$AF$205^A64,IF(A64='Données projet'!$A$62,'Données projet'!$B$62,AI63+AH64-AQ63)))</f>
        <v>281.79999999999995</v>
      </c>
      <c r="AJ64" s="14">
        <f>AI64*VLOOKUP('Données projet'!$B$10,Paramètres!$A$1:$I$89,3,0)*VLOOKUP('Données projet'!$B$10,Paramètres!$A$1:$I$89,5,0)</f>
        <v>254.97263999999996</v>
      </c>
      <c r="AK64" s="14">
        <f t="shared" si="35"/>
        <v>61.649533232533919</v>
      </c>
      <c r="AL64" s="22">
        <f t="shared" si="4"/>
        <v>551.45028504666311</v>
      </c>
      <c r="AM64" s="62">
        <f t="shared" si="5"/>
        <v>844.78361837999637</v>
      </c>
      <c r="AN64" s="62">
        <f ca="1">AVERAGE(OFFSET($AM$3,0,0,'Données projet'!$E$10+1,1))-AVERAGE(OFFSET($H$3,0,0,'Données projet'!$E$10+1,1))</f>
        <v>427.83662275523142</v>
      </c>
      <c r="AO64" s="62">
        <f t="shared" si="36"/>
        <v>240.19413322685813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2">
        <f t="shared" si="32"/>
        <v>10.353633336208009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70">
        <f t="shared" si="1"/>
        <v>333.65814472722889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83.735137603292344</v>
      </c>
      <c r="T65" s="62">
        <f t="shared" si="34"/>
        <v>277.23937202597483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25.300825650567862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3.9880809933026406E-6</v>
      </c>
      <c r="AC65" s="24">
        <f t="shared" si="3"/>
        <v>25.300829638648857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8.8000000000000007</v>
      </c>
      <c r="AI65" s="14">
        <f>IF('Données projet'!$A$62&gt;35,AI64+AH65-AQ64,IF(A65&lt;'Données projet'!$A$62,$AF$205^A65,IF(A65='Données projet'!$A$62,'Données projet'!$B$62,AI64+AH65-AQ64)))</f>
        <v>290.59999999999997</v>
      </c>
      <c r="AJ65" s="14">
        <f>AI65*VLOOKUP('Données projet'!$B$10,Paramètres!$A$1:$I$89,3,0)*VLOOKUP('Données projet'!$B$10,Paramètres!$A$1:$I$89,5,0)</f>
        <v>262.93487999999996</v>
      </c>
      <c r="AK65" s="14">
        <f t="shared" si="35"/>
        <v>63.347566493432765</v>
      </c>
      <c r="AL65" s="22">
        <f t="shared" si="4"/>
        <v>568.27526097606199</v>
      </c>
      <c r="AM65" s="62">
        <f t="shared" si="5"/>
        <v>861.60859430939536</v>
      </c>
      <c r="AN65" s="62">
        <f ca="1">AVERAGE(OFFSET($AM$3,0,0,'Données projet'!$E$10+1,1))-AVERAGE(OFFSET($H$3,0,0,'Données projet'!$E$10+1,1))</f>
        <v>427.83662275523142</v>
      </c>
      <c r="AO65" s="62">
        <f t="shared" si="36"/>
        <v>240.19413322685813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2">
        <f t="shared" si="32"/>
        <v>10.501051622783336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70">
        <f t="shared" si="1"/>
        <v>334.86584824301428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83.735137603292344</v>
      </c>
      <c r="T66" s="62">
        <f t="shared" si="34"/>
        <v>277.23937202597483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24.804691891540092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2.8199991142854794E-6</v>
      </c>
      <c r="AC66" s="24">
        <f t="shared" si="3"/>
        <v>24.804694711539206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8.8000000000000007</v>
      </c>
      <c r="AI66" s="14">
        <f>IF('Données projet'!$A$62&gt;35,AI65+AH66-AQ65,IF(A66&lt;'Données projet'!$A$62,$AF$205^A66,IF(A66='Données projet'!$A$62,'Données projet'!$B$62,AI65+AH66-AQ65)))</f>
        <v>299.39999999999998</v>
      </c>
      <c r="AJ66" s="14">
        <f>AI66*VLOOKUP('Données projet'!$B$10,Paramètres!$A$1:$I$89,3,0)*VLOOKUP('Données projet'!$B$10,Paramètres!$A$1:$I$89,5,0)</f>
        <v>270.89711999999997</v>
      </c>
      <c r="AK66" s="14">
        <f t="shared" si="35"/>
        <v>65.039624021315475</v>
      </c>
      <c r="AL66" s="22">
        <f t="shared" si="4"/>
        <v>585.08982917045773</v>
      </c>
      <c r="AM66" s="62">
        <f t="shared" si="5"/>
        <v>878.42316250379099</v>
      </c>
      <c r="AN66" s="62">
        <f ca="1">AVERAGE(OFFSET($AM$3,0,0,'Données projet'!$E$10+1,1))-AVERAGE(OFFSET($H$3,0,0,'Données projet'!$E$10+1,1))</f>
        <v>427.83662275523142</v>
      </c>
      <c r="AO66" s="62">
        <f t="shared" si="36"/>
        <v>240.19413322685813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2">
        <f t="shared" si="32"/>
        <v>10.648197775908036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70">
        <f t="shared" si="1"/>
        <v>336.07307779303983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83.735137603292344</v>
      </c>
      <c r="T67" s="62">
        <f t="shared" si="34"/>
        <v>277.23937202597483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24.318287012915142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1.9940404966513203E-6</v>
      </c>
      <c r="AC67" s="24">
        <f t="shared" si="3"/>
        <v>24.318289006955638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8.8000000000000007</v>
      </c>
      <c r="AI67" s="14">
        <f>IF('Données projet'!$A$62&gt;35,AI66+AH67-AQ66,IF(A67&lt;'Données projet'!$A$62,$AF$205^A67,IF(A67='Données projet'!$A$62,'Données projet'!$B$62,AI66+AH67-AQ66)))</f>
        <v>308.2</v>
      </c>
      <c r="AJ67" s="14">
        <f>AI67*VLOOKUP('Données projet'!$B$10,Paramètres!$A$1:$I$89,3,0)*VLOOKUP('Données projet'!$B$10,Paramètres!$A$1:$I$89,5,0)</f>
        <v>278.85935999999998</v>
      </c>
      <c r="AK67" s="14">
        <f t="shared" si="35"/>
        <v>66.725901622172444</v>
      </c>
      <c r="AL67" s="22">
        <f t="shared" si="4"/>
        <v>601.89433065861692</v>
      </c>
      <c r="AM67" s="62">
        <f t="shared" si="5"/>
        <v>895.22766399195029</v>
      </c>
      <c r="AN67" s="62">
        <f ca="1">AVERAGE(OFFSET($AM$3,0,0,'Données projet'!$E$10+1,1))-AVERAGE(OFFSET($H$3,0,0,'Données projet'!$E$10+1,1))</f>
        <v>427.83662275523142</v>
      </c>
      <c r="AO67" s="62">
        <f t="shared" si="36"/>
        <v>240.19413322685813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2">
        <f t="shared" si="32"/>
        <v>10.795076538684501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70">
        <f t="shared" ref="H68:H131" si="56">(B68+E68+F68)*44/12+(C68+D68)*0.475*44/12</f>
        <v>337.27984163820884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83.735137603292344</v>
      </c>
      <c r="T68" s="62">
        <f t="shared" si="34"/>
        <v>277.23937202597483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23.84142023728235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1.4099995571427397E-6</v>
      </c>
      <c r="AC68" s="24">
        <f t="shared" ref="AC68:AC131" si="57">SUM(Z68:AB68)</f>
        <v>23.841421647281908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317</v>
      </c>
      <c r="AG68" s="13">
        <f>VLOOKUP(A68,'Données projet'!$A$61:$I$81,9,0)</f>
        <v>8.8000000000000007</v>
      </c>
      <c r="AH68" s="13">
        <f t="array" ref="AH68">INDEX(AG:AG,MIN(IF(ISNUMBER(AG68:AG264),ROW(AG68:AG264),"")))</f>
        <v>8.8000000000000007</v>
      </c>
      <c r="AI68" s="14">
        <f>IF('Données projet'!$A$62&gt;35,AI67+AH68-AQ67,IF(A68&lt;'Données projet'!$A$62,$AF$205^A68,IF(A68='Données projet'!$A$62,'Données projet'!$B$62,AI67+AH68-AQ67)))</f>
        <v>317</v>
      </c>
      <c r="AJ68" s="14">
        <f>AI68*VLOOKUP('Données projet'!$B$10,Paramètres!$A$1:$I$89,3,0)*VLOOKUP('Données projet'!$B$10,Paramètres!$A$1:$I$89,5,0)</f>
        <v>286.82159999999999</v>
      </c>
      <c r="AK68" s="14">
        <f t="shared" si="35"/>
        <v>68.406583284351484</v>
      </c>
      <c r="AL68" s="22">
        <f t="shared" ref="AL68:AL131" si="58">(AJ68+AK68)*0.475*44/12</f>
        <v>618.68908588691215</v>
      </c>
      <c r="AM68" s="62">
        <f t="shared" ref="AM68:AM131" si="59">AL68+(AD68+AE68)*44/12</f>
        <v>912.02241922024541</v>
      </c>
      <c r="AN68" s="62">
        <f ca="1">AVERAGE(OFFSET($AM$3,0,0,'Données projet'!$E$10+1,1))-AVERAGE(OFFSET($H$3,0,0,'Données projet'!$E$10+1,1))</f>
        <v>427.83662275523142</v>
      </c>
      <c r="AO68" s="62">
        <f t="shared" si="36"/>
        <v>240.19413322685813</v>
      </c>
      <c r="AP68" s="16">
        <f>IF(ISNA(VLOOKUP(A68,'Données projet'!$A$61:$I$81,3,0)),0,VLOOKUP(A68,'Données projet'!$A$61:$I$81,3,0))</f>
        <v>5</v>
      </c>
      <c r="AQ68" s="16">
        <f>IF(ISNA(VLOOKUP(A68,'Données projet'!$A$61:$I$81,4,0)),0,VLOOKUP(A68,'Données projet'!$A$61:$I$81,4,0))</f>
        <v>56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2">
        <f t="shared" ref="D69:D132" si="86">IFERROR(EXP(-1.0587+0.8836*LN(C69)+0.284),0)</f>
        <v>10.941692499899732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70">
        <f t="shared" si="56"/>
        <v>338.48614777065865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83.735137603292344</v>
      </c>
      <c r="T69" s="62">
        <f t="shared" ref="T69:T132" si="88">$T$3</f>
        <v>277.23937202597483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23.3739045282597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9.9702024832566015E-7</v>
      </c>
      <c r="AC69" s="24">
        <f t="shared" si="57"/>
        <v>23.373905525279948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8.1999999999999993</v>
      </c>
      <c r="AI69" s="14">
        <f>IF('Données projet'!$A$62&gt;35,AI68+AH69-AQ68,IF(A69&lt;'Données projet'!$A$62,$AF$205^A69,IF(A69='Données projet'!$A$62,'Données projet'!$B$62,AI68+AH69-AQ68)))</f>
        <v>269.2</v>
      </c>
      <c r="AJ69" s="14">
        <f>AI69*VLOOKUP('Données projet'!$B$10,Paramètres!$A$1:$I$89,3,0)*VLOOKUP('Données projet'!$B$10,Paramètres!$A$1:$I$89,5,0)</f>
        <v>243.57216</v>
      </c>
      <c r="AK69" s="14">
        <f t="shared" ref="AK69:AK132" si="89">EXP(-1.0587+0.8836*LN(AJ69)+0.284)</f>
        <v>59.207435995642292</v>
      </c>
      <c r="AL69" s="22">
        <f t="shared" si="58"/>
        <v>527.34112969241028</v>
      </c>
      <c r="AM69" s="62">
        <f t="shared" si="59"/>
        <v>820.67446302574353</v>
      </c>
      <c r="AN69" s="62">
        <f ca="1">AVERAGE(OFFSET($AM$3,0,0,'Données projet'!$E$10+1,1))-AVERAGE(OFFSET($H$3,0,0,'Données projet'!$E$10+1,1))</f>
        <v>427.83662275523142</v>
      </c>
      <c r="AO69" s="62">
        <f t="shared" ref="AO69:AO132" si="90">$AO$3</f>
        <v>240.19413322685813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2">
        <f t="shared" si="86"/>
        <v>11.088050101306514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70">
        <f t="shared" si="56"/>
        <v>339.69200392644217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83.735137603292344</v>
      </c>
      <c r="T70" s="62">
        <f t="shared" si="88"/>
        <v>277.23937202597483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22.915556517134561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7.0499977857136985E-7</v>
      </c>
      <c r="AC70" s="24">
        <f t="shared" si="57"/>
        <v>22.915557222134339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8.1999999999999993</v>
      </c>
      <c r="AI70" s="14">
        <f>IF('Données projet'!$A$62&gt;35,AI69+AH70-AQ69,IF(A70&lt;'Données projet'!$A$62,$AF$205^A70,IF(A70='Données projet'!$A$62,'Données projet'!$B$62,AI69+AH70-AQ69)))</f>
        <v>277.39999999999998</v>
      </c>
      <c r="AJ70" s="14">
        <f>AI70*VLOOKUP('Données projet'!$B$10,Paramètres!$A$1:$I$89,3,0)*VLOOKUP('Données projet'!$B$10,Paramètres!$A$1:$I$89,5,0)</f>
        <v>250.99151999999995</v>
      </c>
      <c r="AK70" s="14">
        <f t="shared" si="89"/>
        <v>60.798211000769406</v>
      </c>
      <c r="AL70" s="22">
        <f t="shared" si="58"/>
        <v>543.03378149300659</v>
      </c>
      <c r="AM70" s="62">
        <f t="shared" si="59"/>
        <v>836.36711482633996</v>
      </c>
      <c r="AN70" s="62">
        <f ca="1">AVERAGE(OFFSET($AM$3,0,0,'Données projet'!$E$10+1,1))-AVERAGE(OFFSET($H$3,0,0,'Données projet'!$E$10+1,1))</f>
        <v>427.83662275523142</v>
      </c>
      <c r="AO70" s="62">
        <f t="shared" si="90"/>
        <v>240.19413322685813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2">
        <f t="shared" si="86"/>
        <v>11.234153644457548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70">
        <f t="shared" si="56"/>
        <v>340.89741759743021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83.735137603292344</v>
      </c>
      <c r="T71" s="62">
        <f t="shared" si="88"/>
        <v>277.23937202597483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22.466196430942905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4.9851012416283008E-7</v>
      </c>
      <c r="AC71" s="24">
        <f t="shared" si="57"/>
        <v>22.46619692945303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8.1999999999999993</v>
      </c>
      <c r="AI71" s="14">
        <f>IF('Données projet'!$A$62&gt;35,AI70+AH71-AQ70,IF(A71&lt;'Données projet'!$A$62,$AF$205^A71,IF(A71='Données projet'!$A$62,'Données projet'!$B$62,AI70+AH71-AQ70)))</f>
        <v>285.59999999999997</v>
      </c>
      <c r="AJ71" s="14">
        <f>AI71*VLOOKUP('Données projet'!$B$10,Paramètres!$A$1:$I$89,3,0)*VLOOKUP('Données projet'!$B$10,Paramètres!$A$1:$I$89,5,0)</f>
        <v>258.41087999999996</v>
      </c>
      <c r="AK71" s="14">
        <f t="shared" si="89"/>
        <v>62.383521020316756</v>
      </c>
      <c r="AL71" s="22">
        <f t="shared" si="58"/>
        <v>558.71691511038489</v>
      </c>
      <c r="AM71" s="62">
        <f t="shared" si="59"/>
        <v>852.05024844371815</v>
      </c>
      <c r="AN71" s="62">
        <f ca="1">AVERAGE(OFFSET($AM$3,0,0,'Données projet'!$E$10+1,1))-AVERAGE(OFFSET($H$3,0,0,'Données projet'!$E$10+1,1))</f>
        <v>427.83662275523142</v>
      </c>
      <c r="AO71" s="62">
        <f t="shared" si="90"/>
        <v>240.19413322685813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2">
        <f t="shared" si="86"/>
        <v>11.380007297126165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70">
        <f t="shared" si="56"/>
        <v>342.10239604249472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83.735137603292344</v>
      </c>
      <c r="T72" s="62">
        <f t="shared" si="88"/>
        <v>277.23937202597483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22.025648021958876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3.5249988928568492E-7</v>
      </c>
      <c r="AC72" s="24">
        <f t="shared" si="57"/>
        <v>22.025648374458765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8.1999999999999993</v>
      </c>
      <c r="AI72" s="14">
        <f>IF('Données projet'!$A$62&gt;35,AI71+AH72-AQ71,IF(A72&lt;'Données projet'!$A$62,$AF$205^A72,IF(A72='Données projet'!$A$62,'Données projet'!$B$62,AI71+AH72-AQ71)))</f>
        <v>293.79999999999995</v>
      </c>
      <c r="AJ72" s="14">
        <f>AI72*VLOOKUP('Données projet'!$B$10,Paramètres!$A$1:$I$89,3,0)*VLOOKUP('Données projet'!$B$10,Paramètres!$A$1:$I$89,5,0)</f>
        <v>265.83023999999995</v>
      </c>
      <c r="AK72" s="14">
        <f t="shared" si="89"/>
        <v>63.963540982526439</v>
      </c>
      <c r="AL72" s="22">
        <f t="shared" si="58"/>
        <v>574.39083521123348</v>
      </c>
      <c r="AM72" s="62">
        <f t="shared" si="59"/>
        <v>867.72416854456674</v>
      </c>
      <c r="AN72" s="62">
        <f ca="1">AVERAGE(OFFSET($AM$3,0,0,'Données projet'!$E$10+1,1))-AVERAGE(OFFSET($H$3,0,0,'Données projet'!$E$10+1,1))</f>
        <v>427.83662275523142</v>
      </c>
      <c r="AO72" s="62">
        <f t="shared" si="90"/>
        <v>240.19413322685813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2">
        <f t="shared" si="86"/>
        <v>11.525615099344252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70">
        <f t="shared" si="56"/>
        <v>343.30694629802451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83.735137603292344</v>
      </c>
      <c r="T73" s="62">
        <f t="shared" si="88"/>
        <v>277.23937202597483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21.593738498567028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2.4925506208141504E-7</v>
      </c>
      <c r="AC73" s="24">
        <f t="shared" si="57"/>
        <v>21.593738747822091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302</v>
      </c>
      <c r="AG73" s="13">
        <f>VLOOKUP(A73,'Données projet'!$A$61:$I$81,9,0)</f>
        <v>8.1999999999999993</v>
      </c>
      <c r="AH73" s="13">
        <f t="array" ref="AH73">INDEX(AG:AG,MIN(IF(ISNUMBER(AG73:AG269),ROW(AG73:AG269),"")))</f>
        <v>8.1999999999999993</v>
      </c>
      <c r="AI73" s="14">
        <f>IF('Données projet'!$A$62&gt;35,AI72+AH73-AQ72,IF(A73&lt;'Données projet'!$A$62,$AF$205^A73,IF(A73='Données projet'!$A$62,'Données projet'!$B$62,AI72+AH73-AQ72)))</f>
        <v>301.99999999999994</v>
      </c>
      <c r="AJ73" s="14">
        <f>AI73*VLOOKUP('Données projet'!$B$10,Paramètres!$A$1:$I$89,3,0)*VLOOKUP('Données projet'!$B$10,Paramètres!$A$1:$I$89,5,0)</f>
        <v>273.24959999999999</v>
      </c>
      <c r="AK73" s="14">
        <f t="shared" si="89"/>
        <v>65.538435495514321</v>
      </c>
      <c r="AL73" s="22">
        <f t="shared" si="58"/>
        <v>590.05582848802067</v>
      </c>
      <c r="AM73" s="62">
        <f t="shared" si="59"/>
        <v>883.38916182135404</v>
      </c>
      <c r="AN73" s="62">
        <f ca="1">AVERAGE(OFFSET($AM$3,0,0,'Données projet'!$E$10+1,1))-AVERAGE(OFFSET($H$3,0,0,'Données projet'!$E$10+1,1))</f>
        <v>427.83662275523142</v>
      </c>
      <c r="AO73" s="62">
        <f t="shared" si="90"/>
        <v>240.19413322685813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2">
        <f t="shared" si="86"/>
        <v>11.670980969085333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70">
        <f t="shared" si="56"/>
        <v>344.51107518782362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83.735137603292344</v>
      </c>
      <c r="T74" s="62">
        <f t="shared" si="88"/>
        <v>277.23937202597483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21.170298457490095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1.7624994464284246E-7</v>
      </c>
      <c r="AC74" s="24">
        <f t="shared" si="57"/>
        <v>21.170298633740039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7.6</v>
      </c>
      <c r="AI74" s="14">
        <f>IF('Données projet'!$A$62&gt;35,AI73+AH74-AQ73,IF(A74&lt;'Données projet'!$A$62,$AF$205^A74,IF(A74='Données projet'!$A$62,'Données projet'!$B$62,AI73+AH74-AQ73)))</f>
        <v>309.59999999999997</v>
      </c>
      <c r="AJ74" s="14">
        <f>AI74*VLOOKUP('Données projet'!$B$10,Paramètres!$A$1:$I$89,3,0)*VLOOKUP('Données projet'!$B$10,Paramètres!$A$1:$I$89,5,0)</f>
        <v>280.12607999999994</v>
      </c>
      <c r="AK74" s="14">
        <f t="shared" si="89"/>
        <v>66.993652511337999</v>
      </c>
      <c r="AL74" s="22">
        <f t="shared" si="58"/>
        <v>604.56686745724687</v>
      </c>
      <c r="AM74" s="62">
        <f t="shared" si="59"/>
        <v>897.90020079058013</v>
      </c>
      <c r="AN74" s="62">
        <f ca="1">AVERAGE(OFFSET($AM$3,0,0,'Données projet'!$E$10+1,1))-AVERAGE(OFFSET($H$3,0,0,'Données projet'!$E$10+1,1))</f>
        <v>427.83662275523142</v>
      </c>
      <c r="AO74" s="62">
        <f t="shared" si="90"/>
        <v>240.19413322685813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2">
        <f t="shared" si="86"/>
        <v>11.816108707618389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70">
        <f t="shared" si="56"/>
        <v>345.71478933243532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83.735137603292344</v>
      </c>
      <c r="T75" s="62">
        <f t="shared" si="88"/>
        <v>277.23937202597483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20.755161817345758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1.2462753104070752E-7</v>
      </c>
      <c r="AC75" s="24">
        <f t="shared" si="57"/>
        <v>20.755161941973288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7.6</v>
      </c>
      <c r="AI75" s="14">
        <f>IF('Données projet'!$A$62&gt;35,AI74+AH75-AQ74,IF(A75&lt;'Données projet'!$A$62,$AF$205^A75,IF(A75='Données projet'!$A$62,'Données projet'!$B$62,AI74+AH75-AQ74)))</f>
        <v>317.2</v>
      </c>
      <c r="AJ75" s="14">
        <f>AI75*VLOOKUP('Données projet'!$B$10,Paramètres!$A$1:$I$89,3,0)*VLOOKUP('Données projet'!$B$10,Paramètres!$A$1:$I$89,5,0)</f>
        <v>287.00255999999996</v>
      </c>
      <c r="AK75" s="14">
        <f t="shared" si="89"/>
        <v>68.444716936118553</v>
      </c>
      <c r="AL75" s="22">
        <f t="shared" si="58"/>
        <v>619.07067399707296</v>
      </c>
      <c r="AM75" s="62">
        <f t="shared" si="59"/>
        <v>912.40400733040633</v>
      </c>
      <c r="AN75" s="62">
        <f ca="1">AVERAGE(OFFSET($AM$3,0,0,'Données projet'!$E$10+1,1))-AVERAGE(OFFSET($H$3,0,0,'Données projet'!$E$10+1,1))</f>
        <v>427.83662275523142</v>
      </c>
      <c r="AO75" s="62">
        <f t="shared" si="90"/>
        <v>240.19413322685813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2">
        <f t="shared" si="86"/>
        <v>11.961002004555786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70">
        <f t="shared" si="56"/>
        <v>346.9180951579346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83.735137603292344</v>
      </c>
      <c r="T76" s="62">
        <f t="shared" si="88"/>
        <v>277.23937202597483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20.348165753506304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8.8124972321421231E-8</v>
      </c>
      <c r="AC76" s="24">
        <f t="shared" si="57"/>
        <v>20.348165841631278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7.6</v>
      </c>
      <c r="AI76" s="14">
        <f>IF('Données projet'!$A$62&gt;35,AI75+AH76-AQ75,IF(A76&lt;'Données projet'!$A$62,$AF$205^A76,IF(A76='Données projet'!$A$62,'Données projet'!$B$62,AI75+AH76-AQ75)))</f>
        <v>324.8</v>
      </c>
      <c r="AJ76" s="14">
        <f>AI76*VLOOKUP('Données projet'!$B$10,Paramètres!$A$1:$I$89,3,0)*VLOOKUP('Données projet'!$B$10,Paramètres!$A$1:$I$89,5,0)</f>
        <v>293.87903999999997</v>
      </c>
      <c r="AK76" s="14">
        <f t="shared" si="89"/>
        <v>69.891739712361669</v>
      </c>
      <c r="AL76" s="22">
        <f t="shared" si="58"/>
        <v>633.56744133236327</v>
      </c>
      <c r="AM76" s="62">
        <f t="shared" si="59"/>
        <v>926.90077466569664</v>
      </c>
      <c r="AN76" s="62">
        <f ca="1">AVERAGE(OFFSET($AM$3,0,0,'Données projet'!$E$10+1,1))-AVERAGE(OFFSET($H$3,0,0,'Données projet'!$E$10+1,1))</f>
        <v>427.83662275523142</v>
      </c>
      <c r="AO76" s="62">
        <f t="shared" si="90"/>
        <v>240.19413322685813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2">
        <f t="shared" si="86"/>
        <v>12.105664442616701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70">
        <f t="shared" si="56"/>
        <v>348.12099890422405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83.735137603292344</v>
      </c>
      <c r="T77" s="62">
        <f t="shared" si="88"/>
        <v>277.23937202597483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19.949150634235654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6.2313765520353759E-8</v>
      </c>
      <c r="AC77" s="24">
        <f t="shared" si="57"/>
        <v>19.94915069654942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7.6</v>
      </c>
      <c r="AI77" s="14">
        <f>IF('Données projet'!$A$62&gt;35,AI76+AH77-AQ76,IF(A77&lt;'Données projet'!$A$62,$AF$205^A77,IF(A77='Données projet'!$A$62,'Données projet'!$B$62,AI76+AH77-AQ76)))</f>
        <v>332.40000000000003</v>
      </c>
      <c r="AJ77" s="14">
        <f>AI77*VLOOKUP('Données projet'!$B$10,Paramètres!$A$1:$I$89,3,0)*VLOOKUP('Données projet'!$B$10,Paramètres!$A$1:$I$89,5,0)</f>
        <v>300.75551999999999</v>
      </c>
      <c r="AK77" s="14">
        <f t="shared" si="89"/>
        <v>71.334826294482014</v>
      </c>
      <c r="AL77" s="22">
        <f t="shared" si="58"/>
        <v>648.05735312955619</v>
      </c>
      <c r="AM77" s="62">
        <f t="shared" si="59"/>
        <v>941.39068646288956</v>
      </c>
      <c r="AN77" s="62">
        <f ca="1">AVERAGE(OFFSET($AM$3,0,0,'Données projet'!$E$10+1,1))-AVERAGE(OFFSET($H$3,0,0,'Données projet'!$E$10+1,1))</f>
        <v>427.83662275523142</v>
      </c>
      <c r="AO77" s="62">
        <f t="shared" si="90"/>
        <v>240.19413322685813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2">
        <f t="shared" si="86"/>
        <v>12.250099502125838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70">
        <f t="shared" si="56"/>
        <v>349.32350663286911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83.735137603292344</v>
      </c>
      <c r="T78" s="62">
        <f t="shared" si="88"/>
        <v>277.23937202597483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19.557959958078712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4.4062486160710616E-8</v>
      </c>
      <c r="AC78" s="24">
        <f t="shared" si="57"/>
        <v>19.557960002141197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340</v>
      </c>
      <c r="AG78" s="13">
        <f>VLOOKUP(A78,'Données projet'!$A$61:$I$81,9,0)</f>
        <v>7.6</v>
      </c>
      <c r="AH78" s="13">
        <f t="array" ref="AH78">INDEX(AG:AG,MIN(IF(ISNUMBER(AG78:AG274),ROW(AG78:AG274),"")))</f>
        <v>7.6</v>
      </c>
      <c r="AI78" s="14">
        <f>IF('Données projet'!$A$62&gt;35,AI77+AH78-AQ77,IF(A78&lt;'Données projet'!$A$62,$AF$205^A78,IF(A78='Données projet'!$A$62,'Données projet'!$B$62,AI77+AH78-AQ77)))</f>
        <v>340.00000000000006</v>
      </c>
      <c r="AJ78" s="14">
        <f>AI78*VLOOKUP('Données projet'!$B$10,Paramètres!$A$1:$I$89,3,0)*VLOOKUP('Données projet'!$B$10,Paramètres!$A$1:$I$89,5,0)</f>
        <v>307.63200000000006</v>
      </c>
      <c r="AK78" s="14">
        <f t="shared" si="89"/>
        <v>72.774077039465567</v>
      </c>
      <c r="AL78" s="22">
        <f t="shared" si="58"/>
        <v>662.54058417706926</v>
      </c>
      <c r="AM78" s="62">
        <f t="shared" si="59"/>
        <v>955.87391751040263</v>
      </c>
      <c r="AN78" s="62">
        <f ca="1">AVERAGE(OFFSET($AM$3,0,0,'Données projet'!$E$10+1,1))-AVERAGE(OFFSET($H$3,0,0,'Données projet'!$E$10+1,1))</f>
        <v>427.83662275523142</v>
      </c>
      <c r="AO78" s="62">
        <f t="shared" si="90"/>
        <v>240.19413322685813</v>
      </c>
      <c r="AP78" s="16">
        <f>IF(ISNA(VLOOKUP(A78,'Données projet'!$A$61:$I$81,3,0)),0,VLOOKUP(A78,'Données projet'!$A$61:$I$81,3,0))</f>
        <v>6</v>
      </c>
      <c r="AQ78" s="16">
        <f>IF(ISNA(VLOOKUP(A78,'Données projet'!$A$61:$I$81,4,0)),0,VLOOKUP(A78,'Données projet'!$A$61:$I$81,4,0))</f>
        <v>56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2">
        <f t="shared" si="86"/>
        <v>12.394310565265254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70">
        <f t="shared" si="56"/>
        <v>350.5256242345036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83.735137603292344</v>
      </c>
      <c r="T79" s="62">
        <f t="shared" si="88"/>
        <v>277.23937202597483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19.174440292478454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3.115688276017688E-8</v>
      </c>
      <c r="AC79" s="24">
        <f t="shared" si="57"/>
        <v>19.174440323635338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7.2</v>
      </c>
      <c r="AI79" s="14">
        <f>IF('Données projet'!$A$62&gt;35,AI78+AH79-AQ78,IF(A79&lt;'Données projet'!$A$62,$AF$205^A79,IF(A79='Données projet'!$A$62,'Données projet'!$B$62,AI78+AH79-AQ78)))</f>
        <v>291.20000000000005</v>
      </c>
      <c r="AJ79" s="14">
        <f>AI79*VLOOKUP('Données projet'!$B$10,Paramètres!$A$1:$I$89,3,0)*VLOOKUP('Données projet'!$B$10,Paramètres!$A$1:$I$89,5,0)</f>
        <v>263.47776000000005</v>
      </c>
      <c r="AK79" s="14">
        <f t="shared" si="89"/>
        <v>63.46312159763346</v>
      </c>
      <c r="AL79" s="22">
        <f t="shared" si="58"/>
        <v>569.42203544921165</v>
      </c>
      <c r="AM79" s="62">
        <f t="shared" si="59"/>
        <v>862.75536878254502</v>
      </c>
      <c r="AN79" s="62">
        <f ca="1">AVERAGE(OFFSET($AM$3,0,0,'Données projet'!$E$10+1,1))-AVERAGE(OFFSET($H$3,0,0,'Données projet'!$E$10+1,1))</f>
        <v>427.83662275523142</v>
      </c>
      <c r="AO79" s="62">
        <f t="shared" si="90"/>
        <v>240.19413322685813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2">
        <f t="shared" si="86"/>
        <v>12.538300920096166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70">
        <f t="shared" si="56"/>
        <v>351.72735743583411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83.735137603292344</v>
      </c>
      <c r="T80" s="62">
        <f t="shared" si="88"/>
        <v>277.23937202597483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18.798441213596721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2.2031243080355308E-8</v>
      </c>
      <c r="AC80" s="24">
        <f t="shared" si="57"/>
        <v>18.798441235627966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7.2</v>
      </c>
      <c r="AI80" s="14">
        <f>IF('Données projet'!$A$62&gt;35,AI79+AH80-AQ79,IF(A80&lt;'Données projet'!$A$62,$AF$205^A80,IF(A80='Données projet'!$A$62,'Données projet'!$B$62,AI79+AH80-AQ79)))</f>
        <v>298.40000000000003</v>
      </c>
      <c r="AJ80" s="14">
        <f>AI80*VLOOKUP('Données projet'!$B$10,Paramètres!$A$1:$I$89,3,0)*VLOOKUP('Données projet'!$B$10,Paramètres!$A$1:$I$89,5,0)</f>
        <v>269.99232000000001</v>
      </c>
      <c r="AK80" s="14">
        <f t="shared" si="89"/>
        <v>64.847639395310296</v>
      </c>
      <c r="AL80" s="22">
        <f t="shared" si="58"/>
        <v>583.17959594683214</v>
      </c>
      <c r="AM80" s="62">
        <f t="shared" si="59"/>
        <v>876.51292928016551</v>
      </c>
      <c r="AN80" s="62">
        <f ca="1">AVERAGE(OFFSET($AM$3,0,0,'Données projet'!$E$10+1,1))-AVERAGE(OFFSET($H$3,0,0,'Données projet'!$E$10+1,1))</f>
        <v>427.83662275523142</v>
      </c>
      <c r="AO80" s="62">
        <f t="shared" si="90"/>
        <v>240.19413322685813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2">
        <f t="shared" si="86"/>
        <v>12.682073764365757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70">
        <f t="shared" si="56"/>
        <v>352.92871180627031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83.735137603292344</v>
      </c>
      <c r="T81" s="62">
        <f t="shared" si="88"/>
        <v>277.23937202597483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18.429815247315066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1.557844138008844E-8</v>
      </c>
      <c r="AC81" s="24">
        <f t="shared" si="57"/>
        <v>18.429815262893506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7.2</v>
      </c>
      <c r="AI81" s="14">
        <f>IF('Données projet'!$A$62&gt;35,AI80+AH81-AQ80,IF(A81&lt;'Données projet'!$A$62,$AF$205^A81,IF(A81='Données projet'!$A$62,'Données projet'!$B$62,AI80+AH81-AQ80)))</f>
        <v>305.60000000000002</v>
      </c>
      <c r="AJ81" s="14">
        <f>AI81*VLOOKUP('Données projet'!$B$10,Paramètres!$A$1:$I$89,3,0)*VLOOKUP('Données projet'!$B$10,Paramètres!$A$1:$I$89,5,0)</f>
        <v>276.50687999999997</v>
      </c>
      <c r="AK81" s="14">
        <f t="shared" si="89"/>
        <v>66.228273722513677</v>
      </c>
      <c r="AL81" s="22">
        <f t="shared" si="58"/>
        <v>596.93039273337797</v>
      </c>
      <c r="AM81" s="62">
        <f t="shared" si="59"/>
        <v>890.26372606671134</v>
      </c>
      <c r="AN81" s="62">
        <f ca="1">AVERAGE(OFFSET($AM$3,0,0,'Données projet'!$E$10+1,1))-AVERAGE(OFFSET($H$3,0,0,'Données projet'!$E$10+1,1))</f>
        <v>427.83662275523142</v>
      </c>
      <c r="AO81" s="62">
        <f t="shared" si="90"/>
        <v>240.19413322685813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2">
        <f t="shared" si="86"/>
        <v>12.82563220911333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70">
        <f t="shared" si="56"/>
        <v>354.12969276420569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83.735137603292344</v>
      </c>
      <c r="T82" s="62">
        <f t="shared" si="88"/>
        <v>277.23937202597483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18.068417811392553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1.1015621540177654E-8</v>
      </c>
      <c r="AC82" s="24">
        <f t="shared" si="57"/>
        <v>18.068417822408176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7.2</v>
      </c>
      <c r="AI82" s="14">
        <f>IF('Données projet'!$A$62&gt;35,AI81+AH82-AQ81,IF(A82&lt;'Données projet'!$A$62,$AF$205^A82,IF(A82='Données projet'!$A$62,'Données projet'!$B$62,AI81+AH82-AQ81)))</f>
        <v>312.8</v>
      </c>
      <c r="AJ82" s="14">
        <f>AI82*VLOOKUP('Données projet'!$B$10,Paramètres!$A$1:$I$89,3,0)*VLOOKUP('Données projet'!$B$10,Paramètres!$A$1:$I$89,5,0)</f>
        <v>283.02144000000004</v>
      </c>
      <c r="AK82" s="14">
        <f t="shared" si="89"/>
        <v>67.605126603830598</v>
      </c>
      <c r="AL82" s="22">
        <f t="shared" si="58"/>
        <v>610.67460350167164</v>
      </c>
      <c r="AM82" s="62">
        <f t="shared" si="59"/>
        <v>904.00793683500501</v>
      </c>
      <c r="AN82" s="62">
        <f ca="1">AVERAGE(OFFSET($AM$3,0,0,'Données projet'!$E$10+1,1))-AVERAGE(OFFSET($H$3,0,0,'Données projet'!$E$10+1,1))</f>
        <v>427.83662275523142</v>
      </c>
      <c r="AO82" s="62">
        <f t="shared" si="90"/>
        <v>240.19413322685813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2">
        <f t="shared" si="86"/>
        <v>12.968979282088567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70">
        <f t="shared" si="56"/>
        <v>355.33030558297088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83.735137603292344</v>
      </c>
      <c r="T83" s="62">
        <f t="shared" si="88"/>
        <v>277.23937202597483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17.714107158757812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7.7892206900442199E-9</v>
      </c>
      <c r="AC83" s="24">
        <f t="shared" si="57"/>
        <v>17.714107166547034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320</v>
      </c>
      <c r="AG83" s="13">
        <f>VLOOKUP(A83,'Données projet'!$A$61:$I$81,9,0)</f>
        <v>7.2</v>
      </c>
      <c r="AH83" s="13">
        <f t="array" ref="AH83">INDEX(AG:AG,MIN(IF(ISNUMBER(AG83:AG279),ROW(AG83:AG279),"")))</f>
        <v>7.2</v>
      </c>
      <c r="AI83" s="14">
        <f>IF('Données projet'!$A$62&gt;35,AI82+AH83-AQ82,IF(A83&lt;'Données projet'!$A$62,$AF$205^A83,IF(A83='Données projet'!$A$62,'Données projet'!$B$62,AI82+AH83-AQ82)))</f>
        <v>320</v>
      </c>
      <c r="AJ83" s="14">
        <f>AI83*VLOOKUP('Données projet'!$B$10,Paramètres!$A$1:$I$89,3,0)*VLOOKUP('Données projet'!$B$10,Paramètres!$A$1:$I$89,5,0)</f>
        <v>289.536</v>
      </c>
      <c r="AK83" s="14">
        <f t="shared" si="89"/>
        <v>68.97829509904436</v>
      </c>
      <c r="AL83" s="22">
        <f t="shared" si="58"/>
        <v>624.41239729750225</v>
      </c>
      <c r="AM83" s="62">
        <f t="shared" si="59"/>
        <v>917.74573063083562</v>
      </c>
      <c r="AN83" s="62">
        <f ca="1">AVERAGE(OFFSET($AM$3,0,0,'Données projet'!$E$10+1,1))-AVERAGE(OFFSET($H$3,0,0,'Données projet'!$E$10+1,1))</f>
        <v>427.83662275523142</v>
      </c>
      <c r="AO83" s="62">
        <f t="shared" si="90"/>
        <v>240.19413322685813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2">
        <f t="shared" si="86"/>
        <v>13.112117930994097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70">
        <f t="shared" si="56"/>
        <v>356.53055539648136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83.735137603292344</v>
      </c>
      <c r="T84" s="62">
        <f t="shared" si="88"/>
        <v>277.23937202597483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17.366744321913078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5.5078107700888269E-9</v>
      </c>
      <c r="AC84" s="24">
        <f t="shared" si="57"/>
        <v>17.366744327420889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6.6</v>
      </c>
      <c r="AI84" s="14">
        <f>IF('Données projet'!$A$62&gt;35,AI83+AH84-AQ83,IF(A84&lt;'Données projet'!$A$62,$AF$205^A84,IF(A84='Données projet'!$A$62,'Données projet'!$B$62,AI83+AH84-AQ83)))</f>
        <v>326.60000000000002</v>
      </c>
      <c r="AJ84" s="14">
        <f>AI84*VLOOKUP('Données projet'!$B$10,Paramètres!$A$1:$I$89,3,0)*VLOOKUP('Données projet'!$B$10,Paramètres!$A$1:$I$89,5,0)</f>
        <v>295.50767999999999</v>
      </c>
      <c r="AK84" s="14">
        <f t="shared" si="89"/>
        <v>70.233875285761272</v>
      </c>
      <c r="AL84" s="22">
        <f t="shared" si="58"/>
        <v>636.99987545603415</v>
      </c>
      <c r="AM84" s="62">
        <f t="shared" si="59"/>
        <v>930.33320878936752</v>
      </c>
      <c r="AN84" s="62">
        <f ca="1">AVERAGE(OFFSET($AM$3,0,0,'Données projet'!$E$10+1,1))-AVERAGE(OFFSET($H$3,0,0,'Données projet'!$E$10+1,1))</f>
        <v>427.83662275523142</v>
      </c>
      <c r="AO84" s="62">
        <f t="shared" si="90"/>
        <v>240.19413322685813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2">
        <f t="shared" si="86"/>
        <v>13.255051026563269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70">
        <f t="shared" si="56"/>
        <v>357.73044720459762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83.735137603292344</v>
      </c>
      <c r="T85" s="62">
        <f t="shared" si="88"/>
        <v>277.23937202597483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17.026193058428461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3.89461034502211E-9</v>
      </c>
      <c r="AC85" s="24">
        <f t="shared" si="57"/>
        <v>17.02619306232307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6.6</v>
      </c>
      <c r="AI85" s="14">
        <f>IF('Données projet'!$A$62&gt;35,AI84+AH85-AQ84,IF(A85&lt;'Données projet'!$A$62,$AF$205^A85,IF(A85='Données projet'!$A$62,'Données projet'!$B$62,AI84+AH85-AQ84)))</f>
        <v>333.20000000000005</v>
      </c>
      <c r="AJ85" s="14">
        <f>AI85*VLOOKUP('Données projet'!$B$10,Paramètres!$A$1:$I$89,3,0)*VLOOKUP('Données projet'!$B$10,Paramètres!$A$1:$I$89,5,0)</f>
        <v>301.47935999999999</v>
      </c>
      <c r="AK85" s="14">
        <f t="shared" si="89"/>
        <v>71.486505311225272</v>
      </c>
      <c r="AL85" s="22">
        <f t="shared" si="58"/>
        <v>649.58221541705063</v>
      </c>
      <c r="AM85" s="62">
        <f t="shared" si="59"/>
        <v>942.915548750384</v>
      </c>
      <c r="AN85" s="62">
        <f ca="1">AVERAGE(OFFSET($AM$3,0,0,'Données projet'!$E$10+1,1))-AVERAGE(OFFSET($H$3,0,0,'Données projet'!$E$10+1,1))</f>
        <v>427.83662275523142</v>
      </c>
      <c r="AO85" s="62">
        <f t="shared" si="90"/>
        <v>240.19413322685813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2">
        <f t="shared" si="86"/>
        <v>13.397781365483624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70">
        <f t="shared" si="56"/>
        <v>358.92998587821728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83.735137603292344</v>
      </c>
      <c r="T86" s="62">
        <f t="shared" si="88"/>
        <v>277.23937202597483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16.692319797505014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2.7539053850444135E-9</v>
      </c>
      <c r="AC86" s="24">
        <f t="shared" si="57"/>
        <v>16.692319800258918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6.6</v>
      </c>
      <c r="AI86" s="14">
        <f>IF('Données projet'!$A$62&gt;35,AI85+AH86-AQ85,IF(A86&lt;'Données projet'!$A$62,$AF$205^A86,IF(A86='Données projet'!$A$62,'Données projet'!$B$62,AI85+AH86-AQ85)))</f>
        <v>339.80000000000007</v>
      </c>
      <c r="AJ86" s="14">
        <f>AI86*VLOOKUP('Données projet'!$B$10,Paramètres!$A$1:$I$89,3,0)*VLOOKUP('Données projet'!$B$10,Paramètres!$A$1:$I$89,5,0)</f>
        <v>307.45104000000003</v>
      </c>
      <c r="AK86" s="14">
        <f t="shared" si="89"/>
        <v>72.736250347470119</v>
      </c>
      <c r="AL86" s="22">
        <f t="shared" si="58"/>
        <v>662.15953068851047</v>
      </c>
      <c r="AM86" s="62">
        <f t="shared" si="59"/>
        <v>955.49286402184384</v>
      </c>
      <c r="AN86" s="62">
        <f ca="1">AVERAGE(OFFSET($AM$3,0,0,'Données projet'!$E$10+1,1))-AVERAGE(OFFSET($H$3,0,0,'Données projet'!$E$10+1,1))</f>
        <v>427.83662275523142</v>
      </c>
      <c r="AO86" s="62">
        <f t="shared" si="90"/>
        <v>240.19413322685813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2">
        <f t="shared" si="86"/>
        <v>13.540311673175388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70">
        <f t="shared" si="56"/>
        <v>360.12917616411374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83.735137603292344</v>
      </c>
      <c r="T87" s="62">
        <f t="shared" si="88"/>
        <v>277.23937202597483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16.364993587585698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1.947305172511055E-9</v>
      </c>
      <c r="AC87" s="24">
        <f t="shared" si="57"/>
        <v>16.364993589533004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6.6</v>
      </c>
      <c r="AI87" s="14">
        <f>IF('Données projet'!$A$62&gt;35,AI86+AH87-AQ86,IF(A87&lt;'Données projet'!$A$62,$AF$205^A87,IF(A87='Données projet'!$A$62,'Données projet'!$B$62,AI86+AH87-AQ86)))</f>
        <v>346.40000000000009</v>
      </c>
      <c r="AJ87" s="14">
        <f>AI87*VLOOKUP('Données projet'!$B$10,Paramètres!$A$1:$I$89,3,0)*VLOOKUP('Données projet'!$B$10,Paramètres!$A$1:$I$89,5,0)</f>
        <v>313.42272000000008</v>
      </c>
      <c r="AK87" s="14">
        <f t="shared" si="89"/>
        <v>73.983172890008831</v>
      </c>
      <c r="AL87" s="22">
        <f t="shared" si="58"/>
        <v>674.73193011676551</v>
      </c>
      <c r="AM87" s="62">
        <f t="shared" si="59"/>
        <v>968.06526345009888</v>
      </c>
      <c r="AN87" s="62">
        <f ca="1">AVERAGE(OFFSET($AM$3,0,0,'Données projet'!$E$10+1,1))-AVERAGE(OFFSET($H$3,0,0,'Données projet'!$E$10+1,1))</f>
        <v>427.83662275523142</v>
      </c>
      <c r="AO87" s="62">
        <f t="shared" si="90"/>
        <v>240.19413322685813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2">
        <f t="shared" si="86"/>
        <v>13.68264460643392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70">
        <f t="shared" si="56"/>
        <v>361.32802268953901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83.735137603292344</v>
      </c>
      <c r="T88" s="62">
        <f t="shared" si="88"/>
        <v>277.23937202597483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16.044086044993623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1.3769526925222067E-9</v>
      </c>
      <c r="AC88" s="24">
        <f t="shared" si="57"/>
        <v>16.044086046370577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6.6</v>
      </c>
      <c r="AI88" s="14">
        <f>IF('Données projet'!$A$62&gt;35,AI87+AH88-AQ87,IF(A88&lt;'Données projet'!$A$62,$AF$205^A88,IF(A88='Données projet'!$A$62,'Données projet'!$B$62,AI87+AH88-AQ87)))</f>
        <v>353.00000000000011</v>
      </c>
      <c r="AJ88" s="14">
        <f>AI88*VLOOKUP('Données projet'!$B$10,Paramètres!$A$1:$I$89,3,0)*VLOOKUP('Données projet'!$B$10,Paramètres!$A$1:$I$89,5,0)</f>
        <v>319.39440000000013</v>
      </c>
      <c r="AK88" s="14">
        <f t="shared" si="89"/>
        <v>75.227332916620099</v>
      </c>
      <c r="AL88" s="22">
        <f t="shared" si="58"/>
        <v>687.29951816311348</v>
      </c>
      <c r="AM88" s="62">
        <f t="shared" si="59"/>
        <v>980.63285149644685</v>
      </c>
      <c r="AN88" s="62">
        <f ca="1">AVERAGE(OFFSET($AM$3,0,0,'Données projet'!$E$10+1,1))-AVERAGE(OFFSET($H$3,0,0,'Données projet'!$E$10+1,1))</f>
        <v>427.83662275523142</v>
      </c>
      <c r="AO88" s="62">
        <f t="shared" si="90"/>
        <v>240.19413322685813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2">
        <f t="shared" si="86"/>
        <v>13.824782755944199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70">
        <f t="shared" si="56"/>
        <v>362.52652996660277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83.735137603292344</v>
      </c>
      <c r="T89" s="62">
        <f t="shared" si="88"/>
        <v>277.23937202597483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15.729471303577506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9.7365258625552749E-10</v>
      </c>
      <c r="AC89" s="24">
        <f t="shared" si="57"/>
        <v>15.72947130455116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6.6</v>
      </c>
      <c r="AI89" s="14">
        <f>IF('Données projet'!$A$62&gt;35,AI88+AH89-AQ88,IF(A89&lt;'Données projet'!$A$62,$AF$205^A89,IF(A89='Données projet'!$A$62,'Données projet'!$B$62,AI88+AH89-AQ88)))</f>
        <v>359.60000000000014</v>
      </c>
      <c r="AJ89" s="14">
        <f>AI89*VLOOKUP('Données projet'!$B$10,Paramètres!$A$1:$I$89,3,0)*VLOOKUP('Données projet'!$B$10,Paramètres!$A$1:$I$89,5,0)</f>
        <v>325.36608000000012</v>
      </c>
      <c r="AK89" s="14">
        <f t="shared" si="89"/>
        <v>76.468788033923758</v>
      </c>
      <c r="AL89" s="22">
        <f t="shared" si="58"/>
        <v>699.86239515908403</v>
      </c>
      <c r="AM89" s="62">
        <f t="shared" si="59"/>
        <v>993.1957284924174</v>
      </c>
      <c r="AN89" s="62">
        <f ca="1">AVERAGE(OFFSET($AM$3,0,0,'Données projet'!$E$10+1,1))-AVERAGE(OFFSET($H$3,0,0,'Données projet'!$E$10+1,1))</f>
        <v>427.83662275523142</v>
      </c>
      <c r="AO89" s="62">
        <f t="shared" si="90"/>
        <v>240.19413322685813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2">
        <f t="shared" si="86"/>
        <v>13.966728648675151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70">
        <f t="shared" si="56"/>
        <v>363.72470239644252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83.735137603292344</v>
      </c>
      <c r="T90" s="62">
        <f t="shared" si="88"/>
        <v>277.23937202597483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15.421025965344516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6.8847634626110337E-10</v>
      </c>
      <c r="AC90" s="24">
        <f t="shared" si="57"/>
        <v>15.421025966032992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6.6</v>
      </c>
      <c r="AI90" s="14">
        <f>IF('Données projet'!$A$62&gt;35,AI89+AH90-AQ89,IF(A90&lt;'Données projet'!$A$62,$AF$205^A90,IF(A90='Données projet'!$A$62,'Données projet'!$B$62,AI89+AH90-AQ89)))</f>
        <v>366.20000000000016</v>
      </c>
      <c r="AJ90" s="14">
        <f>AI90*VLOOKUP('Données projet'!$B$10,Paramètres!$A$1:$I$89,3,0)*VLOOKUP('Données projet'!$B$10,Paramètres!$A$1:$I$89,5,0)</f>
        <v>331.33776000000012</v>
      </c>
      <c r="AK90" s="14">
        <f t="shared" si="89"/>
        <v>77.707593612890619</v>
      </c>
      <c r="AL90" s="22">
        <f t="shared" si="58"/>
        <v>712.42065754245129</v>
      </c>
      <c r="AM90" s="62">
        <f t="shared" si="59"/>
        <v>1005.7539908757847</v>
      </c>
      <c r="AN90" s="62">
        <f ca="1">AVERAGE(OFFSET($AM$3,0,0,'Données projet'!$E$10+1,1))-AVERAGE(OFFSET($H$3,0,0,'Données projet'!$E$10+1,1))</f>
        <v>427.83662275523142</v>
      </c>
      <c r="AO90" s="62">
        <f t="shared" si="90"/>
        <v>240.19413322685813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2">
        <f t="shared" si="86"/>
        <v>14.10848475016061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70">
        <f t="shared" si="56"/>
        <v>364.92254427319637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83.735137603292344</v>
      </c>
      <c r="T91" s="62">
        <f t="shared" si="88"/>
        <v>277.23937202597483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15.118629052061193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4.8682629312776375E-10</v>
      </c>
      <c r="AC91" s="24">
        <f t="shared" si="57"/>
        <v>15.11862905254802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6.6</v>
      </c>
      <c r="AI91" s="14">
        <f>IF('Données projet'!$A$62&gt;35,AI90+AH91-AQ90,IF(A91&lt;'Données projet'!$A$62,$AF$205^A91,IF(A91='Données projet'!$A$62,'Données projet'!$B$62,AI90+AH91-AQ90)))</f>
        <v>372.80000000000018</v>
      </c>
      <c r="AJ91" s="14">
        <f>AI91*VLOOKUP('Données projet'!$B$10,Paramètres!$A$1:$I$89,3,0)*VLOOKUP('Données projet'!$B$10,Paramètres!$A$1:$I$89,5,0)</f>
        <v>337.30944000000017</v>
      </c>
      <c r="AK91" s="14">
        <f t="shared" si="89"/>
        <v>78.943802914307284</v>
      </c>
      <c r="AL91" s="22">
        <f t="shared" si="58"/>
        <v>724.97439807575211</v>
      </c>
      <c r="AM91" s="62">
        <f t="shared" si="59"/>
        <v>1018.3077314090854</v>
      </c>
      <c r="AN91" s="62">
        <f ca="1">AVERAGE(OFFSET($AM$3,0,0,'Données projet'!$E$10+1,1))-AVERAGE(OFFSET($H$3,0,0,'Données projet'!$E$10+1,1))</f>
        <v>427.83662275523142</v>
      </c>
      <c r="AO91" s="62">
        <f t="shared" si="90"/>
        <v>240.19413322685813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2">
        <f t="shared" si="86"/>
        <v>14.250053466673728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70">
        <f t="shared" si="56"/>
        <v>366.12005978779001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83.735137603292344</v>
      </c>
      <c r="T92" s="62">
        <f t="shared" si="88"/>
        <v>277.23937202597483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14.822161957803452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3.4423817313055168E-10</v>
      </c>
      <c r="AC92" s="24">
        <f t="shared" si="57"/>
        <v>14.82216195814769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6.6</v>
      </c>
      <c r="AI92" s="14">
        <f>IF('Données projet'!$A$62&gt;35,AI91+AH92-AQ91,IF(A92&lt;'Données projet'!$A$62,$AF$205^A92,IF(A92='Données projet'!$A$62,'Données projet'!$B$62,AI91+AH92-AQ91)))</f>
        <v>379.4000000000002</v>
      </c>
      <c r="AJ92" s="14">
        <f>AI92*VLOOKUP('Données projet'!$B$10,Paramètres!$A$1:$I$89,3,0)*VLOOKUP('Données projet'!$B$10,Paramètres!$A$1:$I$89,5,0)</f>
        <v>343.28112000000016</v>
      </c>
      <c r="AK92" s="14">
        <f t="shared" si="89"/>
        <v>80.17746720510398</v>
      </c>
      <c r="AL92" s="22">
        <f t="shared" si="58"/>
        <v>737.52370604888972</v>
      </c>
      <c r="AM92" s="62">
        <f t="shared" si="59"/>
        <v>1030.8570393822231</v>
      </c>
      <c r="AN92" s="62">
        <f ca="1">AVERAGE(OFFSET($AM$3,0,0,'Données projet'!$E$10+1,1))-AVERAGE(OFFSET($H$3,0,0,'Données projet'!$E$10+1,1))</f>
        <v>427.83662275523142</v>
      </c>
      <c r="AO92" s="62">
        <f t="shared" si="90"/>
        <v>240.19413322685813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2">
        <f t="shared" si="86"/>
        <v>14.391437147300854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70">
        <f t="shared" si="56"/>
        <v>367.31725303154894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83.735137603292344</v>
      </c>
      <c r="T93" s="62">
        <f t="shared" si="88"/>
        <v>277.23937202597483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14.531508402437034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2.4341314656388187E-10</v>
      </c>
      <c r="AC93" s="24">
        <f t="shared" si="57"/>
        <v>14.531508402680446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386</v>
      </c>
      <c r="AG93" s="13">
        <f>VLOOKUP(A93,'Données projet'!$A$61:$I$81,9,0)</f>
        <v>6.6</v>
      </c>
      <c r="AH93" s="13">
        <f t="array" ref="AH93">INDEX(AG:AG,MIN(IF(ISNUMBER(AG93:AG289),ROW(AG93:AG289),"")))</f>
        <v>6.6</v>
      </c>
      <c r="AI93" s="14">
        <f>IF('Données projet'!$A$62&gt;35,AI92+AH93-AQ92,IF(A93&lt;'Données projet'!$A$62,$AF$205^A93,IF(A93='Données projet'!$A$62,'Données projet'!$B$62,AI92+AH93-AQ92)))</f>
        <v>386.00000000000023</v>
      </c>
      <c r="AJ93" s="14">
        <f>AI93*VLOOKUP('Données projet'!$B$10,Paramètres!$A$1:$I$89,3,0)*VLOOKUP('Données projet'!$B$10,Paramètres!$A$1:$I$89,5,0)</f>
        <v>349.25280000000021</v>
      </c>
      <c r="AK93" s="14">
        <f t="shared" si="89"/>
        <v>81.408635866358992</v>
      </c>
      <c r="AL93" s="22">
        <f t="shared" si="58"/>
        <v>750.06866746724211</v>
      </c>
      <c r="AM93" s="62">
        <f t="shared" si="59"/>
        <v>1043.4020008005755</v>
      </c>
      <c r="AN93" s="62">
        <f ca="1">AVERAGE(OFFSET($AM$3,0,0,'Données projet'!$E$10+1,1))-AVERAGE(OFFSET($H$3,0,0,'Données projet'!$E$10+1,1))</f>
        <v>427.83662275523142</v>
      </c>
      <c r="AO93" s="62">
        <f t="shared" si="90"/>
        <v>240.19413322685813</v>
      </c>
      <c r="AP93" s="16">
        <f>IF(ISNA(VLOOKUP(A93,'Données projet'!$A$61:$I$81,3,0)),0,VLOOKUP(A93,'Données projet'!$A$61:$I$81,3,0))</f>
        <v>7</v>
      </c>
      <c r="AQ93" s="16">
        <f>IF(ISNA(VLOOKUP(A93,'Données projet'!$A$61:$I$81,4,0)),0,VLOOKUP(A93,'Données projet'!$A$61:$I$81,4,0))</f>
        <v>84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2">
        <f t="shared" si="86"/>
        <v>14.532638085920599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70">
        <f t="shared" si="56"/>
        <v>368.51412799964498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83.735137603292344</v>
      </c>
      <c r="T94" s="62">
        <f t="shared" si="88"/>
        <v>277.23937202597483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14.246554386010187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1.7211908656527584E-10</v>
      </c>
      <c r="AC94" s="24">
        <f t="shared" si="57"/>
        <v>14.246554386182305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3.1</v>
      </c>
      <c r="AI94" s="14">
        <f>IF('Données projet'!$A$62&gt;35,AI93+AH94-AQ93,IF(A94&lt;'Données projet'!$A$62,$AF$205^A94,IF(A94='Données projet'!$A$62,'Données projet'!$B$62,AI93+AH94-AQ93)))</f>
        <v>305.10000000000025</v>
      </c>
      <c r="AJ94" s="14">
        <f>AI94*VLOOKUP('Données projet'!$B$10,Paramètres!$A$1:$I$89,3,0)*VLOOKUP('Données projet'!$B$10,Paramètres!$A$1:$I$89,5,0)</f>
        <v>276.05448000000024</v>
      </c>
      <c r="AK94" s="14">
        <f t="shared" si="89"/>
        <v>66.132519667520313</v>
      </c>
      <c r="AL94" s="22">
        <f t="shared" si="58"/>
        <v>595.97569108759831</v>
      </c>
      <c r="AM94" s="62">
        <f t="shared" si="59"/>
        <v>889.30902442093156</v>
      </c>
      <c r="AN94" s="62">
        <f ca="1">AVERAGE(OFFSET($AM$3,0,0,'Données projet'!$E$10+1,1))-AVERAGE(OFFSET($H$3,0,0,'Données projet'!$E$10+1,1))</f>
        <v>427.83662275523142</v>
      </c>
      <c r="AO94" s="62">
        <f t="shared" si="90"/>
        <v>240.19413322685813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2">
        <f t="shared" si="86"/>
        <v>14.673658523093403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70">
        <f t="shared" si="56"/>
        <v>369.71068859438765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83.735137603292344</v>
      </c>
      <c r="T95" s="62">
        <f t="shared" si="88"/>
        <v>277.23937202597483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13.967188144040682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1.2170657328194094E-10</v>
      </c>
      <c r="AC95" s="24">
        <f t="shared" si="57"/>
        <v>13.967188144162389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3.1</v>
      </c>
      <c r="AI95" s="14">
        <f>IF('Données projet'!$A$62&gt;35,AI94+AH95-AQ94,IF(A95&lt;'Données projet'!$A$62,$AF$205^A95,IF(A95='Données projet'!$A$62,'Données projet'!$B$62,AI94+AH95-AQ94)))</f>
        <v>308.20000000000027</v>
      </c>
      <c r="AJ95" s="14">
        <f>AI95*VLOOKUP('Données projet'!$B$10,Paramètres!$A$1:$I$89,3,0)*VLOOKUP('Données projet'!$B$10,Paramètres!$A$1:$I$89,5,0)</f>
        <v>278.85936000000021</v>
      </c>
      <c r="AK95" s="14">
        <f t="shared" si="89"/>
        <v>66.725901622172501</v>
      </c>
      <c r="AL95" s="22">
        <f t="shared" si="58"/>
        <v>601.89433065861749</v>
      </c>
      <c r="AM95" s="62">
        <f t="shared" si="59"/>
        <v>895.22766399195075</v>
      </c>
      <c r="AN95" s="62">
        <f ca="1">AVERAGE(OFFSET($AM$3,0,0,'Données projet'!$E$10+1,1))-AVERAGE(OFFSET($H$3,0,0,'Données projet'!$E$10+1,1))</f>
        <v>427.83662275523142</v>
      </c>
      <c r="AO95" s="62">
        <f t="shared" si="90"/>
        <v>240.19413322685813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2">
        <f t="shared" si="86"/>
        <v>14.814500647866689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70">
        <f t="shared" si="56"/>
        <v>370.90693862836775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83.735137603292344</v>
      </c>
      <c r="T96" s="62">
        <f t="shared" si="88"/>
        <v>277.23937202597483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13.693300103679617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8.6059543282637921E-11</v>
      </c>
      <c r="AC96" s="24">
        <f t="shared" si="57"/>
        <v>13.693300103765676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3.1</v>
      </c>
      <c r="AI96" s="14">
        <f>IF('Données projet'!$A$62&gt;35,AI95+AH96-AQ95,IF(A96&lt;'Données projet'!$A$62,$AF$205^A96,IF(A96='Données projet'!$A$62,'Données projet'!$B$62,AI95+AH96-AQ95)))</f>
        <v>311.3000000000003</v>
      </c>
      <c r="AJ96" s="14">
        <f>AI96*VLOOKUP('Données projet'!$B$10,Paramètres!$A$1:$I$89,3,0)*VLOOKUP('Données projet'!$B$10,Paramètres!$A$1:$I$89,5,0)</f>
        <v>281.66424000000029</v>
      </c>
      <c r="AK96" s="14">
        <f t="shared" si="89"/>
        <v>67.31858924046395</v>
      </c>
      <c r="AL96" s="22">
        <f t="shared" si="58"/>
        <v>607.81176092714179</v>
      </c>
      <c r="AM96" s="62">
        <f t="shared" si="59"/>
        <v>901.14509426047516</v>
      </c>
      <c r="AN96" s="62">
        <f ca="1">AVERAGE(OFFSET($AM$3,0,0,'Données projet'!$E$10+1,1))-AVERAGE(OFFSET($H$3,0,0,'Données projet'!$E$10+1,1))</f>
        <v>427.83662275523142</v>
      </c>
      <c r="AO96" s="62">
        <f t="shared" si="90"/>
        <v>240.19413322685813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2">
        <f t="shared" si="86"/>
        <v>14.955166599500016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70">
        <f t="shared" si="56"/>
        <v>372.10288182746245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83.735137603292344</v>
      </c>
      <c r="T97" s="62">
        <f t="shared" si="88"/>
        <v>277.23937202597483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13.424782840734823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6.0853286640970468E-11</v>
      </c>
      <c r="AC97" s="24">
        <f t="shared" si="57"/>
        <v>13.424782840795675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3.1</v>
      </c>
      <c r="AI97" s="14">
        <f>IF('Données projet'!$A$62&gt;35,AI96+AH97-AQ96,IF(A97&lt;'Données projet'!$A$62,$AF$205^A97,IF(A97='Données projet'!$A$62,'Données projet'!$B$62,AI96+AH97-AQ96)))</f>
        <v>314.40000000000032</v>
      </c>
      <c r="AJ97" s="14">
        <f>AI97*VLOOKUP('Données projet'!$B$10,Paramètres!$A$1:$I$89,3,0)*VLOOKUP('Données projet'!$B$10,Paramètres!$A$1:$I$89,5,0)</f>
        <v>284.46912000000026</v>
      </c>
      <c r="AK97" s="14">
        <f t="shared" si="89"/>
        <v>67.910590237379097</v>
      </c>
      <c r="AL97" s="22">
        <f t="shared" si="58"/>
        <v>613.72799533010232</v>
      </c>
      <c r="AM97" s="62">
        <f t="shared" si="59"/>
        <v>907.06132866343569</v>
      </c>
      <c r="AN97" s="62">
        <f ca="1">AVERAGE(OFFSET($AM$3,0,0,'Données projet'!$E$10+1,1))-AVERAGE(OFFSET($H$3,0,0,'Données projet'!$E$10+1,1))</f>
        <v>427.83662275523142</v>
      </c>
      <c r="AO97" s="62">
        <f t="shared" si="90"/>
        <v>240.19413322685813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2">
        <f t="shared" si="86"/>
        <v>15.0956584691149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70">
        <f t="shared" si="56"/>
        <v>373.29852183370838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83.735137603292344</v>
      </c>
      <c r="T98" s="62">
        <f t="shared" si="88"/>
        <v>277.23937202597483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13.161531037537017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4.302977164131896E-11</v>
      </c>
      <c r="AC98" s="24">
        <f t="shared" si="57"/>
        <v>13.161531037580048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3.1</v>
      </c>
      <c r="AI98" s="14">
        <f>IF('Données projet'!$A$62&gt;35,AI97+AH98-AQ97,IF(A98&lt;'Données projet'!$A$62,$AF$205^A98,IF(A98='Données projet'!$A$62,'Données projet'!$B$62,AI97+AH98-AQ97)))</f>
        <v>317.50000000000034</v>
      </c>
      <c r="AJ98" s="14">
        <f>AI98*VLOOKUP('Données projet'!$B$10,Paramètres!$A$1:$I$89,3,0)*VLOOKUP('Données projet'!$B$10,Paramètres!$A$1:$I$89,5,0)</f>
        <v>287.27400000000029</v>
      </c>
      <c r="AK98" s="14">
        <f t="shared" si="89"/>
        <v>68.501912166992085</v>
      </c>
      <c r="AL98" s="22">
        <f t="shared" si="58"/>
        <v>619.64304702417837</v>
      </c>
      <c r="AM98" s="62">
        <f t="shared" si="59"/>
        <v>912.97638035751174</v>
      </c>
      <c r="AN98" s="62">
        <f ca="1">AVERAGE(OFFSET($AM$3,0,0,'Données projet'!$E$10+1,1))-AVERAGE(OFFSET($H$3,0,0,'Données projet'!$E$10+1,1))</f>
        <v>427.83662275523142</v>
      </c>
      <c r="AO98" s="62">
        <f t="shared" si="90"/>
        <v>240.19413322685813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2">
        <f t="shared" si="86"/>
        <v>15.235978301273022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70">
        <f t="shared" si="56"/>
        <v>374.49386220805047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83.735137603292344</v>
      </c>
      <c r="T99" s="62">
        <f t="shared" si="88"/>
        <v>277.23937202597483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12.903441441632175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3.0426643320485234E-11</v>
      </c>
      <c r="AC99" s="24">
        <f t="shared" si="57"/>
        <v>12.903441441662602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3.1</v>
      </c>
      <c r="AI99" s="14">
        <f>IF('Données projet'!$A$62&gt;35,AI98+AH99-AQ98,IF(A99&lt;'Données projet'!$A$62,$AF$205^A99,IF(A99='Données projet'!$A$62,'Données projet'!$B$62,AI98+AH99-AQ98)))</f>
        <v>320.60000000000036</v>
      </c>
      <c r="AJ99" s="14">
        <f>AI99*VLOOKUP('Données projet'!$B$10,Paramètres!$A$1:$I$89,3,0)*VLOOKUP('Données projet'!$B$10,Paramètres!$A$1:$I$89,5,0)</f>
        <v>290.07888000000031</v>
      </c>
      <c r="AK99" s="14">
        <f t="shared" si="89"/>
        <v>69.092562427360534</v>
      </c>
      <c r="AL99" s="22">
        <f t="shared" si="58"/>
        <v>625.55692889432009</v>
      </c>
      <c r="AM99" s="62">
        <f t="shared" si="59"/>
        <v>918.89026222765347</v>
      </c>
      <c r="AN99" s="62">
        <f ca="1">AVERAGE(OFFSET($AM$3,0,0,'Données projet'!$E$10+1,1))-AVERAGE(OFFSET($H$3,0,0,'Données projet'!$E$10+1,1))</f>
        <v>427.83662275523142</v>
      </c>
      <c r="AO99" s="62">
        <f t="shared" si="90"/>
        <v>240.19413322685813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2">
        <f t="shared" si="86"/>
        <v>15.376128095486868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70">
        <f t="shared" si="56"/>
        <v>375.68890643297289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83.735137603292344</v>
      </c>
      <c r="T100" s="62">
        <f t="shared" si="88"/>
        <v>277.23937202597483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12.650412825283919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2.151488582065948E-11</v>
      </c>
      <c r="AC100" s="24">
        <f t="shared" si="57"/>
        <v>12.650412825305434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3.1</v>
      </c>
      <c r="AI100" s="14">
        <f>IF('Données projet'!$A$62&gt;35,AI99+AH100-AQ99,IF(A100&lt;'Données projet'!$A$62,$AF$205^A100,IF(A100='Données projet'!$A$62,'Données projet'!$B$62,AI99+AH100-AQ99)))</f>
        <v>323.70000000000039</v>
      </c>
      <c r="AJ100" s="14">
        <f>AI100*VLOOKUP('Données projet'!$B$10,Paramètres!$A$1:$I$89,3,0)*VLOOKUP('Données projet'!$B$10,Paramètres!$A$1:$I$89,5,0)</f>
        <v>292.88376000000034</v>
      </c>
      <c r="AK100" s="14">
        <f t="shared" si="89"/>
        <v>69.682548265224312</v>
      </c>
      <c r="AL100" s="22">
        <f t="shared" si="58"/>
        <v>631.46965356193289</v>
      </c>
      <c r="AM100" s="62">
        <f t="shared" si="59"/>
        <v>924.80298689526626</v>
      </c>
      <c r="AN100" s="62">
        <f ca="1">AVERAGE(OFFSET($AM$3,0,0,'Données projet'!$E$10+1,1))-AVERAGE(OFFSET($H$3,0,0,'Données projet'!$E$10+1,1))</f>
        <v>427.83662275523142</v>
      </c>
      <c r="AO100" s="62">
        <f t="shared" si="90"/>
        <v>240.19413322685813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2">
        <f t="shared" si="86"/>
        <v>15.516109807666373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70">
        <f t="shared" si="56"/>
        <v>376.88365791501889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83.735137603292344</v>
      </c>
      <c r="T101" s="62">
        <f t="shared" si="88"/>
        <v>277.23937202597483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12.402345945770033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1.5213321660242617E-11</v>
      </c>
      <c r="AC101" s="24">
        <f t="shared" si="57"/>
        <v>12.402345945785246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3.1</v>
      </c>
      <c r="AI101" s="14">
        <f>IF('Données projet'!$A$62&gt;35,AI100+AH101-AQ100,IF(A101&lt;'Données projet'!$A$62,$AF$205^A101,IF(A101='Données projet'!$A$62,'Données projet'!$B$62,AI100+AH101-AQ100)))</f>
        <v>326.80000000000041</v>
      </c>
      <c r="AJ101" s="14">
        <f>AI101*VLOOKUP('Données projet'!$B$10,Paramètres!$A$1:$I$89,3,0)*VLOOKUP('Données projet'!$B$10,Paramètres!$A$1:$I$89,5,0)</f>
        <v>295.68864000000036</v>
      </c>
      <c r="AK101" s="14">
        <f t="shared" si="89"/>
        <v>70.271876780519804</v>
      </c>
      <c r="AL101" s="22">
        <f t="shared" si="58"/>
        <v>637.3812333927392</v>
      </c>
      <c r="AM101" s="62">
        <f t="shared" si="59"/>
        <v>930.71456672607246</v>
      </c>
      <c r="AN101" s="62">
        <f ca="1">AVERAGE(OFFSET($AM$3,0,0,'Données projet'!$E$10+1,1))-AVERAGE(OFFSET($H$3,0,0,'Données projet'!$E$10+1,1))</f>
        <v>427.83662275523142</v>
      </c>
      <c r="AO101" s="62">
        <f t="shared" si="90"/>
        <v>240.19413322685813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2">
        <f t="shared" si="86"/>
        <v>15.655925351504653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70">
        <f t="shared" si="56"/>
        <v>378.07811998720388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83.735137603292344</v>
      </c>
      <c r="T102" s="62">
        <f t="shared" si="88"/>
        <v>277.23937202597483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12.159143506457559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1.075744291032974E-11</v>
      </c>
      <c r="AC102" s="24">
        <f t="shared" si="57"/>
        <v>12.159143506468316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3.1</v>
      </c>
      <c r="AI102" s="14">
        <f>IF('Données projet'!$A$62&gt;35,AI101+AH102-AQ101,IF(A102&lt;'Données projet'!$A$62,$AF$205^A102,IF(A102='Données projet'!$A$62,'Données projet'!$B$62,AI101+AH102-AQ101)))</f>
        <v>329.90000000000043</v>
      </c>
      <c r="AJ102" s="14">
        <f>AI102*VLOOKUP('Données projet'!$B$10,Paramètres!$A$1:$I$89,3,0)*VLOOKUP('Données projet'!$B$10,Paramètres!$A$1:$I$89,5,0)</f>
        <v>298.49352000000039</v>
      </c>
      <c r="AK102" s="14">
        <f t="shared" si="89"/>
        <v>70.860554930717214</v>
      </c>
      <c r="AL102" s="22">
        <f t="shared" si="58"/>
        <v>643.29168050433316</v>
      </c>
      <c r="AM102" s="62">
        <f t="shared" si="59"/>
        <v>936.62501383766653</v>
      </c>
      <c r="AN102" s="62">
        <f ca="1">AVERAGE(OFFSET($AM$3,0,0,'Données projet'!$E$10+1,1))-AVERAGE(OFFSET($H$3,0,0,'Données projet'!$E$10+1,1))</f>
        <v>427.83662275523142</v>
      </c>
      <c r="AO102" s="62">
        <f t="shared" si="90"/>
        <v>240.19413322685813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2">
        <f t="shared" si="86"/>
        <v>15.795576599806306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70">
        <f t="shared" si="56"/>
        <v>379.27229591132925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83.735137603292344</v>
      </c>
      <c r="T103" s="62">
        <f t="shared" si="88"/>
        <v>277.23937202597483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11.920710118641162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7.6066608301213085E-12</v>
      </c>
      <c r="AC103" s="24">
        <f t="shared" si="57"/>
        <v>11.920710118648769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333</v>
      </c>
      <c r="AG103" s="13">
        <f>VLOOKUP(A103,'Données projet'!$A$61:$I$81,9,0)</f>
        <v>3.1</v>
      </c>
      <c r="AH103" s="13">
        <f t="array" ref="AH103">INDEX(AG:AG,MIN(IF(ISNUMBER(AG103:AG299),ROW(AG103:AG299),"")))</f>
        <v>3.1</v>
      </c>
      <c r="AI103" s="14">
        <f>IF('Données projet'!$A$62&gt;35,AI102+AH103-AQ102,IF(A103&lt;'Données projet'!$A$62,$AF$205^A103,IF(A103='Données projet'!$A$62,'Données projet'!$B$62,AI102+AH103-AQ102)))</f>
        <v>333.00000000000045</v>
      </c>
      <c r="AJ103" s="14">
        <f>AI103*VLOOKUP('Données projet'!$B$10,Paramètres!$A$1:$I$89,3,0)*VLOOKUP('Données projet'!$B$10,Paramètres!$A$1:$I$89,5,0)</f>
        <v>301.29840000000041</v>
      </c>
      <c r="AK103" s="14">
        <f t="shared" si="89"/>
        <v>71.448589534990646</v>
      </c>
      <c r="AL103" s="22">
        <f t="shared" si="58"/>
        <v>649.2010067734426</v>
      </c>
      <c r="AM103" s="62">
        <f t="shared" si="59"/>
        <v>942.53434010677597</v>
      </c>
      <c r="AN103" s="62">
        <f ca="1">AVERAGE(OFFSET($AM$3,0,0,'Données projet'!$E$10+1,1))-AVERAGE(OFFSET($H$3,0,0,'Données projet'!$E$10+1,1))</f>
        <v>427.83662275523142</v>
      </c>
      <c r="AO103" s="62">
        <f t="shared" si="90"/>
        <v>240.19413322685813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2">
        <f t="shared" si="86"/>
        <v>15.935065385761003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70">
        <f t="shared" si="56"/>
        <v>380.46618888020032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83.735137603292344</v>
      </c>
      <c r="T104" s="62">
        <f t="shared" si="88"/>
        <v>277.23937202597483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11.686952264129838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5.3787214551648701E-12</v>
      </c>
      <c r="AC104" s="24">
        <f t="shared" si="57"/>
        <v>11.686952264135217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8</v>
      </c>
      <c r="AI104" s="14">
        <f>IF('Données projet'!$A$62&gt;35,AI103+AH104-AQ103,IF(A104&lt;'Données projet'!$A$62,$AF$205^A104,IF(A104='Données projet'!$A$62,'Données projet'!$B$62,AI103+AH104-AQ103)))</f>
        <v>341.00000000000045</v>
      </c>
      <c r="AJ104" s="14">
        <f>AI104*VLOOKUP('Données projet'!$B$10,Paramètres!$A$1:$I$89,3,0)*VLOOKUP('Données projet'!$B$10,Paramètres!$A$1:$I$89,5,0)</f>
        <v>308.53680000000043</v>
      </c>
      <c r="AK104" s="14">
        <f t="shared" si="89"/>
        <v>72.963171684496231</v>
      </c>
      <c r="AL104" s="22">
        <f t="shared" si="58"/>
        <v>664.44578401716501</v>
      </c>
      <c r="AM104" s="62">
        <f t="shared" si="59"/>
        <v>957.77911735049838</v>
      </c>
      <c r="AN104" s="62">
        <f ca="1">AVERAGE(OFFSET($AM$3,0,0,'Données projet'!$E$10+1,1))-AVERAGE(OFFSET($H$3,0,0,'Données projet'!$E$10+1,1))</f>
        <v>427.83662275523142</v>
      </c>
      <c r="AO104" s="62">
        <f t="shared" si="90"/>
        <v>240.19413322685813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2">
        <f t="shared" si="86"/>
        <v>16.07439350416519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70">
        <f t="shared" si="56"/>
        <v>381.6598020197543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83.735137603292344</v>
      </c>
      <c r="T105" s="62">
        <f t="shared" si="88"/>
        <v>277.23937202597483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11.457778258567268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3.8033304150606543E-12</v>
      </c>
      <c r="AC105" s="24">
        <f t="shared" si="57"/>
        <v>11.457778258571071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8</v>
      </c>
      <c r="AI105" s="14">
        <f>IF('Données projet'!$A$62&gt;35,AI104+AH105-AQ104,IF(A105&lt;'Données projet'!$A$62,$AF$205^A105,IF(A105='Données projet'!$A$62,'Données projet'!$B$62,AI104+AH105-AQ104)))</f>
        <v>349.00000000000045</v>
      </c>
      <c r="AJ105" s="14">
        <f>AI105*VLOOKUP('Données projet'!$B$10,Paramètres!$A$1:$I$89,3,0)*VLOOKUP('Données projet'!$B$10,Paramètres!$A$1:$I$89,5,0)</f>
        <v>315.77520000000038</v>
      </c>
      <c r="AK105" s="14">
        <f t="shared" si="89"/>
        <v>74.473623067174145</v>
      </c>
      <c r="AL105" s="22">
        <f t="shared" si="58"/>
        <v>679.68336684199551</v>
      </c>
      <c r="AM105" s="62">
        <f t="shared" si="59"/>
        <v>973.01670017532888</v>
      </c>
      <c r="AN105" s="62">
        <f ca="1">AVERAGE(OFFSET($AM$3,0,0,'Données projet'!$E$10+1,1))-AVERAGE(OFFSET($H$3,0,0,'Données projet'!$E$10+1,1))</f>
        <v>427.83662275523142</v>
      </c>
      <c r="AO105" s="62">
        <f t="shared" si="90"/>
        <v>240.19413322685813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2">
        <f t="shared" si="86"/>
        <v>16.213562712594495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70">
        <f t="shared" si="56"/>
        <v>382.85313839110199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83.735137603292344</v>
      </c>
      <c r="T106" s="62">
        <f t="shared" si="88"/>
        <v>277.23937202597483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11.23309821547144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2.689360727582435E-12</v>
      </c>
      <c r="AC106" s="24">
        <f t="shared" si="57"/>
        <v>11.233098215474129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8</v>
      </c>
      <c r="AI106" s="14">
        <f>IF('Données projet'!$A$62&gt;35,AI105+AH106-AQ105,IF(A106&lt;'Données projet'!$A$62,$AF$205^A106,IF(A106='Données projet'!$A$62,'Données projet'!$B$62,AI105+AH106-AQ105)))</f>
        <v>357.00000000000045</v>
      </c>
      <c r="AJ106" s="14">
        <f>AI106*VLOOKUP('Données projet'!$B$10,Paramètres!$A$1:$I$89,3,0)*VLOOKUP('Données projet'!$B$10,Paramètres!$A$1:$I$89,5,0)</f>
        <v>323.01360000000039</v>
      </c>
      <c r="AK106" s="14">
        <f t="shared" si="89"/>
        <v>75.980049270566226</v>
      </c>
      <c r="AL106" s="22">
        <f t="shared" si="58"/>
        <v>694.91393914623677</v>
      </c>
      <c r="AM106" s="62">
        <f t="shared" si="59"/>
        <v>988.24727247957003</v>
      </c>
      <c r="AN106" s="62">
        <f ca="1">AVERAGE(OFFSET($AM$3,0,0,'Données projet'!$E$10+1,1))-AVERAGE(OFFSET($H$3,0,0,'Données projet'!$E$10+1,1))</f>
        <v>427.83662275523142</v>
      </c>
      <c r="AO106" s="62">
        <f t="shared" si="90"/>
        <v>240.19413322685813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2">
        <f t="shared" si="86"/>
        <v>16.352574732529348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70">
        <f t="shared" si="56"/>
        <v>384.04620099248854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83.735137603292344</v>
      </c>
      <c r="T107" s="62">
        <f t="shared" si="88"/>
        <v>277.23937202597483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11.012824010979426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1.9016652075303271E-12</v>
      </c>
      <c r="AC107" s="24">
        <f t="shared" si="57"/>
        <v>11.012824010981328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8</v>
      </c>
      <c r="AI107" s="14">
        <f>IF('Données projet'!$A$62&gt;35,AI106+AH107-AQ106,IF(A107&lt;'Données projet'!$A$62,$AF$205^A107,IF(A107='Données projet'!$A$62,'Données projet'!$B$62,AI106+AH107-AQ106)))</f>
        <v>365.00000000000045</v>
      </c>
      <c r="AJ107" s="14">
        <f>AI107*VLOOKUP('Données projet'!$B$10,Paramètres!$A$1:$I$89,3,0)*VLOOKUP('Données projet'!$B$10,Paramètres!$A$1:$I$89,5,0)</f>
        <v>330.25200000000041</v>
      </c>
      <c r="AK107" s="14">
        <f t="shared" si="89"/>
        <v>77.482550879851004</v>
      </c>
      <c r="AL107" s="22">
        <f t="shared" si="58"/>
        <v>710.13767611574121</v>
      </c>
      <c r="AM107" s="62">
        <f t="shared" si="59"/>
        <v>1003.4710094490745</v>
      </c>
      <c r="AN107" s="62">
        <f ca="1">AVERAGE(OFFSET($AM$3,0,0,'Données projet'!$E$10+1,1))-AVERAGE(OFFSET($H$3,0,0,'Données projet'!$E$10+1,1))</f>
        <v>427.83662275523142</v>
      </c>
      <c r="AO107" s="62">
        <f t="shared" si="90"/>
        <v>240.19413322685813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2">
        <f t="shared" si="86"/>
        <v>16.491431250436072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70">
        <f t="shared" si="56"/>
        <v>385.23899276117606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83.735137603292344</v>
      </c>
      <c r="T108" s="62">
        <f t="shared" si="88"/>
        <v>277.23937202597483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10.796869249283501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1.3446803637912175E-12</v>
      </c>
      <c r="AC108" s="24">
        <f t="shared" si="57"/>
        <v>10.796869249284846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8</v>
      </c>
      <c r="AI108" s="14">
        <f>IF('Données projet'!$A$62&gt;35,AI107+AH108-AQ107,IF(A108&lt;'Données projet'!$A$62,$AF$205^A108,IF(A108='Données projet'!$A$62,'Données projet'!$B$62,AI107+AH108-AQ107)))</f>
        <v>373.00000000000045</v>
      </c>
      <c r="AJ108" s="14">
        <f>AI108*VLOOKUP('Données projet'!$B$10,Paramètres!$A$1:$I$89,3,0)*VLOOKUP('Données projet'!$B$10,Paramètres!$A$1:$I$89,5,0)</f>
        <v>337.49040000000042</v>
      </c>
      <c r="AK108" s="14">
        <f t="shared" si="89"/>
        <v>78.981223819202782</v>
      </c>
      <c r="AL108" s="22">
        <f t="shared" si="58"/>
        <v>725.35474481844551</v>
      </c>
      <c r="AM108" s="62">
        <f t="shared" si="59"/>
        <v>1018.6880781517789</v>
      </c>
      <c r="AN108" s="62">
        <f ca="1">AVERAGE(OFFSET($AM$3,0,0,'Données projet'!$E$10+1,1))-AVERAGE(OFFSET($H$3,0,0,'Données projet'!$E$10+1,1))</f>
        <v>427.83662275523142</v>
      </c>
      <c r="AO108" s="62">
        <f t="shared" si="90"/>
        <v>240.19413322685813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2">
        <f t="shared" si="86"/>
        <v>16.630133918805559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70">
        <f t="shared" si="56"/>
        <v>386.43151657525294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83.735137603292344</v>
      </c>
      <c r="T109" s="62">
        <f t="shared" si="88"/>
        <v>277.23937202597483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10.585149228745037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9.5083260376516356E-13</v>
      </c>
      <c r="AC109" s="24">
        <f t="shared" si="57"/>
        <v>10.585149228745987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8</v>
      </c>
      <c r="AI109" s="14">
        <f>IF('Données projet'!$A$62&gt;35,AI108+AH109-AQ108,IF(A109&lt;'Données projet'!$A$62,$AF$205^A109,IF(A109='Données projet'!$A$62,'Données projet'!$B$62,AI108+AH109-AQ108)))</f>
        <v>381.00000000000045</v>
      </c>
      <c r="AJ109" s="14">
        <f>AI109*VLOOKUP('Données projet'!$B$10,Paramètres!$A$1:$I$89,3,0)*VLOOKUP('Données projet'!$B$10,Paramètres!$A$1:$I$89,5,0)</f>
        <v>344.72880000000038</v>
      </c>
      <c r="AK109" s="14">
        <f t="shared" si="89"/>
        <v>80.476159663038771</v>
      </c>
      <c r="AL109" s="22">
        <f t="shared" si="58"/>
        <v>740.56530474645979</v>
      </c>
      <c r="AM109" s="62">
        <f t="shared" si="59"/>
        <v>1033.898638079793</v>
      </c>
      <c r="AN109" s="62">
        <f ca="1">AVERAGE(OFFSET($AM$3,0,0,'Données projet'!$E$10+1,1))-AVERAGE(OFFSET($H$3,0,0,'Données projet'!$E$10+1,1))</f>
        <v>427.83662275523142</v>
      </c>
      <c r="AO109" s="62">
        <f t="shared" si="90"/>
        <v>240.19413322685813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2">
        <f t="shared" si="86"/>
        <v>16.768684357151628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70">
        <f t="shared" si="56"/>
        <v>387.62377525537238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83.735137603292344</v>
      </c>
      <c r="T110" s="62">
        <f t="shared" si="88"/>
        <v>277.23937202597483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10.377580908672869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6.7234018189560876E-13</v>
      </c>
      <c r="AC110" s="24">
        <f t="shared" si="57"/>
        <v>10.37758090867354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8</v>
      </c>
      <c r="AI110" s="14">
        <f>IF('Données projet'!$A$62&gt;35,AI109+AH110-AQ109,IF(A110&lt;'Données projet'!$A$62,$AF$205^A110,IF(A110='Données projet'!$A$62,'Données projet'!$B$62,AI109+AH110-AQ109)))</f>
        <v>389.00000000000045</v>
      </c>
      <c r="AJ110" s="14">
        <f>AI110*VLOOKUP('Données projet'!$B$10,Paramètres!$A$1:$I$89,3,0)*VLOOKUP('Données projet'!$B$10,Paramètres!$A$1:$I$89,5,0)</f>
        <v>351.96720000000045</v>
      </c>
      <c r="AK110" s="14">
        <f t="shared" si="89"/>
        <v>81.967445920386865</v>
      </c>
      <c r="AL110" s="22">
        <f t="shared" si="58"/>
        <v>755.76950831134127</v>
      </c>
      <c r="AM110" s="62">
        <f t="shared" si="59"/>
        <v>1049.1028416446745</v>
      </c>
      <c r="AN110" s="62">
        <f ca="1">AVERAGE(OFFSET($AM$3,0,0,'Données projet'!$E$10+1,1))-AVERAGE(OFFSET($H$3,0,0,'Données projet'!$E$10+1,1))</f>
        <v>427.83662275523142</v>
      </c>
      <c r="AO110" s="62">
        <f t="shared" si="90"/>
        <v>240.19413322685813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2">
        <f t="shared" si="86"/>
        <v>16.907084152971102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70">
        <f t="shared" si="56"/>
        <v>388.81577156642459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83.735137603292344</v>
      </c>
      <c r="T111" s="62">
        <f t="shared" si="88"/>
        <v>277.23937202597483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10.174082876753141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4.7541630188258178E-13</v>
      </c>
      <c r="AC111" s="24">
        <f t="shared" si="57"/>
        <v>10.174082876753618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8</v>
      </c>
      <c r="AI111" s="14">
        <f>IF('Données projet'!$A$62&gt;35,AI110+AH111-AQ110,IF(A111&lt;'Données projet'!$A$62,$AF$205^A111,IF(A111='Données projet'!$A$62,'Données projet'!$B$62,AI110+AH111-AQ110)))</f>
        <v>397.00000000000045</v>
      </c>
      <c r="AJ111" s="14">
        <f>AI111*VLOOKUP('Données projet'!$B$10,Paramètres!$A$1:$I$89,3,0)*VLOOKUP('Données projet'!$B$10,Paramètres!$A$1:$I$89,5,0)</f>
        <v>359.2056000000004</v>
      </c>
      <c r="AK111" s="14">
        <f t="shared" si="89"/>
        <v>83.455166295200257</v>
      </c>
      <c r="AL111" s="22">
        <f t="shared" si="58"/>
        <v>770.96750129747454</v>
      </c>
      <c r="AM111" s="62">
        <f t="shared" si="59"/>
        <v>1064.3008346308079</v>
      </c>
      <c r="AN111" s="62">
        <f ca="1">AVERAGE(OFFSET($AM$3,0,0,'Données projet'!$E$10+1,1))-AVERAGE(OFFSET($H$3,0,0,'Données projet'!$E$10+1,1))</f>
        <v>427.83662275523142</v>
      </c>
      <c r="AO111" s="62">
        <f t="shared" si="90"/>
        <v>240.19413322685813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2">
        <f t="shared" si="86"/>
        <v>17.045334862667175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70">
        <f t="shared" si="56"/>
        <v>390.00750821914528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83.735137603292344</v>
      </c>
      <c r="T112" s="62">
        <f t="shared" si="88"/>
        <v>277.23937202597483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9.974575317117818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3.3617009094780438E-13</v>
      </c>
      <c r="AC112" s="24">
        <f t="shared" si="57"/>
        <v>9.9745753171181537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8</v>
      </c>
      <c r="AI112" s="14">
        <f>IF('Données projet'!$A$62&gt;35,AI111+AH112-AQ111,IF(A112&lt;'Données projet'!$A$62,$AF$205^A112,IF(A112='Données projet'!$A$62,'Données projet'!$B$62,AI111+AH112-AQ111)))</f>
        <v>405.00000000000045</v>
      </c>
      <c r="AJ112" s="14">
        <f>AI112*VLOOKUP('Données projet'!$B$10,Paramètres!$A$1:$I$89,3,0)*VLOOKUP('Données projet'!$B$10,Paramètres!$A$1:$I$89,5,0)</f>
        <v>366.44400000000041</v>
      </c>
      <c r="AK112" s="14">
        <f t="shared" si="89"/>
        <v>84.939400925097345</v>
      </c>
      <c r="AL112" s="22">
        <f t="shared" si="58"/>
        <v>786.15942327787855</v>
      </c>
      <c r="AM112" s="62">
        <f t="shared" si="59"/>
        <v>1079.4927566112119</v>
      </c>
      <c r="AN112" s="62">
        <f ca="1">AVERAGE(OFFSET($AM$3,0,0,'Données projet'!$E$10+1,1))-AVERAGE(OFFSET($H$3,0,0,'Données projet'!$E$10+1,1))</f>
        <v>427.83662275523142</v>
      </c>
      <c r="AO112" s="62">
        <f t="shared" si="90"/>
        <v>240.19413322685813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2">
        <f t="shared" si="86"/>
        <v>17.183438012437954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70">
        <f t="shared" si="56"/>
        <v>391.19898787166267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83.735137603292344</v>
      </c>
      <c r="T113" s="62">
        <f t="shared" si="88"/>
        <v>277.23937202597483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9.778979979039347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2.3770815094129089E-13</v>
      </c>
      <c r="AC113" s="24">
        <f t="shared" si="57"/>
        <v>9.778979979039585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413</v>
      </c>
      <c r="AG113" s="13">
        <f>VLOOKUP(A113,'Données projet'!$A$61:$I$81,9,0)</f>
        <v>8</v>
      </c>
      <c r="AH113" s="13">
        <f t="array" ref="AH113">INDEX(AG:AG,MIN(IF(ISNUMBER(AG113:AG309),ROW(AG113:AG309),"")))</f>
        <v>8</v>
      </c>
      <c r="AI113" s="14">
        <f>IF('Données projet'!$A$62&gt;35,AI112+AH113-AQ112,IF(A113&lt;'Données projet'!$A$62,$AF$205^A113,IF(A113='Données projet'!$A$62,'Données projet'!$B$62,AI112+AH113-AQ112)))</f>
        <v>413.00000000000045</v>
      </c>
      <c r="AJ113" s="14">
        <f>AI113*VLOOKUP('Données projet'!$B$10,Paramètres!$A$1:$I$89,3,0)*VLOOKUP('Données projet'!$B$10,Paramètres!$A$1:$I$89,5,0)</f>
        <v>373.68240000000043</v>
      </c>
      <c r="AK113" s="14">
        <f t="shared" si="89"/>
        <v>86.420226600704254</v>
      </c>
      <c r="AL113" s="22">
        <f t="shared" si="58"/>
        <v>801.34540799622721</v>
      </c>
      <c r="AM113" s="62">
        <f t="shared" si="59"/>
        <v>1094.6787413295606</v>
      </c>
      <c r="AN113" s="62">
        <f ca="1">AVERAGE(OFFSET($AM$3,0,0,'Données projet'!$E$10+1,1))-AVERAGE(OFFSET($H$3,0,0,'Données projet'!$E$10+1,1))</f>
        <v>427.83662275523142</v>
      </c>
      <c r="AO113" s="62">
        <f t="shared" si="90"/>
        <v>240.19413322685813</v>
      </c>
      <c r="AP113" s="16">
        <f>IF(ISNA(VLOOKUP(A113,'Données projet'!$A$61:$I$81,3,0)),0,VLOOKUP(A113,'Données projet'!$A$61:$I$81,3,0))</f>
        <v>8</v>
      </c>
      <c r="AQ113" s="16">
        <f>IF(ISNA(VLOOKUP(A113,'Données projet'!$A$61:$I$81,4,0)),0,VLOOKUP(A113,'Données projet'!$A$61:$I$81,4,0))</f>
        <v>106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2">
        <f t="shared" si="86"/>
        <v>17.32139509913188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70">
        <f t="shared" si="56"/>
        <v>392.39021313098795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83.735137603292344</v>
      </c>
      <c r="T114" s="62">
        <f t="shared" si="88"/>
        <v>277.23937202597483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9.5872201462392184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1.6808504547390219E-13</v>
      </c>
      <c r="AC114" s="24">
        <f t="shared" si="57"/>
        <v>9.5872201462393871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2.1</v>
      </c>
      <c r="AI114" s="14">
        <f>IF('Données projet'!$A$62&gt;35,AI113+AH114-AQ113,IF(A114&lt;'Données projet'!$A$62,$AF$205^A114,IF(A114='Données projet'!$A$62,'Données projet'!$B$62,AI113+AH114-AQ113)))</f>
        <v>309.10000000000048</v>
      </c>
      <c r="AJ114" s="14">
        <f>AI114*VLOOKUP('Données projet'!$B$10,Paramètres!$A$1:$I$89,3,0)*VLOOKUP('Données projet'!$B$10,Paramètres!$A$1:$I$89,5,0)</f>
        <v>279.67368000000045</v>
      </c>
      <c r="AK114" s="14">
        <f t="shared" si="89"/>
        <v>66.898043405019521</v>
      </c>
      <c r="AL114" s="22">
        <f t="shared" si="58"/>
        <v>603.61241826374305</v>
      </c>
      <c r="AM114" s="62">
        <f t="shared" si="59"/>
        <v>896.94575159707642</v>
      </c>
      <c r="AN114" s="62">
        <f ca="1">AVERAGE(OFFSET($AM$3,0,0,'Données projet'!$E$10+1,1))-AVERAGE(OFFSET($H$3,0,0,'Données projet'!$E$10+1,1))</f>
        <v>427.83662275523142</v>
      </c>
      <c r="AO114" s="62">
        <f t="shared" si="90"/>
        <v>240.19413322685813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2">
        <f t="shared" si="86"/>
        <v>17.459207591071241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70">
        <f t="shared" si="56"/>
        <v>393.581186554449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83.735137603292344</v>
      </c>
      <c r="T115" s="62">
        <f t="shared" si="88"/>
        <v>277.23937202597483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9.3992206067983517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1.1885407547064545E-13</v>
      </c>
      <c r="AC115" s="24">
        <f t="shared" si="57"/>
        <v>9.3992206067984707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2.1</v>
      </c>
      <c r="AI115" s="14">
        <f>IF('Données projet'!$A$62&gt;35,AI114+AH115-AQ114,IF(A115&lt;'Données projet'!$A$62,$AF$205^A115,IF(A115='Données projet'!$A$62,'Données projet'!$B$62,AI114+AH115-AQ114)))</f>
        <v>311.2000000000005</v>
      </c>
      <c r="AJ115" s="14">
        <f>AI115*VLOOKUP('Données projet'!$B$10,Paramètres!$A$1:$I$89,3,0)*VLOOKUP('Données projet'!$B$10,Paramètres!$A$1:$I$89,5,0)</f>
        <v>281.57376000000045</v>
      </c>
      <c r="AK115" s="14">
        <f t="shared" si="89"/>
        <v>67.29948104333512</v>
      </c>
      <c r="AL115" s="22">
        <f t="shared" si="58"/>
        <v>607.6208948171427</v>
      </c>
      <c r="AM115" s="62">
        <f t="shared" si="59"/>
        <v>900.95422815047596</v>
      </c>
      <c r="AN115" s="62">
        <f ca="1">AVERAGE(OFFSET($AM$3,0,0,'Données projet'!$E$10+1,1))-AVERAGE(OFFSET($H$3,0,0,'Données projet'!$E$10+1,1))</f>
        <v>427.83662275523142</v>
      </c>
      <c r="AO115" s="62">
        <f t="shared" si="90"/>
        <v>240.19413322685813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2">
        <f t="shared" si="86"/>
        <v>17.596876928845635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70">
        <f t="shared" si="56"/>
        <v>394.77191065107274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83.735137603292344</v>
      </c>
      <c r="T116" s="62">
        <f t="shared" si="88"/>
        <v>277.23937202597483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9.214907623657524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8.4042522736951095E-14</v>
      </c>
      <c r="AC116" s="24">
        <f t="shared" si="57"/>
        <v>9.2149076236576075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2.1</v>
      </c>
      <c r="AI116" s="14">
        <f>IF('Données projet'!$A$62&gt;35,AI115+AH116-AQ115,IF(A116&lt;'Données projet'!$A$62,$AF$205^A116,IF(A116='Données projet'!$A$62,'Données projet'!$B$62,AI115+AH116-AQ115)))</f>
        <v>313.30000000000052</v>
      </c>
      <c r="AJ116" s="14">
        <f>AI116*VLOOKUP('Données projet'!$B$10,Paramètres!$A$1:$I$89,3,0)*VLOOKUP('Données projet'!$B$10,Paramètres!$A$1:$I$89,5,0)</f>
        <v>283.47384000000045</v>
      </c>
      <c r="AK116" s="14">
        <f t="shared" si="89"/>
        <v>67.700603483464604</v>
      </c>
      <c r="AL116" s="22">
        <f t="shared" si="58"/>
        <v>611.62882240036822</v>
      </c>
      <c r="AM116" s="62">
        <f t="shared" si="59"/>
        <v>904.96215573370159</v>
      </c>
      <c r="AN116" s="62">
        <f ca="1">AVERAGE(OFFSET($AM$3,0,0,'Données projet'!$E$10+1,1))-AVERAGE(OFFSET($H$3,0,0,'Données projet'!$E$10+1,1))</f>
        <v>427.83662275523142</v>
      </c>
      <c r="AO116" s="62">
        <f t="shared" si="90"/>
        <v>240.19413322685813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2">
        <f t="shared" si="86"/>
        <v>17.734404526076418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70">
        <f t="shared" si="56"/>
        <v>395.96238788291635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83.735137603292344</v>
      </c>
      <c r="T117" s="62">
        <f t="shared" si="88"/>
        <v>277.23937202597483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9.0342089056962678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5.9427037735322723E-14</v>
      </c>
      <c r="AC117" s="24">
        <f t="shared" si="57"/>
        <v>9.0342089056963264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2.1</v>
      </c>
      <c r="AI117" s="14">
        <f>IF('Données projet'!$A$62&gt;35,AI116+AH117-AQ116,IF(A117&lt;'Données projet'!$A$62,$AF$205^A117,IF(A117='Données projet'!$A$62,'Données projet'!$B$62,AI116+AH117-AQ116)))</f>
        <v>315.40000000000055</v>
      </c>
      <c r="AJ117" s="14">
        <f>AI117*VLOOKUP('Données projet'!$B$10,Paramètres!$A$1:$I$89,3,0)*VLOOKUP('Données projet'!$B$10,Paramètres!$A$1:$I$89,5,0)</f>
        <v>285.37392000000045</v>
      </c>
      <c r="AK117" s="14">
        <f t="shared" si="89"/>
        <v>68.101413083167699</v>
      </c>
      <c r="AL117" s="22">
        <f t="shared" si="58"/>
        <v>615.63620511985107</v>
      </c>
      <c r="AM117" s="62">
        <f t="shared" si="59"/>
        <v>908.96953845318444</v>
      </c>
      <c r="AN117" s="62">
        <f ca="1">AVERAGE(OFFSET($AM$3,0,0,'Données projet'!$E$10+1,1))-AVERAGE(OFFSET($H$3,0,0,'Données projet'!$E$10+1,1))</f>
        <v>427.83662275523142</v>
      </c>
      <c r="AO117" s="62">
        <f t="shared" si="90"/>
        <v>240.19413322685813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2">
        <f t="shared" si="86"/>
        <v>17.871791770153557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70">
        <f t="shared" si="56"/>
        <v>397.15262066635069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83.735137603292344</v>
      </c>
      <c r="T118" s="62">
        <f t="shared" si="88"/>
        <v>277.23937202597483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8.8570535793788974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4.2021261368475547E-14</v>
      </c>
      <c r="AC118" s="24">
        <f t="shared" si="57"/>
        <v>8.85705357937894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2.1</v>
      </c>
      <c r="AI118" s="14">
        <f>IF('Données projet'!$A$62&gt;35,AI117+AH118-AQ117,IF(A118&lt;'Données projet'!$A$62,$AF$205^A118,IF(A118='Données projet'!$A$62,'Données projet'!$B$62,AI117+AH118-AQ117)))</f>
        <v>317.50000000000057</v>
      </c>
      <c r="AJ118" s="14">
        <f>AI118*VLOOKUP('Données projet'!$B$10,Paramètres!$A$1:$I$89,3,0)*VLOOKUP('Données projet'!$B$10,Paramètres!$A$1:$I$89,5,0)</f>
        <v>287.27400000000051</v>
      </c>
      <c r="AK118" s="14">
        <f t="shared" si="89"/>
        <v>68.501912166992156</v>
      </c>
      <c r="AL118" s="22">
        <f t="shared" si="58"/>
        <v>619.64304702417894</v>
      </c>
      <c r="AM118" s="62">
        <f t="shared" si="59"/>
        <v>912.9763803575122</v>
      </c>
      <c r="AN118" s="62">
        <f ca="1">AVERAGE(OFFSET($AM$3,0,0,'Données projet'!$E$10+1,1))-AVERAGE(OFFSET($H$3,0,0,'Données projet'!$E$10+1,1))</f>
        <v>427.83662275523142</v>
      </c>
      <c r="AO118" s="62">
        <f t="shared" si="90"/>
        <v>240.19413322685813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2">
        <f t="shared" si="86"/>
        <v>18.009040022946209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70">
        <f t="shared" si="56"/>
        <v>398.34261137329793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83.735137603292344</v>
      </c>
      <c r="T119" s="62">
        <f t="shared" si="88"/>
        <v>277.23937202597483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8.6833721609565302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2.9713518867661361E-14</v>
      </c>
      <c r="AC119" s="24">
        <f t="shared" si="57"/>
        <v>8.6833721609565604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2.1</v>
      </c>
      <c r="AI119" s="14">
        <f>IF('Données projet'!$A$62&gt;35,AI118+AH119-AQ118,IF(A119&lt;'Données projet'!$A$62,$AF$205^A119,IF(A119='Données projet'!$A$62,'Données projet'!$B$62,AI118+AH119-AQ118)))</f>
        <v>319.60000000000059</v>
      </c>
      <c r="AJ119" s="14">
        <f>AI119*VLOOKUP('Données projet'!$B$10,Paramètres!$A$1:$I$89,3,0)*VLOOKUP('Données projet'!$B$10,Paramètres!$A$1:$I$89,5,0)</f>
        <v>289.17408000000052</v>
      </c>
      <c r="AK119" s="14">
        <f t="shared" si="89"/>
        <v>68.902103026957803</v>
      </c>
      <c r="AL119" s="22">
        <f t="shared" si="58"/>
        <v>623.64935210528574</v>
      </c>
      <c r="AM119" s="62">
        <f t="shared" si="59"/>
        <v>916.982685438619</v>
      </c>
      <c r="AN119" s="62">
        <f ca="1">AVERAGE(OFFSET($AM$3,0,0,'Données projet'!$E$10+1,1))-AVERAGE(OFFSET($H$3,0,0,'Données projet'!$E$10+1,1))</f>
        <v>427.83662275523142</v>
      </c>
      <c r="AO119" s="62">
        <f t="shared" si="90"/>
        <v>240.19413322685813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2">
        <f t="shared" si="86"/>
        <v>18.146150621487966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70">
        <f t="shared" si="56"/>
        <v>399.53236233242478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83.735137603292344</v>
      </c>
      <c r="T120" s="62">
        <f t="shared" si="88"/>
        <v>277.23937202597483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8.5130965292142218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2.1010630684237774E-14</v>
      </c>
      <c r="AC120" s="24">
        <f t="shared" si="57"/>
        <v>8.5130965292142431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2.1</v>
      </c>
      <c r="AI120" s="14">
        <f>IF('Données projet'!$A$62&gt;35,AI119+AH120-AQ119,IF(A120&lt;'Données projet'!$A$62,$AF$205^A120,IF(A120='Données projet'!$A$62,'Données projet'!$B$62,AI119+AH120-AQ119)))</f>
        <v>321.70000000000061</v>
      </c>
      <c r="AJ120" s="14">
        <f>AI120*VLOOKUP('Données projet'!$B$10,Paramètres!$A$1:$I$89,3,0)*VLOOKUP('Données projet'!$B$10,Paramètres!$A$1:$I$89,5,0)</f>
        <v>291.07416000000057</v>
      </c>
      <c r="AK120" s="14">
        <f t="shared" si="89"/>
        <v>69.30198792322274</v>
      </c>
      <c r="AL120" s="22">
        <f t="shared" si="58"/>
        <v>627.65512429961382</v>
      </c>
      <c r="AM120" s="62">
        <f t="shared" si="59"/>
        <v>920.98845763294707</v>
      </c>
      <c r="AN120" s="62">
        <f ca="1">AVERAGE(OFFSET($AM$3,0,0,'Données projet'!$E$10+1,1))-AVERAGE(OFFSET($H$3,0,0,'Données projet'!$E$10+1,1))</f>
        <v>427.83662275523142</v>
      </c>
      <c r="AO120" s="62">
        <f t="shared" si="90"/>
        <v>240.19413322685813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2">
        <f t="shared" si="86"/>
        <v>18.283124878638194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70">
        <f t="shared" si="56"/>
        <v>400.72187583029472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83.735137603292344</v>
      </c>
      <c r="T121" s="62">
        <f t="shared" si="88"/>
        <v>277.23937202597483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8.3461598987525001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1.4856759433830681E-14</v>
      </c>
      <c r="AC121" s="24">
        <f t="shared" si="57"/>
        <v>8.3461598987525143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2.1</v>
      </c>
      <c r="AI121" s="14">
        <f>IF('Données projet'!$A$62&gt;35,AI120+AH121-AQ120,IF(A121&lt;'Données projet'!$A$62,$AF$205^A121,IF(A121='Données projet'!$A$62,'Données projet'!$B$62,AI120+AH121-AQ120)))</f>
        <v>323.80000000000064</v>
      </c>
      <c r="AJ121" s="14">
        <f>AI121*VLOOKUP('Données projet'!$B$10,Paramètres!$A$1:$I$89,3,0)*VLOOKUP('Données projet'!$B$10,Paramètres!$A$1:$I$89,5,0)</f>
        <v>292.97424000000052</v>
      </c>
      <c r="AK121" s="14">
        <f t="shared" si="89"/>
        <v>69.701569084730934</v>
      </c>
      <c r="AL121" s="22">
        <f t="shared" si="58"/>
        <v>631.66036748924057</v>
      </c>
      <c r="AM121" s="62">
        <f t="shared" si="59"/>
        <v>924.99370082257383</v>
      </c>
      <c r="AN121" s="62">
        <f ca="1">AVERAGE(OFFSET($AM$3,0,0,'Données projet'!$E$10+1,1))-AVERAGE(OFFSET($H$3,0,0,'Données projet'!$E$10+1,1))</f>
        <v>427.83662275523142</v>
      </c>
      <c r="AO121" s="62">
        <f t="shared" si="90"/>
        <v>240.19413322685813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2">
        <f t="shared" si="86"/>
        <v>18.41996408372005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70">
        <f t="shared" si="56"/>
        <v>401.91115411247904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83.735137603292344</v>
      </c>
      <c r="T122" s="62">
        <f t="shared" si="88"/>
        <v>277.23937202597483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8.1824967937928417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1.0505315342118887E-14</v>
      </c>
      <c r="AC122" s="24">
        <f t="shared" si="57"/>
        <v>8.1824967937928523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2.1</v>
      </c>
      <c r="AI122" s="14">
        <f>IF('Données projet'!$A$62&gt;35,AI121+AH122-AQ121,IF(A122&lt;'Données projet'!$A$62,$AF$205^A122,IF(A122='Données projet'!$A$62,'Données projet'!$B$62,AI121+AH122-AQ121)))</f>
        <v>325.90000000000066</v>
      </c>
      <c r="AJ122" s="14">
        <f>AI122*VLOOKUP('Données projet'!$B$10,Paramètres!$A$1:$I$89,3,0)*VLOOKUP('Données projet'!$B$10,Paramètres!$A$1:$I$89,5,0)</f>
        <v>294.87432000000058</v>
      </c>
      <c r="AK122" s="14">
        <f t="shared" si="89"/>
        <v>70.100848709843177</v>
      </c>
      <c r="AL122" s="22">
        <f t="shared" si="58"/>
        <v>635.66508550297783</v>
      </c>
      <c r="AM122" s="62">
        <f t="shared" si="59"/>
        <v>928.9984188363112</v>
      </c>
      <c r="AN122" s="62">
        <f ca="1">AVERAGE(OFFSET($AM$3,0,0,'Données projet'!$E$10+1,1))-AVERAGE(OFFSET($H$3,0,0,'Données projet'!$E$10+1,1))</f>
        <v>427.83662275523142</v>
      </c>
      <c r="AO122" s="62">
        <f t="shared" si="90"/>
        <v>240.19413322685813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2">
        <f t="shared" si="86"/>
        <v>18.556669503136707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70">
        <f t="shared" si="56"/>
        <v>403.10019938462972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83.735137603292344</v>
      </c>
      <c r="T123" s="62">
        <f t="shared" si="88"/>
        <v>277.23937202597483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8.0220430224968045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7.4283797169153403E-15</v>
      </c>
      <c r="AC123" s="24">
        <f t="shared" si="57"/>
        <v>8.0220430224968116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328</v>
      </c>
      <c r="AG123" s="13">
        <f>VLOOKUP(A123,'Données projet'!$A$61:$I$81,9,0)</f>
        <v>2.1</v>
      </c>
      <c r="AH123" s="13">
        <f t="array" ref="AH123">INDEX(AG:AG,MIN(IF(ISNUMBER(AG123:AG319),ROW(AG123:AG319),"")))</f>
        <v>2.1</v>
      </c>
      <c r="AI123" s="14">
        <f>IF('Données projet'!$A$62&gt;35,AI122+AH123-AQ122,IF(A123&lt;'Données projet'!$A$62,$AF$205^A123,IF(A123='Données projet'!$A$62,'Données projet'!$B$62,AI122+AH123-AQ122)))</f>
        <v>328.00000000000068</v>
      </c>
      <c r="AJ123" s="14">
        <f>AI123*VLOOKUP('Données projet'!$B$10,Paramètres!$A$1:$I$89,3,0)*VLOOKUP('Données projet'!$B$10,Paramètres!$A$1:$I$89,5,0)</f>
        <v>296.77440000000058</v>
      </c>
      <c r="AK123" s="14">
        <f t="shared" si="89"/>
        <v>70.499828966950872</v>
      </c>
      <c r="AL123" s="22">
        <f t="shared" si="58"/>
        <v>639.66928211744039</v>
      </c>
      <c r="AM123" s="62">
        <f t="shared" si="59"/>
        <v>933.00261545077365</v>
      </c>
      <c r="AN123" s="62">
        <f ca="1">AVERAGE(OFFSET($AM$3,0,0,'Données projet'!$E$10+1,1))-AVERAGE(OFFSET($H$3,0,0,'Données projet'!$E$10+1,1))</f>
        <v>427.83662275523142</v>
      </c>
      <c r="AO123" s="62">
        <f t="shared" si="90"/>
        <v>240.19413322685813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2">
        <f t="shared" si="86"/>
        <v>18.69324238096624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70">
        <f t="shared" si="56"/>
        <v>404.28901381351614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83.735137603292344</v>
      </c>
      <c r="T124" s="62">
        <f t="shared" si="88"/>
        <v>277.23937202597483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7.8647356517887461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5.2526576710594434E-15</v>
      </c>
      <c r="AC124" s="24">
        <f t="shared" si="57"/>
        <v>7.8647356517887514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6.6</v>
      </c>
      <c r="AI124" s="14">
        <f>IF('Données projet'!$A$62&gt;35,AI123+AH124-AQ123,IF(A124&lt;'Données projet'!$A$62,$AF$205^A124,IF(A124='Données projet'!$A$62,'Données projet'!$B$62,AI123+AH124-AQ123)))</f>
        <v>334.6000000000007</v>
      </c>
      <c r="AJ124" s="14">
        <f>AI124*VLOOKUP('Données projet'!$B$10,Paramètres!$A$1:$I$89,3,0)*VLOOKUP('Données projet'!$B$10,Paramètres!$A$1:$I$89,5,0)</f>
        <v>302.74608000000063</v>
      </c>
      <c r="AK124" s="14">
        <f t="shared" si="89"/>
        <v>71.751841671912914</v>
      </c>
      <c r="AL124" s="22">
        <f t="shared" si="58"/>
        <v>652.2505469119161</v>
      </c>
      <c r="AM124" s="62">
        <f t="shared" si="59"/>
        <v>945.58388024524947</v>
      </c>
      <c r="AN124" s="62">
        <f ca="1">AVERAGE(OFFSET($AM$3,0,0,'Données projet'!$E$10+1,1))-AVERAGE(OFFSET($H$3,0,0,'Données projet'!$E$10+1,1))</f>
        <v>427.83662275523142</v>
      </c>
      <c r="AO124" s="62">
        <f t="shared" si="90"/>
        <v>240.19413322685813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2">
        <f t="shared" si="86"/>
        <v>18.829683939536395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70">
        <f t="shared" si="56"/>
        <v>405.47759952802585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83.735137603292344</v>
      </c>
      <c r="T125" s="62">
        <f t="shared" si="88"/>
        <v>277.23937202597483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7.7105129826722507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3.7141898584576702E-15</v>
      </c>
      <c r="AC125" s="24">
        <f t="shared" si="57"/>
        <v>7.7105129826722543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6.6</v>
      </c>
      <c r="AI125" s="14">
        <f>IF('Données projet'!$A$62&gt;35,AI124+AH125-AQ124,IF(A125&lt;'Données projet'!$A$62,$AF$205^A125,IF(A125='Données projet'!$A$62,'Données projet'!$B$62,AI124+AH125-AQ124)))</f>
        <v>341.20000000000073</v>
      </c>
      <c r="AJ125" s="14">
        <f>AI125*VLOOKUP('Données projet'!$B$10,Paramètres!$A$1:$I$89,3,0)*VLOOKUP('Données projet'!$B$10,Paramètres!$A$1:$I$89,5,0)</f>
        <v>308.71776000000068</v>
      </c>
      <c r="AK125" s="14">
        <f t="shared" si="89"/>
        <v>73.000982862381832</v>
      </c>
      <c r="AL125" s="22">
        <f t="shared" si="58"/>
        <v>664.82681048531606</v>
      </c>
      <c r="AM125" s="62">
        <f t="shared" si="59"/>
        <v>958.16014381864943</v>
      </c>
      <c r="AN125" s="62">
        <f ca="1">AVERAGE(OFFSET($AM$3,0,0,'Données projet'!$E$10+1,1))-AVERAGE(OFFSET($H$3,0,0,'Données projet'!$E$10+1,1))</f>
        <v>427.83662275523142</v>
      </c>
      <c r="AO125" s="62">
        <f t="shared" si="90"/>
        <v>240.19413322685813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2">
        <f t="shared" si="86"/>
        <v>18.965995379979955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70">
        <f t="shared" si="56"/>
        <v>406.66595862013173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83.735137603292344</v>
      </c>
      <c r="T126" s="62">
        <f t="shared" si="88"/>
        <v>277.23937202597483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7.5593145260305894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2.6263288355297217E-15</v>
      </c>
      <c r="AC126" s="24">
        <f t="shared" si="57"/>
        <v>7.5593145260305921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6.6</v>
      </c>
      <c r="AI126" s="14">
        <f>IF('Données projet'!$A$62&gt;35,AI125+AH126-AQ125,IF(A126&lt;'Données projet'!$A$62,$AF$205^A126,IF(A126='Données projet'!$A$62,'Données projet'!$B$62,AI125+AH126-AQ125)))</f>
        <v>347.80000000000075</v>
      </c>
      <c r="AJ126" s="14">
        <f>AI126*VLOOKUP('Données projet'!$B$10,Paramètres!$A$1:$I$89,3,0)*VLOOKUP('Données projet'!$B$10,Paramètres!$A$1:$I$89,5,0)</f>
        <v>314.68944000000067</v>
      </c>
      <c r="AK126" s="14">
        <f t="shared" si="89"/>
        <v>74.247314486967952</v>
      </c>
      <c r="AL126" s="22">
        <f t="shared" si="58"/>
        <v>677.39818073147046</v>
      </c>
      <c r="AM126" s="62">
        <f t="shared" si="59"/>
        <v>970.73151406480383</v>
      </c>
      <c r="AN126" s="62">
        <f ca="1">AVERAGE(OFFSET($AM$3,0,0,'Données projet'!$E$10+1,1))-AVERAGE(OFFSET($H$3,0,0,'Données projet'!$E$10+1,1))</f>
        <v>427.83662275523142</v>
      </c>
      <c r="AO126" s="62">
        <f t="shared" si="90"/>
        <v>240.19413322685813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2">
        <f t="shared" si="86"/>
        <v>19.102177882771514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70">
        <f t="shared" si="56"/>
        <v>407.85409314582705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83.735137603292344</v>
      </c>
      <c r="T127" s="62">
        <f t="shared" si="88"/>
        <v>277.23937202597483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7.4110809789017189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1.8570949292288351E-15</v>
      </c>
      <c r="AC127" s="24">
        <f t="shared" si="57"/>
        <v>7.4110809789017207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6.6</v>
      </c>
      <c r="AI127" s="14">
        <f>IF('Données projet'!$A$62&gt;35,AI126+AH127-AQ126,IF(A127&lt;'Données projet'!$A$62,$AF$205^A127,IF(A127='Données projet'!$A$62,'Données projet'!$B$62,AI126+AH127-AQ126)))</f>
        <v>354.40000000000077</v>
      </c>
      <c r="AJ127" s="14">
        <f>AI127*VLOOKUP('Données projet'!$B$10,Paramètres!$A$1:$I$89,3,0)*VLOOKUP('Données projet'!$B$10,Paramètres!$A$1:$I$89,5,0)</f>
        <v>320.66112000000072</v>
      </c>
      <c r="AK127" s="14">
        <f t="shared" si="89"/>
        <v>75.490896008618535</v>
      </c>
      <c r="AL127" s="22">
        <f t="shared" si="58"/>
        <v>689.96476121501189</v>
      </c>
      <c r="AM127" s="62">
        <f t="shared" si="59"/>
        <v>983.29809454834526</v>
      </c>
      <c r="AN127" s="62">
        <f ca="1">AVERAGE(OFFSET($AM$3,0,0,'Données projet'!$E$10+1,1))-AVERAGE(OFFSET($H$3,0,0,'Données projet'!$E$10+1,1))</f>
        <v>427.83662275523142</v>
      </c>
      <c r="AO127" s="62">
        <f t="shared" si="90"/>
        <v>240.19413322685813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2">
        <f t="shared" si="86"/>
        <v>19.238232608246435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70">
        <f t="shared" si="56"/>
        <v>409.04200512602915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83.735137603292344</v>
      </c>
      <c r="T128" s="62">
        <f t="shared" si="88"/>
        <v>277.23937202597483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7.2657542012185097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1.3131644177648609E-15</v>
      </c>
      <c r="AC128" s="24">
        <f t="shared" si="57"/>
        <v>7.2657542012185106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6.6</v>
      </c>
      <c r="AI128" s="14">
        <f>IF('Données projet'!$A$62&gt;35,AI127+AH128-AQ127,IF(A128&lt;'Données projet'!$A$62,$AF$205^A128,IF(A128='Données projet'!$A$62,'Données projet'!$B$62,AI127+AH128-AQ127)))</f>
        <v>361.0000000000008</v>
      </c>
      <c r="AJ128" s="14">
        <f>AI128*VLOOKUP('Données projet'!$B$10,Paramètres!$A$1:$I$89,3,0)*VLOOKUP('Données projet'!$B$10,Paramètres!$A$1:$I$89,5,0)</f>
        <v>326.63280000000071</v>
      </c>
      <c r="AK128" s="14">
        <f t="shared" si="89"/>
        <v>76.731784548754987</v>
      </c>
      <c r="AL128" s="22">
        <f t="shared" si="58"/>
        <v>702.52665142241619</v>
      </c>
      <c r="AM128" s="62">
        <f t="shared" si="59"/>
        <v>995.85998475574957</v>
      </c>
      <c r="AN128" s="62">
        <f ca="1">AVERAGE(OFFSET($AM$3,0,0,'Données projet'!$E$10+1,1))-AVERAGE(OFFSET($H$3,0,0,'Données projet'!$E$10+1,1))</f>
        <v>427.83662275523142</v>
      </c>
      <c r="AO128" s="62">
        <f t="shared" si="90"/>
        <v>240.19413322685813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2">
        <f t="shared" si="86"/>
        <v>19.374160697102734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70">
        <f t="shared" si="56"/>
        <v>410.22969654745395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83.735137603292344</v>
      </c>
      <c r="T129" s="62">
        <f t="shared" si="88"/>
        <v>277.23937202597483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7.1232771930050864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9.2854746461441754E-16</v>
      </c>
      <c r="AC129" s="24">
        <f t="shared" si="57"/>
        <v>7.1232771930050873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6.6</v>
      </c>
      <c r="AI129" s="14">
        <f>IF('Données projet'!$A$62&gt;35,AI128+AH129-AQ128,IF(A129&lt;'Données projet'!$A$62,$AF$205^A129,IF(A129='Données projet'!$A$62,'Données projet'!$B$62,AI128+AH129-AQ128)))</f>
        <v>367.60000000000082</v>
      </c>
      <c r="AJ129" s="14">
        <f>AI129*VLOOKUP('Données projet'!$B$10,Paramètres!$A$1:$I$89,3,0)*VLOOKUP('Données projet'!$B$10,Paramètres!$A$1:$I$89,5,0)</f>
        <v>332.60448000000071</v>
      </c>
      <c r="AK129" s="14">
        <f t="shared" si="89"/>
        <v>77.970035020570748</v>
      </c>
      <c r="AL129" s="22">
        <f t="shared" si="58"/>
        <v>715.08394699416192</v>
      </c>
      <c r="AM129" s="62">
        <f t="shared" si="59"/>
        <v>1008.4172803274953</v>
      </c>
      <c r="AN129" s="62">
        <f ca="1">AVERAGE(OFFSET($AM$3,0,0,'Données projet'!$E$10+1,1))-AVERAGE(OFFSET($H$3,0,0,'Données projet'!$E$10+1,1))</f>
        <v>427.83662275523142</v>
      </c>
      <c r="AO129" s="62">
        <f t="shared" si="90"/>
        <v>240.19413322685813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2">
        <f t="shared" si="86"/>
        <v>19.509963270886551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70">
        <f t="shared" si="56"/>
        <v>411.41716936346074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83.735137603292344</v>
      </c>
      <c r="T130" s="62">
        <f t="shared" si="88"/>
        <v>277.23937202597483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6.9835940720203338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6.5658220888243043E-16</v>
      </c>
      <c r="AC130" s="24">
        <f t="shared" si="57"/>
        <v>6.9835940720203347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6.6</v>
      </c>
      <c r="AI130" s="14">
        <f>IF('Données projet'!$A$62&gt;35,AI129+AH130-AQ129,IF(A130&lt;'Données projet'!$A$62,$AF$205^A130,IF(A130='Données projet'!$A$62,'Données projet'!$B$62,AI129+AH130-AQ129)))</f>
        <v>374.20000000000084</v>
      </c>
      <c r="AJ130" s="14">
        <f>AI130*VLOOKUP('Données projet'!$B$10,Paramètres!$A$1:$I$89,3,0)*VLOOKUP('Données projet'!$B$10,Paramètres!$A$1:$I$89,5,0)</f>
        <v>338.57616000000075</v>
      </c>
      <c r="AK130" s="14">
        <f t="shared" si="89"/>
        <v>79.205700252485045</v>
      </c>
      <c r="AL130" s="22">
        <f t="shared" si="58"/>
        <v>727.63673993974601</v>
      </c>
      <c r="AM130" s="62">
        <f t="shared" si="59"/>
        <v>1020.9700732730794</v>
      </c>
      <c r="AN130" s="62">
        <f ca="1">AVERAGE(OFFSET($AM$3,0,0,'Données projet'!$E$10+1,1))-AVERAGE(OFFSET($H$3,0,0,'Données projet'!$E$10+1,1))</f>
        <v>427.83662275523142</v>
      </c>
      <c r="AO130" s="62">
        <f t="shared" si="90"/>
        <v>240.19413322685813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2">
        <f t="shared" si="86"/>
        <v>19.645641432461961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70">
        <f t="shared" si="56"/>
        <v>412.60442549487129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83.735137603292344</v>
      </c>
      <c r="T131" s="62">
        <f t="shared" si="88"/>
        <v>277.23937202597483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6.8466500518398012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4.6427373230720877E-16</v>
      </c>
      <c r="AC131" s="24">
        <f t="shared" si="57"/>
        <v>6.8466500518398021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6.6</v>
      </c>
      <c r="AI131" s="14">
        <f>IF('Données projet'!$A$62&gt;35,AI130+AH131-AQ130,IF(A131&lt;'Données projet'!$A$62,$AF$205^A131,IF(A131='Données projet'!$A$62,'Données projet'!$B$62,AI130+AH131-AQ130)))</f>
        <v>380.80000000000086</v>
      </c>
      <c r="AJ131" s="14">
        <f>AI131*VLOOKUP('Données projet'!$B$10,Paramètres!$A$1:$I$89,3,0)*VLOOKUP('Données projet'!$B$10,Paramètres!$A$1:$I$89,5,0)</f>
        <v>344.54784000000075</v>
      </c>
      <c r="AK131" s="14">
        <f t="shared" si="89"/>
        <v>80.438831102640663</v>
      </c>
      <c r="AL131" s="22">
        <f t="shared" si="58"/>
        <v>740.1851188371005</v>
      </c>
      <c r="AM131" s="62">
        <f t="shared" si="59"/>
        <v>1033.5184521704339</v>
      </c>
      <c r="AN131" s="62">
        <f ca="1">AVERAGE(OFFSET($AM$3,0,0,'Données projet'!$E$10+1,1))-AVERAGE(OFFSET($H$3,0,0,'Données projet'!$E$10+1,1))</f>
        <v>427.83662275523142</v>
      </c>
      <c r="AO131" s="62">
        <f t="shared" si="90"/>
        <v>240.19413322685813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2">
        <f t="shared" si="86"/>
        <v>19.78119626646561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70">
        <f t="shared" ref="H132:H195" si="110">(B132+E132+F132)*44/12+(C132+D132)*0.475*44/12</f>
        <v>413.79146683076101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83.735137603292344</v>
      </c>
      <c r="T132" s="62">
        <f t="shared" si="88"/>
        <v>277.23937202597483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6.7123914203674042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3.2829110444121521E-16</v>
      </c>
      <c r="AC132" s="24">
        <f t="shared" ref="AC132:AC153" si="111">SUM(Z132:AB132)</f>
        <v>6.7123914203674042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6.6</v>
      </c>
      <c r="AI132" s="14">
        <f>IF('Données projet'!$A$62&gt;35,AI131+AH132-AQ131,IF(A132&lt;'Données projet'!$A$62,$AF$205^A132,IF(A132='Données projet'!$A$62,'Données projet'!$B$62,AI131+AH132-AQ131)))</f>
        <v>387.40000000000089</v>
      </c>
      <c r="AJ132" s="14">
        <f>AI132*VLOOKUP('Données projet'!$B$10,Paramètres!$A$1:$I$89,3,0)*VLOOKUP('Données projet'!$B$10,Paramètres!$A$1:$I$89,5,0)</f>
        <v>350.5195200000008</v>
      </c>
      <c r="AK132" s="14">
        <f t="shared" si="89"/>
        <v>81.669476565238853</v>
      </c>
      <c r="AL132" s="22">
        <f t="shared" ref="AL132:AL153" si="112">(AJ132+AK132)*0.475*44/12</f>
        <v>752.72916901779229</v>
      </c>
      <c r="AM132" s="62">
        <f t="shared" ref="AM132:AM195" si="113">AL132+(AD132+AE132)*44/12</f>
        <v>1046.0625023511257</v>
      </c>
      <c r="AN132" s="62">
        <f ca="1">AVERAGE(OFFSET($AM$3,0,0,'Données projet'!$E$10+1,1))-AVERAGE(OFFSET($H$3,0,0,'Données projet'!$E$10+1,1))</f>
        <v>427.83662275523142</v>
      </c>
      <c r="AO132" s="62">
        <f t="shared" si="90"/>
        <v>240.19413322685813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2">
        <f t="shared" ref="D133:D196" si="140">IFERROR(EXP(-1.0587+0.8836*LN(C133)+0.284),0)</f>
        <v>19.916628839746853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70">
        <f t="shared" si="110"/>
        <v>414.97829522922581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83.735137603292344</v>
      </c>
      <c r="T133" s="62">
        <f t="shared" ref="T133:T196" si="142">$T$3</f>
        <v>277.23937202597483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6.5807655187685015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2.3213686615360439E-16</v>
      </c>
      <c r="AC133" s="24">
        <f t="shared" si="111"/>
        <v>6.5807655187685015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>
        <f>VLOOKUP(A133,'Données projet'!$A$61:$I$81,2,0)</f>
        <v>394</v>
      </c>
      <c r="AG133" s="13">
        <f>VLOOKUP(A133,'Données projet'!$A$61:$I$81,9,0)</f>
        <v>6.6</v>
      </c>
      <c r="AH133" s="13">
        <f t="array" ref="AH133">INDEX(AG:AG,MIN(IF(ISNUMBER(AG133:AG329),ROW(AG133:AG329),"")))</f>
        <v>6.6</v>
      </c>
      <c r="AI133" s="14">
        <f>IF('Données projet'!$A$62&gt;35,AI132+AH133-AQ132,IF(A133&lt;'Données projet'!$A$62,$AF$205^A133,IF(A133='Données projet'!$A$62,'Données projet'!$B$62,AI132+AH133-AQ132)))</f>
        <v>394.00000000000091</v>
      </c>
      <c r="AJ133" s="14">
        <f>AI133*VLOOKUP('Données projet'!$B$10,Paramètres!$A$1:$I$89,3,0)*VLOOKUP('Données projet'!$B$10,Paramètres!$A$1:$I$89,5,0)</f>
        <v>356.49120000000084</v>
      </c>
      <c r="AK133" s="14">
        <f t="shared" ref="AK133:AK153" si="143">EXP(-1.0587+0.8836*LN(AJ133)+0.284)</f>
        <v>82.897683869422579</v>
      </c>
      <c r="AL133" s="22">
        <f t="shared" si="112"/>
        <v>765.26897273924578</v>
      </c>
      <c r="AM133" s="62">
        <f t="shared" si="113"/>
        <v>1058.602306072579</v>
      </c>
      <c r="AN133" s="62">
        <f ca="1">AVERAGE(OFFSET($AM$3,0,0,'Données projet'!$E$10+1,1))-AVERAGE(OFFSET($H$3,0,0,'Données projet'!$E$10+1,1))</f>
        <v>427.83662275523142</v>
      </c>
      <c r="AO133" s="62">
        <f t="shared" ref="AO133:AO196" si="144">$AO$3</f>
        <v>240.19413322685813</v>
      </c>
      <c r="AP133" s="16">
        <f>IF(ISNA(VLOOKUP(A133,'Données projet'!$A$61:$I$81,3,0)),0,VLOOKUP(A133,'Données projet'!$A$61:$I$81,3,0))</f>
        <v>9</v>
      </c>
      <c r="AQ133" s="16">
        <f>IF(ISNA(VLOOKUP(A133,'Données projet'!$A$61:$I$81,4,0)),0,VLOOKUP(A133,'Données projet'!$A$61:$I$81,4,0))</f>
        <v>91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2">
        <f t="shared" si="140"/>
        <v>20.051940201794032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70">
        <f t="shared" si="110"/>
        <v>416.16491251812465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83.735137603292344</v>
      </c>
      <c r="T134" s="62">
        <f t="shared" si="142"/>
        <v>277.23937202597483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6.4517207208160805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1.6414555222060761E-16</v>
      </c>
      <c r="AC134" s="24">
        <f t="shared" si="111"/>
        <v>6.4517207208160805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1.7</v>
      </c>
      <c r="AI134" s="14">
        <f>IF('Données projet'!$A$62&gt;35,AI133+AH134-AQ133,IF(A134&lt;'Données projet'!$A$62,$AF$205^A134,IF(A134='Données projet'!$A$62,'Données projet'!$B$62,AI133+AH134-AQ133)))</f>
        <v>304.7000000000009</v>
      </c>
      <c r="AJ134" s="14">
        <f>AI134*VLOOKUP('Données projet'!$B$10,Paramètres!$A$1:$I$89,3,0)*VLOOKUP('Données projet'!$B$10,Paramètres!$A$1:$I$89,5,0)</f>
        <v>275.69256000000081</v>
      </c>
      <c r="AK134" s="14">
        <f t="shared" si="143"/>
        <v>66.055903272516971</v>
      </c>
      <c r="AL134" s="22">
        <f t="shared" si="112"/>
        <v>595.21190686630177</v>
      </c>
      <c r="AM134" s="62">
        <f t="shared" si="113"/>
        <v>888.54524019963515</v>
      </c>
      <c r="AN134" s="62">
        <f ca="1">AVERAGE(OFFSET($AM$3,0,0,'Données projet'!$E$10+1,1))-AVERAGE(OFFSET($H$3,0,0,'Données projet'!$E$10+1,1))</f>
        <v>427.83662275523142</v>
      </c>
      <c r="AO134" s="62">
        <f t="shared" si="144"/>
        <v>240.19413322685813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2">
        <f t="shared" si="140"/>
        <v>20.187131385147271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70">
        <f t="shared" si="110"/>
        <v>417.35132049579823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83.735137603292344</v>
      </c>
      <c r="T135" s="62">
        <f t="shared" si="142"/>
        <v>277.23937202597483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6.3252064126419523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1.1606843307680219E-16</v>
      </c>
      <c r="AC135" s="24">
        <f t="shared" si="111"/>
        <v>6.3252064126419523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1.7</v>
      </c>
      <c r="AI135" s="14">
        <f>IF('Données projet'!$A$62&gt;35,AI134+AH135-AQ134,IF(A135&lt;'Données projet'!$A$62,$AF$205^A135,IF(A135='Données projet'!$A$62,'Données projet'!$B$62,AI134+AH135-AQ134)))</f>
        <v>306.40000000000089</v>
      </c>
      <c r="AJ135" s="14">
        <f>AI135*VLOOKUP('Données projet'!$B$10,Paramètres!$A$1:$I$89,3,0)*VLOOKUP('Données projet'!$B$10,Paramètres!$A$1:$I$89,5,0)</f>
        <v>277.23072000000082</v>
      </c>
      <c r="AK135" s="14">
        <f t="shared" si="143"/>
        <v>66.381442297295479</v>
      </c>
      <c r="AL135" s="22">
        <f t="shared" si="112"/>
        <v>598.45784933445782</v>
      </c>
      <c r="AM135" s="62">
        <f t="shared" si="113"/>
        <v>891.79118266779119</v>
      </c>
      <c r="AN135" s="62">
        <f ca="1">AVERAGE(OFFSET($AM$3,0,0,'Données projet'!$E$10+1,1))-AVERAGE(OFFSET($H$3,0,0,'Données projet'!$E$10+1,1))</f>
        <v>427.83662275523142</v>
      </c>
      <c r="AO135" s="62">
        <f t="shared" si="144"/>
        <v>240.19413322685813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2">
        <f t="shared" si="140"/>
        <v>20.322203405798462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70">
        <f t="shared" si="110"/>
        <v>418.5375209317657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83.735137603292344</v>
      </c>
      <c r="T136" s="62">
        <f t="shared" si="142"/>
        <v>277.23937202597483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6.2011729728850096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8.2072776110303803E-17</v>
      </c>
      <c r="AC136" s="24">
        <f t="shared" si="111"/>
        <v>6.2011729728850096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1.7</v>
      </c>
      <c r="AI136" s="14">
        <f>IF('Données projet'!$A$62&gt;35,AI135+AH136-AQ135,IF(A136&lt;'Données projet'!$A$62,$AF$205^A136,IF(A136='Données projet'!$A$62,'Données projet'!$B$62,AI135+AH136-AQ135)))</f>
        <v>308.10000000000088</v>
      </c>
      <c r="AJ136" s="14">
        <f>AI136*VLOOKUP('Données projet'!$B$10,Paramètres!$A$1:$I$89,3,0)*VLOOKUP('Données projet'!$B$10,Paramètres!$A$1:$I$89,5,0)</f>
        <v>278.76888000000076</v>
      </c>
      <c r="AK136" s="14">
        <f t="shared" si="143"/>
        <v>66.706771148395688</v>
      </c>
      <c r="AL136" s="22">
        <f t="shared" si="112"/>
        <v>601.70342575012376</v>
      </c>
      <c r="AM136" s="62">
        <f t="shared" si="113"/>
        <v>895.03675908345713</v>
      </c>
      <c r="AN136" s="62">
        <f ca="1">AVERAGE(OFFSET($AM$3,0,0,'Données projet'!$E$10+1,1))-AVERAGE(OFFSET($H$3,0,0,'Données projet'!$E$10+1,1))</f>
        <v>427.83662275523142</v>
      </c>
      <c r="AO136" s="62">
        <f t="shared" si="144"/>
        <v>240.19413322685813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2">
        <f t="shared" si="140"/>
        <v>20.457157263578868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70">
        <f t="shared" si="110"/>
        <v>419.72351556739994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83.735137603292344</v>
      </c>
      <c r="T137" s="62">
        <f t="shared" si="142"/>
        <v>277.23937202597483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6.0795717532287723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5.8034216538401096E-17</v>
      </c>
      <c r="AC137" s="24">
        <f t="shared" si="111"/>
        <v>6.0795717532287723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1.7</v>
      </c>
      <c r="AI137" s="14">
        <f>IF('Données projet'!$A$62&gt;35,AI136+AH137-AQ136,IF(A137&lt;'Données projet'!$A$62,$AF$205^A137,IF(A137='Données projet'!$A$62,'Données projet'!$B$62,AI136+AH137-AQ136)))</f>
        <v>309.80000000000086</v>
      </c>
      <c r="AJ137" s="14">
        <f>AI137*VLOOKUP('Données projet'!$B$10,Paramètres!$A$1:$I$89,3,0)*VLOOKUP('Données projet'!$B$10,Paramètres!$A$1:$I$89,5,0)</f>
        <v>280.30704000000077</v>
      </c>
      <c r="AK137" s="14">
        <f t="shared" si="143"/>
        <v>67.031891120074064</v>
      </c>
      <c r="AL137" s="22">
        <f t="shared" si="112"/>
        <v>604.94863836746367</v>
      </c>
      <c r="AM137" s="62">
        <f t="shared" si="113"/>
        <v>898.28197170079693</v>
      </c>
      <c r="AN137" s="62">
        <f ca="1">AVERAGE(OFFSET($AM$3,0,0,'Données projet'!$E$10+1,1))-AVERAGE(OFFSET($H$3,0,0,'Données projet'!$E$10+1,1))</f>
        <v>427.83662275523142</v>
      </c>
      <c r="AO137" s="62">
        <f t="shared" si="144"/>
        <v>240.19413322685813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2">
        <f t="shared" si="140"/>
        <v>20.591993942534774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70">
        <f t="shared" si="110"/>
        <v>420.90930611658149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83.735137603292344</v>
      </c>
      <c r="T138" s="62">
        <f t="shared" si="142"/>
        <v>277.23937202597483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5.9603550593205741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4.1036388055151902E-17</v>
      </c>
      <c r="AC138" s="24">
        <f t="shared" si="111"/>
        <v>5.9603550593205741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1.7</v>
      </c>
      <c r="AI138" s="14">
        <f>IF('Données projet'!$A$62&gt;35,AI137+AH138-AQ137,IF(A138&lt;'Données projet'!$A$62,$AF$205^A138,IF(A138='Données projet'!$A$62,'Données projet'!$B$62,AI137+AH138-AQ137)))</f>
        <v>311.50000000000085</v>
      </c>
      <c r="AJ138" s="14">
        <f>AI138*VLOOKUP('Données projet'!$B$10,Paramètres!$A$1:$I$89,3,0)*VLOOKUP('Données projet'!$B$10,Paramètres!$A$1:$I$89,5,0)</f>
        <v>281.84520000000072</v>
      </c>
      <c r="AK138" s="14">
        <f t="shared" si="143"/>
        <v>67.356803491560669</v>
      </c>
      <c r="AL138" s="22">
        <f t="shared" si="112"/>
        <v>608.19348941446935</v>
      </c>
      <c r="AM138" s="62">
        <f t="shared" si="113"/>
        <v>901.52682274780273</v>
      </c>
      <c r="AN138" s="62">
        <f ca="1">AVERAGE(OFFSET($AM$3,0,0,'Données projet'!$E$10+1,1))-AVERAGE(OFFSET($H$3,0,0,'Données projet'!$E$10+1,1))</f>
        <v>427.83662275523142</v>
      </c>
      <c r="AO138" s="62">
        <f t="shared" si="144"/>
        <v>240.19413322685813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2">
        <f t="shared" si="140"/>
        <v>20.726714411291841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70">
        <f t="shared" si="110"/>
        <v>422.09489426633343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83.735137603292344</v>
      </c>
      <c r="T139" s="62">
        <f t="shared" si="142"/>
        <v>277.23937202597483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5.8434761320649118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2.9017108269200548E-17</v>
      </c>
      <c r="AC139" s="24">
        <f t="shared" si="111"/>
        <v>5.8434761320649118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1.7</v>
      </c>
      <c r="AI139" s="14">
        <f>IF('Données projet'!$A$62&gt;35,AI138+AH139-AQ138,IF(A139&lt;'Données projet'!$A$62,$AF$205^A139,IF(A139='Données projet'!$A$62,'Données projet'!$B$62,AI138+AH139-AQ138)))</f>
        <v>313.20000000000084</v>
      </c>
      <c r="AJ139" s="14">
        <f>AI139*VLOOKUP('Données projet'!$B$10,Paramètres!$A$1:$I$89,3,0)*VLOOKUP('Données projet'!$B$10,Paramètres!$A$1:$I$89,5,0)</f>
        <v>283.38336000000078</v>
      </c>
      <c r="AK139" s="14">
        <f t="shared" si="143"/>
        <v>67.681509527314816</v>
      </c>
      <c r="AL139" s="22">
        <f t="shared" si="112"/>
        <v>611.43798109340787</v>
      </c>
      <c r="AM139" s="62">
        <f t="shared" si="113"/>
        <v>904.77131442674113</v>
      </c>
      <c r="AN139" s="62">
        <f ca="1">AVERAGE(OFFSET($AM$3,0,0,'Données projet'!$E$10+1,1))-AVERAGE(OFFSET($H$3,0,0,'Données projet'!$E$10+1,1))</f>
        <v>427.83662275523142</v>
      </c>
      <c r="AO139" s="62">
        <f t="shared" si="144"/>
        <v>240.19413322685813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2">
        <f t="shared" si="140"/>
        <v>20.861319623408168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70">
        <f t="shared" si="110"/>
        <v>423.28028167743605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83.735137603292344</v>
      </c>
      <c r="T140" s="62">
        <f t="shared" si="142"/>
        <v>277.23937202597483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5.728889129283627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2.0518194027575951E-17</v>
      </c>
      <c r="AC140" s="24">
        <f t="shared" si="111"/>
        <v>5.728889129283627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1.7</v>
      </c>
      <c r="AI140" s="14">
        <f>IF('Données projet'!$A$62&gt;35,AI139+AH140-AQ139,IF(A140&lt;'Données projet'!$A$62,$AF$205^A140,IF(A140='Données projet'!$A$62,'Données projet'!$B$62,AI139+AH140-AQ139)))</f>
        <v>314.90000000000083</v>
      </c>
      <c r="AJ140" s="14">
        <f>AI140*VLOOKUP('Données projet'!$B$10,Paramètres!$A$1:$I$89,3,0)*VLOOKUP('Données projet'!$B$10,Paramètres!$A$1:$I$89,5,0)</f>
        <v>284.92152000000078</v>
      </c>
      <c r="AK140" s="14">
        <f t="shared" si="143"/>
        <v>68.006010477274558</v>
      </c>
      <c r="AL140" s="22">
        <f t="shared" si="112"/>
        <v>614.68211558125449</v>
      </c>
      <c r="AM140" s="62">
        <f t="shared" si="113"/>
        <v>908.01544891458775</v>
      </c>
      <c r="AN140" s="62">
        <f ca="1">AVERAGE(OFFSET($AM$3,0,0,'Données projet'!$E$10+1,1))-AVERAGE(OFFSET($H$3,0,0,'Données projet'!$E$10+1,1))</f>
        <v>427.83662275523142</v>
      </c>
      <c r="AO140" s="62">
        <f t="shared" si="144"/>
        <v>240.19413322685813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2">
        <f t="shared" si="140"/>
        <v>20.995810517717057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70">
        <f t="shared" si="110"/>
        <v>424.46546998502401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83.735137603292344</v>
      </c>
      <c r="T141" s="62">
        <f t="shared" si="142"/>
        <v>277.23937202597483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5.6165491077357128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1.4508554134600274E-17</v>
      </c>
      <c r="AC141" s="24">
        <f t="shared" si="111"/>
        <v>5.6165491077357128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1.7</v>
      </c>
      <c r="AI141" s="14">
        <f>IF('Données projet'!$A$62&gt;35,AI140+AH141-AQ140,IF(A141&lt;'Données projet'!$A$62,$AF$205^A141,IF(A141='Données projet'!$A$62,'Données projet'!$B$62,AI140+AH141-AQ140)))</f>
        <v>316.60000000000082</v>
      </c>
      <c r="AJ141" s="14">
        <f>AI141*VLOOKUP('Données projet'!$B$10,Paramètres!$A$1:$I$89,3,0)*VLOOKUP('Données projet'!$B$10,Paramètres!$A$1:$I$89,5,0)</f>
        <v>286.45968000000073</v>
      </c>
      <c r="AK141" s="14">
        <f t="shared" si="143"/>
        <v>68.330307577101323</v>
      </c>
      <c r="AL141" s="22">
        <f t="shared" si="112"/>
        <v>617.92589503011948</v>
      </c>
      <c r="AM141" s="62">
        <f t="shared" si="113"/>
        <v>911.25922836345285</v>
      </c>
      <c r="AN141" s="62">
        <f ca="1">AVERAGE(OFFSET($AM$3,0,0,'Données projet'!$E$10+1,1))-AVERAGE(OFFSET($H$3,0,0,'Données projet'!$E$10+1,1))</f>
        <v>427.83662275523142</v>
      </c>
      <c r="AO141" s="62">
        <f t="shared" si="144"/>
        <v>240.19413322685813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2">
        <f t="shared" si="140"/>
        <v>21.130188018659304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70">
        <f t="shared" si="110"/>
        <v>425.6504607991651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83.735137603292344</v>
      </c>
      <c r="T142" s="62">
        <f t="shared" si="142"/>
        <v>277.23937202597483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5.5064120054897057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1.0259097013787975E-17</v>
      </c>
      <c r="AC142" s="24">
        <f t="shared" si="111"/>
        <v>5.5064120054897057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1.7</v>
      </c>
      <c r="AI142" s="14">
        <f>IF('Données projet'!$A$62&gt;35,AI141+AH142-AQ141,IF(A142&lt;'Données projet'!$A$62,$AF$205^A142,IF(A142='Données projet'!$A$62,'Données projet'!$B$62,AI141+AH142-AQ141)))</f>
        <v>318.30000000000081</v>
      </c>
      <c r="AJ142" s="14">
        <f>AI142*VLOOKUP('Données projet'!$B$10,Paramètres!$A$1:$I$89,3,0)*VLOOKUP('Données projet'!$B$10,Paramètres!$A$1:$I$89,5,0)</f>
        <v>287.99784000000074</v>
      </c>
      <c r="AK142" s="14">
        <f t="shared" si="143"/>
        <v>68.654402048418348</v>
      </c>
      <c r="AL142" s="22">
        <f t="shared" si="112"/>
        <v>621.16932156766325</v>
      </c>
      <c r="AM142" s="62">
        <f t="shared" si="113"/>
        <v>914.5026549009965</v>
      </c>
      <c r="AN142" s="62">
        <f ca="1">AVERAGE(OFFSET($AM$3,0,0,'Données projet'!$E$10+1,1))-AVERAGE(OFFSET($H$3,0,0,'Données projet'!$E$10+1,1))</f>
        <v>427.83662275523142</v>
      </c>
      <c r="AO142" s="62">
        <f t="shared" si="144"/>
        <v>240.19413322685813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2">
        <f t="shared" si="140"/>
        <v>21.264453036605797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70">
        <f t="shared" si="110"/>
        <v>426.8352557054219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83.735137603292344</v>
      </c>
      <c r="T143" s="62">
        <f t="shared" si="142"/>
        <v>277.23937202597483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5.3984346246417436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7.2542770673001371E-18</v>
      </c>
      <c r="AC143" s="24">
        <f t="shared" si="111"/>
        <v>5.3984346246417436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>
        <f>VLOOKUP(A143,'Données projet'!$A$61:$I$81,2,0)</f>
        <v>320</v>
      </c>
      <c r="AG143" s="13">
        <f>VLOOKUP(A143,'Données projet'!$A$61:$I$81,9,0)</f>
        <v>1.7</v>
      </c>
      <c r="AH143" s="13">
        <f t="array" ref="AH143">INDEX(AG:AG,MIN(IF(ISNUMBER(AG143:AG339),ROW(AG143:AG339),"")))</f>
        <v>1.7</v>
      </c>
      <c r="AI143" s="14">
        <f>IF('Données projet'!$A$62&gt;35,AI142+AH143-AQ142,IF(A143&lt;'Données projet'!$A$62,$AF$205^A143,IF(A143='Données projet'!$A$62,'Données projet'!$B$62,AI142+AH143-AQ142)))</f>
        <v>320.0000000000008</v>
      </c>
      <c r="AJ143" s="14">
        <f>AI143*VLOOKUP('Données projet'!$B$10,Paramètres!$A$1:$I$89,3,0)*VLOOKUP('Données projet'!$B$10,Paramètres!$A$1:$I$89,5,0)</f>
        <v>289.53600000000068</v>
      </c>
      <c r="AK143" s="14">
        <f t="shared" si="143"/>
        <v>68.978295099044473</v>
      </c>
      <c r="AL143" s="22">
        <f t="shared" si="112"/>
        <v>624.41239729750362</v>
      </c>
      <c r="AM143" s="62">
        <f t="shared" si="113"/>
        <v>917.74573063083699</v>
      </c>
      <c r="AN143" s="62">
        <f ca="1">AVERAGE(OFFSET($AM$3,0,0,'Données projet'!$E$10+1,1))-AVERAGE(OFFSET($H$3,0,0,'Données projet'!$E$10+1,1))</f>
        <v>427.83662275523142</v>
      </c>
      <c r="AO143" s="62">
        <f t="shared" si="144"/>
        <v>240.19413322685813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2">
        <f t="shared" si="140"/>
        <v>21.39860646817062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70">
        <f t="shared" si="110"/>
        <v>428.01985626539732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83.735137603292344</v>
      </c>
      <c r="T144" s="62">
        <f t="shared" si="142"/>
        <v>277.23937202597483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5.2925746143725112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5.1295485068939877E-18</v>
      </c>
      <c r="AC144" s="24">
        <f t="shared" si="111"/>
        <v>5.2925746143725112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5.6</v>
      </c>
      <c r="AI144" s="14">
        <f>IF('Données projet'!$A$62&gt;35,AI143+AH144-AQ143,IF(A144&lt;'Données projet'!$A$62,$AF$205^A144,IF(A144='Données projet'!$A$62,'Données projet'!$B$62,AI143+AH144-AQ143)))</f>
        <v>325.60000000000082</v>
      </c>
      <c r="AJ144" s="14">
        <f>AI144*VLOOKUP('Données projet'!$B$10,Paramètres!$A$1:$I$89,3,0)*VLOOKUP('Données projet'!$B$10,Paramètres!$A$1:$I$89,5,0)</f>
        <v>294.60288000000077</v>
      </c>
      <c r="AK144" s="14">
        <f t="shared" si="143"/>
        <v>70.043827142305929</v>
      </c>
      <c r="AL144" s="22">
        <f t="shared" si="112"/>
        <v>635.0930149395175</v>
      </c>
      <c r="AM144" s="62">
        <f t="shared" si="113"/>
        <v>928.42634827285087</v>
      </c>
      <c r="AN144" s="62">
        <f ca="1">AVERAGE(OFFSET($AM$3,0,0,'Données projet'!$E$10+1,1))-AVERAGE(OFFSET($H$3,0,0,'Données projet'!$E$10+1,1))</f>
        <v>427.83662275523142</v>
      </c>
      <c r="AO144" s="62">
        <f t="shared" si="144"/>
        <v>240.19413322685813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2">
        <f t="shared" si="140"/>
        <v>21.532649196514924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70">
        <f t="shared" si="110"/>
        <v>429.20426401726365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83.735137603292344</v>
      </c>
      <c r="T145" s="62">
        <f t="shared" si="142"/>
        <v>277.23937202597483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5.1887904543364272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3.6271385336500685E-18</v>
      </c>
      <c r="AC145" s="24">
        <f t="shared" si="111"/>
        <v>5.1887904543364272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5.6</v>
      </c>
      <c r="AI145" s="14">
        <f>IF('Données projet'!$A$62&gt;35,AI144+AH145-AQ144,IF(A145&lt;'Données projet'!$A$62,$AF$205^A145,IF(A145='Données projet'!$A$62,'Données projet'!$B$62,AI144+AH145-AQ144)))</f>
        <v>331.20000000000084</v>
      </c>
      <c r="AJ145" s="14">
        <f>AI145*VLOOKUP('Données projet'!$B$10,Paramètres!$A$1:$I$89,3,0)*VLOOKUP('Données projet'!$B$10,Paramètres!$A$1:$I$89,5,0)</f>
        <v>299.66976000000079</v>
      </c>
      <c r="AK145" s="14">
        <f t="shared" si="143"/>
        <v>71.107228049820819</v>
      </c>
      <c r="AL145" s="22">
        <f t="shared" si="112"/>
        <v>645.7699208534392</v>
      </c>
      <c r="AM145" s="62">
        <f t="shared" si="113"/>
        <v>939.10325418677257</v>
      </c>
      <c r="AN145" s="62">
        <f ca="1">AVERAGE(OFFSET($AM$3,0,0,'Données projet'!$E$10+1,1))-AVERAGE(OFFSET($H$3,0,0,'Données projet'!$E$10+1,1))</f>
        <v>427.83662275523142</v>
      </c>
      <c r="AO145" s="62">
        <f t="shared" si="144"/>
        <v>240.19413322685813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2">
        <f t="shared" si="140"/>
        <v>21.666582091642102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70">
        <f t="shared" si="110"/>
        <v>430.38848047627687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83.735137603292344</v>
      </c>
      <c r="T146" s="62">
        <f t="shared" si="142"/>
        <v>277.23937202597483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5.0870414383765636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2.5647742534469939E-18</v>
      </c>
      <c r="AC146" s="24">
        <f t="shared" si="111"/>
        <v>5.0870414383765636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5.6</v>
      </c>
      <c r="AI146" s="14">
        <f>IF('Données projet'!$A$62&gt;35,AI145+AH146-AQ145,IF(A146&lt;'Données projet'!$A$62,$AF$205^A146,IF(A146='Données projet'!$A$62,'Données projet'!$B$62,AI145+AH146-AQ145)))</f>
        <v>336.80000000000086</v>
      </c>
      <c r="AJ146" s="14">
        <f>AI146*VLOOKUP('Données projet'!$B$10,Paramètres!$A$1:$I$89,3,0)*VLOOKUP('Données projet'!$B$10,Paramètres!$A$1:$I$89,5,0)</f>
        <v>304.73664000000076</v>
      </c>
      <c r="AK146" s="14">
        <f t="shared" si="143"/>
        <v>72.168538013906527</v>
      </c>
      <c r="AL146" s="22">
        <f t="shared" si="112"/>
        <v>656.44318504088847</v>
      </c>
      <c r="AM146" s="62">
        <f t="shared" si="113"/>
        <v>949.77651837422172</v>
      </c>
      <c r="AN146" s="62">
        <f ca="1">AVERAGE(OFFSET($AM$3,0,0,'Données projet'!$E$10+1,1))-AVERAGE(OFFSET($H$3,0,0,'Données projet'!$E$10+1,1))</f>
        <v>427.83662275523142</v>
      </c>
      <c r="AO146" s="62">
        <f t="shared" si="144"/>
        <v>240.19413322685813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2">
        <f t="shared" si="140"/>
        <v>21.800406010684483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70">
        <f t="shared" si="110"/>
        <v>431.57250713527566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83.735137603292344</v>
      </c>
      <c r="T147" s="62">
        <f t="shared" si="142"/>
        <v>277.23937202597483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4.9872876585589019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1.8135692668250343E-18</v>
      </c>
      <c r="AC147" s="24">
        <f t="shared" si="111"/>
        <v>4.9872876585589019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5.6</v>
      </c>
      <c r="AI147" s="14">
        <f>IF('Données projet'!$A$62&gt;35,AI146+AH147-AQ146,IF(A147&lt;'Données projet'!$A$62,$AF$205^A147,IF(A147='Données projet'!$A$62,'Données projet'!$B$62,AI146+AH147-AQ146)))</f>
        <v>342.40000000000089</v>
      </c>
      <c r="AJ147" s="14">
        <f>AI147*VLOOKUP('Données projet'!$B$10,Paramètres!$A$1:$I$89,3,0)*VLOOKUP('Données projet'!$B$10,Paramètres!$A$1:$I$89,5,0)</f>
        <v>309.80352000000079</v>
      </c>
      <c r="AK147" s="14">
        <f t="shared" si="143"/>
        <v>73.227795813703949</v>
      </c>
      <c r="AL147" s="22">
        <f t="shared" si="112"/>
        <v>667.1128750422024</v>
      </c>
      <c r="AM147" s="62">
        <f t="shared" si="113"/>
        <v>960.44620837553566</v>
      </c>
      <c r="AN147" s="62">
        <f ca="1">AVERAGE(OFFSET($AM$3,0,0,'Données projet'!$E$10+1,1))-AVERAGE(OFFSET($H$3,0,0,'Données projet'!$E$10+1,1))</f>
        <v>427.83662275523142</v>
      </c>
      <c r="AO147" s="62">
        <f t="shared" si="144"/>
        <v>240.19413322685813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2">
        <f t="shared" si="140"/>
        <v>21.934121798181632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70">
        <f t="shared" si="110"/>
        <v>432.75634546516653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83.735137603292344</v>
      </c>
      <c r="T148" s="62">
        <f t="shared" si="142"/>
        <v>277.23937202597483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4.8894899895196664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1.2823871267234969E-18</v>
      </c>
      <c r="AC148" s="24">
        <f t="shared" si="111"/>
        <v>4.8894899895196664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5.6</v>
      </c>
      <c r="AI148" s="14">
        <f>IF('Données projet'!$A$62&gt;35,AI147+AH148-AQ147,IF(A148&lt;'Données projet'!$A$62,$AF$205^A148,IF(A148='Données projet'!$A$62,'Données projet'!$B$62,AI147+AH148-AQ147)))</f>
        <v>348.00000000000091</v>
      </c>
      <c r="AJ148" s="14">
        <f>AI148*VLOOKUP('Données projet'!$B$10,Paramètres!$A$1:$I$89,3,0)*VLOOKUP('Données projet'!$B$10,Paramètres!$A$1:$I$89,5,0)</f>
        <v>314.87040000000081</v>
      </c>
      <c r="AK148" s="14">
        <f t="shared" si="143"/>
        <v>74.285038887150137</v>
      </c>
      <c r="AL148" s="22">
        <f t="shared" si="112"/>
        <v>677.77905606178786</v>
      </c>
      <c r="AM148" s="62">
        <f t="shared" si="113"/>
        <v>971.11238939512123</v>
      </c>
      <c r="AN148" s="62">
        <f ca="1">AVERAGE(OFFSET($AM$3,0,0,'Données projet'!$E$10+1,1))-AVERAGE(OFFSET($H$3,0,0,'Données projet'!$E$10+1,1))</f>
        <v>427.83662275523142</v>
      </c>
      <c r="AO148" s="62">
        <f t="shared" si="144"/>
        <v>240.19413322685813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2">
        <f t="shared" si="140"/>
        <v>22.067730286351065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70">
        <f t="shared" si="110"/>
        <v>433.939996915395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83.735137603292344</v>
      </c>
      <c r="T149" s="62">
        <f t="shared" si="142"/>
        <v>277.23937202597483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4.7936100731196021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9.0678463341251713E-19</v>
      </c>
      <c r="AC149" s="24">
        <f t="shared" si="111"/>
        <v>4.7936100731196021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5.6</v>
      </c>
      <c r="AI149" s="14">
        <f>IF('Données projet'!$A$62&gt;35,AI148+AH149-AQ148,IF(A149&lt;'Données projet'!$A$62,$AF$205^A149,IF(A149='Données projet'!$A$62,'Données projet'!$B$62,AI148+AH149-AQ148)))</f>
        <v>353.60000000000093</v>
      </c>
      <c r="AJ149" s="14">
        <f>AI149*VLOOKUP('Données projet'!$B$10,Paramètres!$A$1:$I$89,3,0)*VLOOKUP('Données projet'!$B$10,Paramètres!$A$1:$I$89,5,0)</f>
        <v>319.93728000000084</v>
      </c>
      <c r="AK149" s="14">
        <f t="shared" si="143"/>
        <v>75.340303398187018</v>
      </c>
      <c r="AL149" s="22">
        <f t="shared" si="112"/>
        <v>688.44179108517721</v>
      </c>
      <c r="AM149" s="62">
        <f t="shared" si="113"/>
        <v>981.77512441851059</v>
      </c>
      <c r="AN149" s="62">
        <f ca="1">AVERAGE(OFFSET($AM$3,0,0,'Données projet'!$E$10+1,1))-AVERAGE(OFFSET($H$3,0,0,'Données projet'!$E$10+1,1))</f>
        <v>427.83662275523142</v>
      </c>
      <c r="AO149" s="62">
        <f t="shared" si="144"/>
        <v>240.19413322685813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2">
        <f t="shared" si="140"/>
        <v>22.201232295351069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70">
        <f t="shared" si="110"/>
        <v>435.12346291440332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83.735137603292344</v>
      </c>
      <c r="T150" s="62">
        <f t="shared" si="142"/>
        <v>277.23937202597483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4.6996103033991687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6.4119356336174846E-19</v>
      </c>
      <c r="AC150" s="24">
        <f t="shared" si="111"/>
        <v>4.6996103033991687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5.6</v>
      </c>
      <c r="AI150" s="14">
        <f>IF('Données projet'!$A$62&gt;35,AI149+AH150-AQ149,IF(A150&lt;'Données projet'!$A$62,$AF$205^A150,IF(A150='Données projet'!$A$62,'Données projet'!$B$62,AI149+AH150-AQ149)))</f>
        <v>359.20000000000095</v>
      </c>
      <c r="AJ150" s="14">
        <f>AI150*VLOOKUP('Données projet'!$B$10,Paramètres!$A$1:$I$89,3,0)*VLOOKUP('Données projet'!$B$10,Paramètres!$A$1:$I$89,5,0)</f>
        <v>325.00416000000087</v>
      </c>
      <c r="AK150" s="14">
        <f t="shared" si="143"/>
        <v>76.393624299591764</v>
      </c>
      <c r="AL150" s="22">
        <f t="shared" si="112"/>
        <v>699.10114098845713</v>
      </c>
      <c r="AM150" s="62">
        <f t="shared" si="113"/>
        <v>992.4344743217905</v>
      </c>
      <c r="AN150" s="62">
        <f ca="1">AVERAGE(OFFSET($AM$3,0,0,'Données projet'!$E$10+1,1))-AVERAGE(OFFSET($H$3,0,0,'Données projet'!$E$10+1,1))</f>
        <v>427.83662275523142</v>
      </c>
      <c r="AO150" s="62">
        <f t="shared" si="144"/>
        <v>240.19413322685813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2">
        <f t="shared" si="140"/>
        <v>22.334628633536237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70">
        <f t="shared" si="110"/>
        <v>436.30674487007587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83.735137603292344</v>
      </c>
      <c r="T151" s="62">
        <f t="shared" si="142"/>
        <v>277.23937202597483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4.6074538118287549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4.5339231670625857E-19</v>
      </c>
      <c r="AC151" s="24">
        <f t="shared" si="111"/>
        <v>4.6074538118287549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5.6</v>
      </c>
      <c r="AI151" s="14">
        <f>IF('Données projet'!$A$62&gt;35,AI150+AH151-AQ150,IF(A151&lt;'Données projet'!$A$62,$AF$205^A151,IF(A151='Données projet'!$A$62,'Données projet'!$B$62,AI150+AH151-AQ150)))</f>
        <v>364.80000000000098</v>
      </c>
      <c r="AJ151" s="14">
        <f>AI151*VLOOKUP('Données projet'!$B$10,Paramètres!$A$1:$I$89,3,0)*VLOOKUP('Données projet'!$B$10,Paramètres!$A$1:$I$89,5,0)</f>
        <v>330.07104000000083</v>
      </c>
      <c r="AK151" s="14">
        <f t="shared" si="143"/>
        <v>77.445035391777395</v>
      </c>
      <c r="AL151" s="22">
        <f t="shared" si="112"/>
        <v>709.75716464068046</v>
      </c>
      <c r="AM151" s="62">
        <f t="shared" si="113"/>
        <v>1003.0904979740137</v>
      </c>
      <c r="AN151" s="62">
        <f ca="1">AVERAGE(OFFSET($AM$3,0,0,'Données projet'!$E$10+1,1))-AVERAGE(OFFSET($H$3,0,0,'Données projet'!$E$10+1,1))</f>
        <v>427.83662275523142</v>
      </c>
      <c r="AO151" s="62">
        <f t="shared" si="144"/>
        <v>240.19413322685813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2">
        <f t="shared" si="140"/>
        <v>22.467920097706067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70">
        <f t="shared" si="110"/>
        <v>437.48984417017164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83.735137603292344</v>
      </c>
      <c r="T152" s="62">
        <f t="shared" si="142"/>
        <v>277.23937202597483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4.5171044528481268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3.2059678168087423E-19</v>
      </c>
      <c r="AC152" s="24">
        <f t="shared" si="111"/>
        <v>4.5171044528481268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5.6</v>
      </c>
      <c r="AI152" s="14">
        <f>IF('Données projet'!$A$62&gt;35,AI151+AH152-AQ151,IF(A152&lt;'Données projet'!$A$62,$AF$205^A152,IF(A152='Données projet'!$A$62,'Données projet'!$B$62,AI151+AH152-AQ151)))</f>
        <v>370.400000000001</v>
      </c>
      <c r="AJ152" s="14">
        <f>AI152*VLOOKUP('Données projet'!$B$10,Paramètres!$A$1:$I$89,3,0)*VLOOKUP('Données projet'!$B$10,Paramètres!$A$1:$I$89,5,0)</f>
        <v>335.13792000000086</v>
      </c>
      <c r="AK152" s="14">
        <f t="shared" si="143"/>
        <v>78.494569377880751</v>
      </c>
      <c r="AL152" s="22">
        <f t="shared" si="112"/>
        <v>720.40991899981043</v>
      </c>
      <c r="AM152" s="62">
        <f t="shared" si="113"/>
        <v>1013.7432523331438</v>
      </c>
      <c r="AN152" s="62">
        <f ca="1">AVERAGE(OFFSET($AM$3,0,0,'Données projet'!$E$10+1,1))-AVERAGE(OFFSET($H$3,0,0,'Données projet'!$E$10+1,1))</f>
        <v>427.83662275523142</v>
      </c>
      <c r="AO152" s="62">
        <f t="shared" si="144"/>
        <v>240.19413322685813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2">
        <f t="shared" si="140"/>
        <v>22.601107473346371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70">
        <f t="shared" si="110"/>
        <v>438.6727621827452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83.735137603292344</v>
      </c>
      <c r="T153" s="62">
        <f t="shared" si="142"/>
        <v>277.23937202597483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4.4285267896894416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2.2669615835312928E-19</v>
      </c>
      <c r="AC153" s="24">
        <f t="shared" si="111"/>
        <v>4.4285267896894416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376</v>
      </c>
      <c r="AG153" s="13">
        <f>VLOOKUP(A153,'Données projet'!$A$61:$I$81,9,0)</f>
        <v>5.6</v>
      </c>
      <c r="AH153" s="13">
        <f t="array" ref="AH153">INDEX(AG:AG,MIN(IF(ISNUMBER(AG153:AG349),ROW(AG153:AG349),"")))</f>
        <v>5.6</v>
      </c>
      <c r="AI153" s="14">
        <f>IF('Données projet'!$A$62&gt;35,AI152+AH153-AQ152,IF(A153&lt;'Données projet'!$A$62,$AF$205^A153,IF(A153='Données projet'!$A$62,'Données projet'!$B$62,AI152+AH153-AQ152)))</f>
        <v>376.00000000000102</v>
      </c>
      <c r="AJ153" s="14">
        <f>AI153*VLOOKUP('Données projet'!$B$10,Paramètres!$A$1:$I$89,3,0)*VLOOKUP('Données projet'!$B$10,Paramètres!$A$1:$I$89,5,0)</f>
        <v>340.20480000000094</v>
      </c>
      <c r="AK153" s="14">
        <f t="shared" si="143"/>
        <v>79.542257915424543</v>
      </c>
      <c r="AL153" s="22">
        <f t="shared" si="112"/>
        <v>731.05945920269949</v>
      </c>
      <c r="AM153" s="62">
        <f t="shared" si="113"/>
        <v>1024.3927925360329</v>
      </c>
      <c r="AN153" s="62">
        <f ca="1">AVERAGE(OFFSET($AM$3,0,0,'Données projet'!$E$10+1,1))-AVERAGE(OFFSET($H$3,0,0,'Données projet'!$E$10+1,1))</f>
        <v>427.83662275523142</v>
      </c>
      <c r="AO153" s="62">
        <f t="shared" si="144"/>
        <v>240.19413322685813</v>
      </c>
      <c r="AP153" s="16">
        <f>IF(ISNA(VLOOKUP(A153,'Données projet'!$A$61:$I$81,3,0)),0,VLOOKUP(A153,'Données projet'!$A$61:$I$81,3,0))</f>
        <v>10</v>
      </c>
      <c r="AQ153" s="16">
        <f>IF(ISNA(VLOOKUP(A153,'Données projet'!$A$61:$I$81,4,0)),0,VLOOKUP(A153,'Données projet'!$A$61:$I$81,4,0))</f>
        <v>376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2">
        <f t="shared" si="140"/>
        <v>22.734191534864422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70">
        <f t="shared" si="110"/>
        <v>439.85550025655579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83.735137603292344</v>
      </c>
      <c r="T154" s="62">
        <f t="shared" si="142"/>
        <v>277.23937202597483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4.3416860804782589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1.6029839084043712E-19</v>
      </c>
      <c r="AC154" s="24">
        <f t="shared" ref="AC154:AC203" si="163">SUM(Z154:AB154)</f>
        <v>4.3416860804782589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1.0231815394945443E-12</v>
      </c>
      <c r="AJ154" s="14">
        <f>AI154*VLOOKUP('Données projet'!$B$10,Paramètres!$A$1:$I$89,3,0)*VLOOKUP('Données projet'!$B$10,Paramètres!$A$1:$I$89,5,0)</f>
        <v>9.2577465693466368E-13</v>
      </c>
      <c r="AK154" s="14">
        <f t="shared" ref="AK154:AK203" si="164">EXP(-1.0587+0.8836*LN(AJ154)+0.284)</f>
        <v>1.0733865205587901E-11</v>
      </c>
      <c r="AL154" s="22">
        <f t="shared" ref="AL154:AL203" si="165">(AJ154+AK154)*0.475*44/12</f>
        <v>2.030720609389346E-11</v>
      </c>
      <c r="AM154" s="62">
        <f t="shared" si="113"/>
        <v>293.33333333335361</v>
      </c>
      <c r="AN154" s="62">
        <f ca="1">AVERAGE(OFFSET($AM$3,0,0,'Données projet'!$E$10+1,1))-AVERAGE(OFFSET($H$3,0,0,'Données projet'!$E$10+1,1))</f>
        <v>427.83662275523142</v>
      </c>
      <c r="AO154" s="62">
        <f t="shared" si="144"/>
        <v>240.19413322685813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2">
        <f t="shared" si="140"/>
        <v>22.867173045817363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70">
        <f t="shared" si="110"/>
        <v>441.03805972146552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83.735137603292344</v>
      </c>
      <c r="T155" s="62">
        <f t="shared" si="142"/>
        <v>277.23937202597483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4.2565482646071047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1.1334807917656464E-19</v>
      </c>
      <c r="AC155" s="24">
        <f t="shared" si="163"/>
        <v>4.2565482646071047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1.0231815394945443E-12</v>
      </c>
      <c r="AJ155" s="14">
        <f>AI155*VLOOKUP('Données projet'!$B$10,Paramètres!$A$1:$I$89,3,0)*VLOOKUP('Données projet'!$B$10,Paramètres!$A$1:$I$89,5,0)</f>
        <v>9.2577465693466368E-13</v>
      </c>
      <c r="AK155" s="14">
        <f t="shared" si="164"/>
        <v>1.0733865205587901E-11</v>
      </c>
      <c r="AL155" s="22">
        <f t="shared" si="165"/>
        <v>2.030720609389346E-11</v>
      </c>
      <c r="AM155" s="62">
        <f t="shared" si="113"/>
        <v>293.33333333335361</v>
      </c>
      <c r="AN155" s="62">
        <f ca="1">AVERAGE(OFFSET($AM$3,0,0,'Données projet'!$E$10+1,1))-AVERAGE(OFFSET($H$3,0,0,'Données projet'!$E$10+1,1))</f>
        <v>427.83662275523142</v>
      </c>
      <c r="AO155" s="62">
        <f t="shared" si="144"/>
        <v>240.19413322685813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2">
        <f t="shared" si="140"/>
        <v>23.000052759134679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70">
        <f t="shared" si="110"/>
        <v>442.22044188882654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83.735137603292344</v>
      </c>
      <c r="T156" s="62">
        <f t="shared" si="142"/>
        <v>277.23937202597483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4.1730799493762438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8.0149195420218558E-20</v>
      </c>
      <c r="AC156" s="24">
        <f t="shared" si="163"/>
        <v>4.1730799493762438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1.0231815394945443E-12</v>
      </c>
      <c r="AJ156" s="14">
        <f>AI156*VLOOKUP('Données projet'!$B$10,Paramètres!$A$1:$I$89,3,0)*VLOOKUP('Données projet'!$B$10,Paramètres!$A$1:$I$89,5,0)</f>
        <v>9.2577465693466368E-13</v>
      </c>
      <c r="AK156" s="14">
        <f t="shared" si="164"/>
        <v>1.0733865205587901E-11</v>
      </c>
      <c r="AL156" s="22">
        <f t="shared" si="165"/>
        <v>2.030720609389346E-11</v>
      </c>
      <c r="AM156" s="62">
        <f t="shared" si="113"/>
        <v>293.33333333335361</v>
      </c>
      <c r="AN156" s="62">
        <f ca="1">AVERAGE(OFFSET($AM$3,0,0,'Données projet'!$E$10+1,1))-AVERAGE(OFFSET($H$3,0,0,'Données projet'!$E$10+1,1))</f>
        <v>427.83662275523142</v>
      </c>
      <c r="AO156" s="62">
        <f t="shared" si="144"/>
        <v>240.19413322685813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2">
        <f t="shared" si="140"/>
        <v>23.132831417334586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70">
        <f t="shared" si="110"/>
        <v>443.40264805185802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83.735137603292344</v>
      </c>
      <c r="T157" s="62">
        <f t="shared" si="142"/>
        <v>277.23937202597483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4.0912483968964146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5.6674039588282321E-20</v>
      </c>
      <c r="AC157" s="24">
        <f t="shared" si="163"/>
        <v>4.0912483968964146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1.0231815394945443E-12</v>
      </c>
      <c r="AJ157" s="14">
        <f>AI157*VLOOKUP('Données projet'!$B$10,Paramètres!$A$1:$I$89,3,0)*VLOOKUP('Données projet'!$B$10,Paramètres!$A$1:$I$89,5,0)</f>
        <v>9.2577465693466368E-13</v>
      </c>
      <c r="AK157" s="14">
        <f t="shared" si="164"/>
        <v>1.0733865205587901E-11</v>
      </c>
      <c r="AL157" s="22">
        <f t="shared" si="165"/>
        <v>2.030720609389346E-11</v>
      </c>
      <c r="AM157" s="62">
        <f t="shared" si="113"/>
        <v>293.33333333335361</v>
      </c>
      <c r="AN157" s="62">
        <f ca="1">AVERAGE(OFFSET($AM$3,0,0,'Données projet'!$E$10+1,1))-AVERAGE(OFFSET($H$3,0,0,'Données projet'!$E$10+1,1))</f>
        <v>427.83662275523142</v>
      </c>
      <c r="AO157" s="62">
        <f t="shared" si="144"/>
        <v>240.19413322685813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2">
        <f t="shared" si="140"/>
        <v>23.265509752734562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70">
        <f t="shared" si="110"/>
        <v>444.58467948601304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83.735137603292344</v>
      </c>
      <c r="T158" s="62">
        <f t="shared" si="142"/>
        <v>277.23937202597483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4.011021511248396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4.0074597710109279E-20</v>
      </c>
      <c r="AC158" s="24">
        <f t="shared" si="163"/>
        <v>4.011021511248396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1.0231815394945443E-12</v>
      </c>
      <c r="AJ158" s="14">
        <f>AI158*VLOOKUP('Données projet'!$B$10,Paramètres!$A$1:$I$89,3,0)*VLOOKUP('Données projet'!$B$10,Paramètres!$A$1:$I$89,5,0)</f>
        <v>9.2577465693466368E-13</v>
      </c>
      <c r="AK158" s="14">
        <f t="shared" si="164"/>
        <v>1.0733865205587901E-11</v>
      </c>
      <c r="AL158" s="22">
        <f t="shared" si="165"/>
        <v>2.030720609389346E-11</v>
      </c>
      <c r="AM158" s="62">
        <f t="shared" si="113"/>
        <v>293.33333333335361</v>
      </c>
      <c r="AN158" s="62">
        <f ca="1">AVERAGE(OFFSET($AM$3,0,0,'Données projet'!$E$10+1,1))-AVERAGE(OFFSET($H$3,0,0,'Données projet'!$E$10+1,1))</f>
        <v>427.83662275523142</v>
      </c>
      <c r="AO158" s="62">
        <f t="shared" si="144"/>
        <v>240.19413322685813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2">
        <f t="shared" si="140"/>
        <v>23.398088487656484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70">
        <f t="shared" si="110"/>
        <v>445.76653744933537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83.735137603292344</v>
      </c>
      <c r="T159" s="62">
        <f t="shared" si="142"/>
        <v>277.23937202597483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3.9323678258943668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2.833701979414116E-20</v>
      </c>
      <c r="AC159" s="24">
        <f t="shared" si="163"/>
        <v>3.9323678258943668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1.0231815394945443E-12</v>
      </c>
      <c r="AJ159" s="14">
        <f>AI159*VLOOKUP('Données projet'!$B$10,Paramètres!$A$1:$I$89,3,0)*VLOOKUP('Données projet'!$B$10,Paramètres!$A$1:$I$89,5,0)</f>
        <v>9.2577465693466368E-13</v>
      </c>
      <c r="AK159" s="14">
        <f t="shared" si="164"/>
        <v>1.0733865205587901E-11</v>
      </c>
      <c r="AL159" s="22">
        <f t="shared" si="165"/>
        <v>2.030720609389346E-11</v>
      </c>
      <c r="AM159" s="62">
        <f t="shared" si="113"/>
        <v>293.33333333335361</v>
      </c>
      <c r="AN159" s="62">
        <f ca="1">AVERAGE(OFFSET($AM$3,0,0,'Données projet'!$E$10+1,1))-AVERAGE(OFFSET($H$3,0,0,'Données projet'!$E$10+1,1))</f>
        <v>427.83662275523142</v>
      </c>
      <c r="AO159" s="62">
        <f t="shared" si="144"/>
        <v>240.19413322685813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2">
        <f t="shared" si="140"/>
        <v>23.530568334626178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70">
        <f t="shared" si="110"/>
        <v>446.94822318280762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83.735137603292344</v>
      </c>
      <c r="T160" s="62">
        <f t="shared" si="142"/>
        <v>277.23937202597483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3.8552564913361191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2.003729885505464E-20</v>
      </c>
      <c r="AC160" s="24">
        <f t="shared" si="163"/>
        <v>3.8552564913361191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1.0231815394945443E-12</v>
      </c>
      <c r="AJ160" s="14">
        <f>AI160*VLOOKUP('Données projet'!$B$10,Paramètres!$A$1:$I$89,3,0)*VLOOKUP('Données projet'!$B$10,Paramètres!$A$1:$I$89,5,0)</f>
        <v>9.2577465693466368E-13</v>
      </c>
      <c r="AK160" s="14">
        <f t="shared" si="164"/>
        <v>1.0733865205587901E-11</v>
      </c>
      <c r="AL160" s="22">
        <f t="shared" si="165"/>
        <v>2.030720609389346E-11</v>
      </c>
      <c r="AM160" s="62">
        <f t="shared" si="113"/>
        <v>293.33333333335361</v>
      </c>
      <c r="AN160" s="62">
        <f ca="1">AVERAGE(OFFSET($AM$3,0,0,'Données projet'!$E$10+1,1))-AVERAGE(OFFSET($H$3,0,0,'Données projet'!$E$10+1,1))</f>
        <v>427.83662275523142</v>
      </c>
      <c r="AO160" s="62">
        <f t="shared" si="144"/>
        <v>240.19413322685813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2">
        <f t="shared" si="140"/>
        <v>23.662949996567761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70">
        <f t="shared" si="110"/>
        <v>448.12973791068919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83.735137603292344</v>
      </c>
      <c r="T161" s="62">
        <f t="shared" si="142"/>
        <v>277.23937202597483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3.7796572630152889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1.416850989707058E-20</v>
      </c>
      <c r="AC161" s="24">
        <f t="shared" si="163"/>
        <v>3.7796572630152889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1.0231815394945443E-12</v>
      </c>
      <c r="AJ161" s="14">
        <f>AI161*VLOOKUP('Données projet'!$B$10,Paramètres!$A$1:$I$89,3,0)*VLOOKUP('Données projet'!$B$10,Paramètres!$A$1:$I$89,5,0)</f>
        <v>9.2577465693466368E-13</v>
      </c>
      <c r="AK161" s="14">
        <f t="shared" si="164"/>
        <v>1.0733865205587901E-11</v>
      </c>
      <c r="AL161" s="22">
        <f t="shared" si="165"/>
        <v>2.030720609389346E-11</v>
      </c>
      <c r="AM161" s="62">
        <f t="shared" si="113"/>
        <v>293.33333333335361</v>
      </c>
      <c r="AN161" s="62">
        <f ca="1">AVERAGE(OFFSET($AM$3,0,0,'Données projet'!$E$10+1,1))-AVERAGE(OFFSET($H$3,0,0,'Données projet'!$E$10+1,1))</f>
        <v>427.83662275523142</v>
      </c>
      <c r="AO161" s="62">
        <f t="shared" si="144"/>
        <v>240.19413322685813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2">
        <f t="shared" si="140"/>
        <v>23.795234166993069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70">
        <f t="shared" si="110"/>
        <v>449.31108284084667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83.735137603292344</v>
      </c>
      <c r="T162" s="62">
        <f t="shared" si="142"/>
        <v>277.23937202597483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3.7055404894508537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1.001864942752732E-20</v>
      </c>
      <c r="AC162" s="24">
        <f t="shared" si="163"/>
        <v>3.7055404894508537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1.0231815394945443E-12</v>
      </c>
      <c r="AJ162" s="14">
        <f>AI162*VLOOKUP('Données projet'!$B$10,Paramètres!$A$1:$I$89,3,0)*VLOOKUP('Données projet'!$B$10,Paramètres!$A$1:$I$89,5,0)</f>
        <v>9.2577465693466368E-13</v>
      </c>
      <c r="AK162" s="14">
        <f t="shared" si="164"/>
        <v>1.0733865205587901E-11</v>
      </c>
      <c r="AL162" s="22">
        <f t="shared" si="165"/>
        <v>2.030720609389346E-11</v>
      </c>
      <c r="AM162" s="62">
        <f t="shared" si="113"/>
        <v>293.33333333335361</v>
      </c>
      <c r="AN162" s="62">
        <f ca="1">AVERAGE(OFFSET($AM$3,0,0,'Données projet'!$E$10+1,1))-AVERAGE(OFFSET($H$3,0,0,'Données projet'!$E$10+1,1))</f>
        <v>427.83662275523142</v>
      </c>
      <c r="AO162" s="62">
        <f t="shared" si="144"/>
        <v>240.19413322685813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2">
        <f t="shared" si="140"/>
        <v>23.927421530185995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70">
        <f t="shared" si="110"/>
        <v>450.4922591650743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83.735137603292344</v>
      </c>
      <c r="T163" s="62">
        <f t="shared" si="142"/>
        <v>277.23937202597483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3.6328771006092491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7.0842549485352901E-21</v>
      </c>
      <c r="AC163" s="24">
        <f t="shared" si="163"/>
        <v>3.6328771006092491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1.0231815394945443E-12</v>
      </c>
      <c r="AJ163" s="14">
        <f>AI163*VLOOKUP('Données projet'!$B$10,Paramètres!$A$1:$I$89,3,0)*VLOOKUP('Données projet'!$B$10,Paramètres!$A$1:$I$89,5,0)</f>
        <v>9.2577465693466368E-13</v>
      </c>
      <c r="AK163" s="14">
        <f t="shared" si="164"/>
        <v>1.0733865205587901E-11</v>
      </c>
      <c r="AL163" s="22">
        <f t="shared" si="165"/>
        <v>2.030720609389346E-11</v>
      </c>
      <c r="AM163" s="62">
        <f t="shared" si="113"/>
        <v>293.33333333335361</v>
      </c>
      <c r="AN163" s="62">
        <f ca="1">AVERAGE(OFFSET($AM$3,0,0,'Données projet'!$E$10+1,1))-AVERAGE(OFFSET($H$3,0,0,'Données projet'!$E$10+1,1))</f>
        <v>427.83662275523142</v>
      </c>
      <c r="AO163" s="62">
        <f t="shared" si="144"/>
        <v>240.19413322685813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2">
        <f t="shared" si="140"/>
        <v>24.059512761382141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70">
        <f t="shared" si="110"/>
        <v>451.67326805940763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83.735137603292344</v>
      </c>
      <c r="T164" s="62">
        <f t="shared" si="142"/>
        <v>277.23937202597483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3.5616385965025374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5.0093247137636599E-21</v>
      </c>
      <c r="AC164" s="24">
        <f t="shared" si="163"/>
        <v>3.5616385965025374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1.0231815394945443E-12</v>
      </c>
      <c r="AJ164" s="14">
        <f>AI164*VLOOKUP('Données projet'!$B$10,Paramètres!$A$1:$I$89,3,0)*VLOOKUP('Données projet'!$B$10,Paramètres!$A$1:$I$89,5,0)</f>
        <v>9.2577465693466368E-13</v>
      </c>
      <c r="AK164" s="14">
        <f t="shared" si="164"/>
        <v>1.0733865205587901E-11</v>
      </c>
      <c r="AL164" s="22">
        <f t="shared" si="165"/>
        <v>2.030720609389346E-11</v>
      </c>
      <c r="AM164" s="62">
        <f t="shared" si="113"/>
        <v>293.33333333335361</v>
      </c>
      <c r="AN164" s="62">
        <f ca="1">AVERAGE(OFFSET($AM$3,0,0,'Données projet'!$E$10+1,1))-AVERAGE(OFFSET($H$3,0,0,'Données projet'!$E$10+1,1))</f>
        <v>427.83662275523142</v>
      </c>
      <c r="AO164" s="62">
        <f t="shared" si="144"/>
        <v>240.19413322685813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2">
        <f t="shared" si="140"/>
        <v>24.191508526944009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70">
        <f t="shared" si="110"/>
        <v>452.85411068442789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83.735137603292344</v>
      </c>
      <c r="T165" s="62">
        <f t="shared" si="142"/>
        <v>277.23937202597483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3.4917970360101616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3.542127474267645E-21</v>
      </c>
      <c r="AC165" s="24">
        <f t="shared" si="163"/>
        <v>3.4917970360101616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1.0231815394945443E-12</v>
      </c>
      <c r="AJ165" s="14">
        <f>AI165*VLOOKUP('Données projet'!$B$10,Paramètres!$A$1:$I$89,3,0)*VLOOKUP('Données projet'!$B$10,Paramètres!$A$1:$I$89,5,0)</f>
        <v>9.2577465693466368E-13</v>
      </c>
      <c r="AK165" s="14">
        <f t="shared" si="164"/>
        <v>1.0733865205587901E-11</v>
      </c>
      <c r="AL165" s="22">
        <f t="shared" si="165"/>
        <v>2.030720609389346E-11</v>
      </c>
      <c r="AM165" s="62">
        <f t="shared" si="113"/>
        <v>293.33333333335361</v>
      </c>
      <c r="AN165" s="62">
        <f ca="1">AVERAGE(OFFSET($AM$3,0,0,'Données projet'!$E$10+1,1))-AVERAGE(OFFSET($H$3,0,0,'Données projet'!$E$10+1,1))</f>
        <v>427.83662275523142</v>
      </c>
      <c r="AO165" s="62">
        <f t="shared" si="144"/>
        <v>240.19413322685813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2">
        <f t="shared" si="140"/>
        <v>24.323409484531542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70">
        <f t="shared" si="110"/>
        <v>454.03478818555948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83.735137603292344</v>
      </c>
      <c r="T166" s="62">
        <f t="shared" si="142"/>
        <v>277.23937202597483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3.4233250259198953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2.5046623568818299E-21</v>
      </c>
      <c r="AC166" s="24">
        <f t="shared" si="163"/>
        <v>3.4233250259198953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1.0231815394945443E-12</v>
      </c>
      <c r="AJ166" s="14">
        <f>AI166*VLOOKUP('Données projet'!$B$10,Paramètres!$A$1:$I$89,3,0)*VLOOKUP('Données projet'!$B$10,Paramètres!$A$1:$I$89,5,0)</f>
        <v>9.2577465693466368E-13</v>
      </c>
      <c r="AK166" s="14">
        <f t="shared" si="164"/>
        <v>1.0733865205587901E-11</v>
      </c>
      <c r="AL166" s="22">
        <f t="shared" si="165"/>
        <v>2.030720609389346E-11</v>
      </c>
      <c r="AM166" s="62">
        <f t="shared" si="113"/>
        <v>293.33333333335361</v>
      </c>
      <c r="AN166" s="62">
        <f ca="1">AVERAGE(OFFSET($AM$3,0,0,'Données projet'!$E$10+1,1))-AVERAGE(OFFSET($H$3,0,0,'Données projet'!$E$10+1,1))</f>
        <v>427.83662275523142</v>
      </c>
      <c r="AO166" s="62">
        <f t="shared" si="144"/>
        <v>240.19413322685813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2">
        <f t="shared" si="140"/>
        <v>24.455216283268463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70">
        <f t="shared" si="110"/>
        <v>455.21530169335966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83.735137603292344</v>
      </c>
      <c r="T167" s="62">
        <f t="shared" si="142"/>
        <v>277.23937202597483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3.3561957101836968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1.7710637371338225E-21</v>
      </c>
      <c r="AC167" s="24">
        <f t="shared" si="163"/>
        <v>3.3561957101836968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1.0231815394945443E-12</v>
      </c>
      <c r="AJ167" s="14">
        <f>AI167*VLOOKUP('Données projet'!$B$10,Paramètres!$A$1:$I$89,3,0)*VLOOKUP('Données projet'!$B$10,Paramètres!$A$1:$I$89,5,0)</f>
        <v>9.2577465693466368E-13</v>
      </c>
      <c r="AK167" s="14">
        <f t="shared" si="164"/>
        <v>1.0733865205587901E-11</v>
      </c>
      <c r="AL167" s="22">
        <f t="shared" si="165"/>
        <v>2.030720609389346E-11</v>
      </c>
      <c r="AM167" s="62">
        <f t="shared" si="113"/>
        <v>293.33333333335361</v>
      </c>
      <c r="AN167" s="62">
        <f ca="1">AVERAGE(OFFSET($AM$3,0,0,'Données projet'!$E$10+1,1))-AVERAGE(OFFSET($H$3,0,0,'Données projet'!$E$10+1,1))</f>
        <v>427.83662275523142</v>
      </c>
      <c r="AO167" s="62">
        <f t="shared" si="144"/>
        <v>240.19413322685813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2">
        <f t="shared" si="140"/>
        <v>24.586929563904505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70">
        <f t="shared" si="110"/>
        <v>456.39565232380079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83.735137603292344</v>
      </c>
      <c r="T168" s="62">
        <f t="shared" si="142"/>
        <v>277.23937202597483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3.2903827593842454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1.252331178440915E-21</v>
      </c>
      <c r="AC168" s="24">
        <f t="shared" si="163"/>
        <v>3.2903827593842454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1.0231815394945443E-12</v>
      </c>
      <c r="AJ168" s="14">
        <f>AI168*VLOOKUP('Données projet'!$B$10,Paramètres!$A$1:$I$89,3,0)*VLOOKUP('Données projet'!$B$10,Paramètres!$A$1:$I$89,5,0)</f>
        <v>9.2577465693466368E-13</v>
      </c>
      <c r="AK168" s="14">
        <f t="shared" si="164"/>
        <v>1.0733865205587901E-11</v>
      </c>
      <c r="AL168" s="22">
        <f t="shared" si="165"/>
        <v>2.030720609389346E-11</v>
      </c>
      <c r="AM168" s="62">
        <f t="shared" si="113"/>
        <v>293.33333333335361</v>
      </c>
      <c r="AN168" s="62">
        <f ca="1">AVERAGE(OFFSET($AM$3,0,0,'Données projet'!$E$10+1,1))-AVERAGE(OFFSET($H$3,0,0,'Données projet'!$E$10+1,1))</f>
        <v>427.83662275523142</v>
      </c>
      <c r="AO168" s="62">
        <f t="shared" si="144"/>
        <v>240.19413322685813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2">
        <f t="shared" si="140"/>
        <v>24.718549958973419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70">
        <f t="shared" si="110"/>
        <v>457.57584117854583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83.735137603292344</v>
      </c>
      <c r="T169" s="62">
        <f t="shared" si="142"/>
        <v>277.23937202597483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3.2258603604080354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8.8553186856691126E-22</v>
      </c>
      <c r="AC169" s="24">
        <f t="shared" si="163"/>
        <v>3.2258603604080354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1.0231815394945443E-12</v>
      </c>
      <c r="AJ169" s="14">
        <f>AI169*VLOOKUP('Données projet'!$B$10,Paramètres!$A$1:$I$89,3,0)*VLOOKUP('Données projet'!$B$10,Paramètres!$A$1:$I$89,5,0)</f>
        <v>9.2577465693466368E-13</v>
      </c>
      <c r="AK169" s="14">
        <f t="shared" si="164"/>
        <v>1.0733865205587901E-11</v>
      </c>
      <c r="AL169" s="22">
        <f t="shared" si="165"/>
        <v>2.030720609389346E-11</v>
      </c>
      <c r="AM169" s="62">
        <f t="shared" si="113"/>
        <v>293.33333333335361</v>
      </c>
      <c r="AN169" s="62">
        <f ca="1">AVERAGE(OFFSET($AM$3,0,0,'Données projet'!$E$10+1,1))-AVERAGE(OFFSET($H$3,0,0,'Données projet'!$E$10+1,1))</f>
        <v>427.83662275523142</v>
      </c>
      <c r="AO169" s="62">
        <f t="shared" si="144"/>
        <v>240.19413322685813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2">
        <f t="shared" si="140"/>
        <v>24.850078092947228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70">
        <f t="shared" si="110"/>
        <v>458.75586934521687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83.735137603292344</v>
      </c>
      <c r="T170" s="62">
        <f t="shared" si="142"/>
        <v>277.23937202597483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3.1626032063209712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6.2616558922045748E-22</v>
      </c>
      <c r="AC170" s="24">
        <f t="shared" si="163"/>
        <v>3.1626032063209712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1.0231815394945443E-12</v>
      </c>
      <c r="AJ170" s="14">
        <f>AI170*VLOOKUP('Données projet'!$B$10,Paramètres!$A$1:$I$89,3,0)*VLOOKUP('Données projet'!$B$10,Paramètres!$A$1:$I$89,5,0)</f>
        <v>9.2577465693466368E-13</v>
      </c>
      <c r="AK170" s="14">
        <f t="shared" si="164"/>
        <v>1.0733865205587901E-11</v>
      </c>
      <c r="AL170" s="22">
        <f t="shared" si="165"/>
        <v>2.030720609389346E-11</v>
      </c>
      <c r="AM170" s="62">
        <f t="shared" si="113"/>
        <v>293.33333333335361</v>
      </c>
      <c r="AN170" s="62">
        <f ca="1">AVERAGE(OFFSET($AM$3,0,0,'Données projet'!$E$10+1,1))-AVERAGE(OFFSET($H$3,0,0,'Données projet'!$E$10+1,1))</f>
        <v>427.83662275523142</v>
      </c>
      <c r="AO170" s="62">
        <f t="shared" si="144"/>
        <v>240.19413322685813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2">
        <f t="shared" si="140"/>
        <v>24.981514582386627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70">
        <f t="shared" si="110"/>
        <v>459.93573789765719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83.735137603292344</v>
      </c>
      <c r="T171" s="62">
        <f t="shared" si="142"/>
        <v>277.23937202597483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3.1005864864425003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4.4276593428345563E-22</v>
      </c>
      <c r="AC171" s="24">
        <f t="shared" si="163"/>
        <v>3.1005864864425003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1.0231815394945443E-12</v>
      </c>
      <c r="AJ171" s="14">
        <f>AI171*VLOOKUP('Données projet'!$B$10,Paramètres!$A$1:$I$89,3,0)*VLOOKUP('Données projet'!$B$10,Paramètres!$A$1:$I$89,5,0)</f>
        <v>9.2577465693466368E-13</v>
      </c>
      <c r="AK171" s="14">
        <f t="shared" si="164"/>
        <v>1.0733865205587901E-11</v>
      </c>
      <c r="AL171" s="22">
        <f t="shared" si="165"/>
        <v>2.030720609389346E-11</v>
      </c>
      <c r="AM171" s="62">
        <f t="shared" si="113"/>
        <v>293.33333333335361</v>
      </c>
      <c r="AN171" s="62">
        <f ca="1">AVERAGE(OFFSET($AM$3,0,0,'Données projet'!$E$10+1,1))-AVERAGE(OFFSET($H$3,0,0,'Données projet'!$E$10+1,1))</f>
        <v>427.83662275523142</v>
      </c>
      <c r="AO171" s="62">
        <f t="shared" si="144"/>
        <v>240.19413322685813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2">
        <f t="shared" si="140"/>
        <v>25.112860036087632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70">
        <f t="shared" si="110"/>
        <v>461.11544789618642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83.735137603292344</v>
      </c>
      <c r="T172" s="62">
        <f t="shared" si="142"/>
        <v>277.23937202597483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3.0397858766143822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3.1308279461022874E-22</v>
      </c>
      <c r="AC172" s="24">
        <f t="shared" si="163"/>
        <v>3.0397858766143822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1.0231815394945443E-12</v>
      </c>
      <c r="AJ172" s="14">
        <f>AI172*VLOOKUP('Données projet'!$B$10,Paramètres!$A$1:$I$89,3,0)*VLOOKUP('Données projet'!$B$10,Paramètres!$A$1:$I$89,5,0)</f>
        <v>9.2577465693466368E-13</v>
      </c>
      <c r="AK172" s="14">
        <f t="shared" si="164"/>
        <v>1.0733865205587901E-11</v>
      </c>
      <c r="AL172" s="22">
        <f t="shared" si="165"/>
        <v>2.030720609389346E-11</v>
      </c>
      <c r="AM172" s="62">
        <f t="shared" si="113"/>
        <v>293.33333333335361</v>
      </c>
      <c r="AN172" s="62">
        <f ca="1">AVERAGE(OFFSET($AM$3,0,0,'Données projet'!$E$10+1,1))-AVERAGE(OFFSET($H$3,0,0,'Données projet'!$E$10+1,1))</f>
        <v>427.83662275523142</v>
      </c>
      <c r="AO172" s="62">
        <f t="shared" si="144"/>
        <v>240.19413322685813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2">
        <f t="shared" si="140"/>
        <v>25.244115055224771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70">
        <f t="shared" si="110"/>
        <v>462.29500038785034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83.735137603292344</v>
      </c>
      <c r="T173" s="62">
        <f t="shared" si="142"/>
        <v>277.23937202597483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2.980177529660283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2.2138296714172782E-22</v>
      </c>
      <c r="AC173" s="24">
        <f t="shared" si="163"/>
        <v>2.980177529660283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1.0231815394945443E-12</v>
      </c>
      <c r="AJ173" s="14">
        <f>AI173*VLOOKUP('Données projet'!$B$10,Paramètres!$A$1:$I$89,3,0)*VLOOKUP('Données projet'!$B$10,Paramètres!$A$1:$I$89,5,0)</f>
        <v>9.2577465693466368E-13</v>
      </c>
      <c r="AK173" s="14">
        <f t="shared" si="164"/>
        <v>1.0733865205587901E-11</v>
      </c>
      <c r="AL173" s="22">
        <f t="shared" si="165"/>
        <v>2.030720609389346E-11</v>
      </c>
      <c r="AM173" s="62">
        <f t="shared" si="113"/>
        <v>293.33333333335361</v>
      </c>
      <c r="AN173" s="62">
        <f ca="1">AVERAGE(OFFSET($AM$3,0,0,'Données projet'!$E$10+1,1))-AVERAGE(OFFSET($H$3,0,0,'Données projet'!$E$10+1,1))</f>
        <v>427.83662275523142</v>
      </c>
      <c r="AO173" s="62">
        <f t="shared" si="144"/>
        <v>240.19413322685813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2">
        <f t="shared" si="140"/>
        <v>25.375280233490745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70">
        <f t="shared" si="110"/>
        <v>463.47439640666357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83.735137603292344</v>
      </c>
      <c r="T174" s="62">
        <f t="shared" si="142"/>
        <v>277.23937202597483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2.9217380660324523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1.5654139730511437E-22</v>
      </c>
      <c r="AC174" s="24">
        <f t="shared" si="163"/>
        <v>2.9217380660324523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1.0231815394945443E-12</v>
      </c>
      <c r="AJ174" s="14">
        <f>AI174*VLOOKUP('Données projet'!$B$10,Paramètres!$A$1:$I$89,3,0)*VLOOKUP('Données projet'!$B$10,Paramètres!$A$1:$I$89,5,0)</f>
        <v>9.2577465693466368E-13</v>
      </c>
      <c r="AK174" s="14">
        <f t="shared" si="164"/>
        <v>1.0733865205587901E-11</v>
      </c>
      <c r="AL174" s="22">
        <f t="shared" si="165"/>
        <v>2.030720609389346E-11</v>
      </c>
      <c r="AM174" s="62">
        <f t="shared" si="113"/>
        <v>293.33333333335361</v>
      </c>
      <c r="AN174" s="62">
        <f ca="1">AVERAGE(OFFSET($AM$3,0,0,'Données projet'!$E$10+1,1))-AVERAGE(OFFSET($H$3,0,0,'Données projet'!$E$10+1,1))</f>
        <v>427.83662275523142</v>
      </c>
      <c r="AO174" s="62">
        <f t="shared" si="144"/>
        <v>240.19413322685813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2">
        <f t="shared" si="140"/>
        <v>25.506356157232712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70">
        <f t="shared" si="110"/>
        <v>464.65363697384748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83.735137603292344</v>
      </c>
      <c r="T175" s="62">
        <f t="shared" si="142"/>
        <v>277.23937202597483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2.86444456464181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1.1069148357086391E-22</v>
      </c>
      <c r="AC175" s="24">
        <f t="shared" si="163"/>
        <v>2.86444456464181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1.0231815394945443E-12</v>
      </c>
      <c r="AJ175" s="14">
        <f>AI175*VLOOKUP('Données projet'!$B$10,Paramètres!$A$1:$I$89,3,0)*VLOOKUP('Données projet'!$B$10,Paramètres!$A$1:$I$89,5,0)</f>
        <v>9.2577465693466368E-13</v>
      </c>
      <c r="AK175" s="14">
        <f t="shared" si="164"/>
        <v>1.0733865205587901E-11</v>
      </c>
      <c r="AL175" s="22">
        <f t="shared" si="165"/>
        <v>2.030720609389346E-11</v>
      </c>
      <c r="AM175" s="62">
        <f t="shared" si="113"/>
        <v>293.33333333335361</v>
      </c>
      <c r="AN175" s="62">
        <f ca="1">AVERAGE(OFFSET($AM$3,0,0,'Données projet'!$E$10+1,1))-AVERAGE(OFFSET($H$3,0,0,'Données projet'!$E$10+1,1))</f>
        <v>427.83662275523142</v>
      </c>
      <c r="AO175" s="62">
        <f t="shared" si="144"/>
        <v>240.19413322685813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2">
        <f t="shared" si="140"/>
        <v>25.637343405585391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70">
        <f t="shared" si="110"/>
        <v>465.83272309806171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83.735137603292344</v>
      </c>
      <c r="T176" s="62">
        <f t="shared" si="142"/>
        <v>277.23937202597483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2.8082745538678529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7.8270698652557186E-23</v>
      </c>
      <c r="AC176" s="24">
        <f t="shared" si="163"/>
        <v>2.8082745538678529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1.0231815394945443E-12</v>
      </c>
      <c r="AJ176" s="14">
        <f>AI176*VLOOKUP('Données projet'!$B$10,Paramètres!$A$1:$I$89,3,0)*VLOOKUP('Données projet'!$B$10,Paramètres!$A$1:$I$89,5,0)</f>
        <v>9.2577465693466368E-13</v>
      </c>
      <c r="AK176" s="14">
        <f t="shared" si="164"/>
        <v>1.0733865205587901E-11</v>
      </c>
      <c r="AL176" s="22">
        <f t="shared" si="165"/>
        <v>2.030720609389346E-11</v>
      </c>
      <c r="AM176" s="62">
        <f t="shared" si="113"/>
        <v>293.33333333335361</v>
      </c>
      <c r="AN176" s="62">
        <f ca="1">AVERAGE(OFFSET($AM$3,0,0,'Données projet'!$E$10+1,1))-AVERAGE(OFFSET($H$3,0,0,'Données projet'!$E$10+1,1))</f>
        <v>427.83662275523142</v>
      </c>
      <c r="AO176" s="62">
        <f t="shared" si="144"/>
        <v>240.19413322685813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2">
        <f t="shared" si="140"/>
        <v>25.768242550600831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70">
        <f t="shared" si="110"/>
        <v>467.01165577563029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83.735137603292344</v>
      </c>
      <c r="T177" s="62">
        <f t="shared" si="142"/>
        <v>277.23937202597483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2.7532060027448493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5.5345741785431954E-23</v>
      </c>
      <c r="AC177" s="24">
        <f t="shared" si="163"/>
        <v>2.7532060027448493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1.0231815394945443E-12</v>
      </c>
      <c r="AJ177" s="14">
        <f>AI177*VLOOKUP('Données projet'!$B$10,Paramètres!$A$1:$I$89,3,0)*VLOOKUP('Données projet'!$B$10,Paramètres!$A$1:$I$89,5,0)</f>
        <v>9.2577465693466368E-13</v>
      </c>
      <c r="AK177" s="14">
        <f t="shared" si="164"/>
        <v>1.0733865205587901E-11</v>
      </c>
      <c r="AL177" s="22">
        <f t="shared" si="165"/>
        <v>2.030720609389346E-11</v>
      </c>
      <c r="AM177" s="62">
        <f t="shared" si="113"/>
        <v>293.33333333335361</v>
      </c>
      <c r="AN177" s="62">
        <f ca="1">AVERAGE(OFFSET($AM$3,0,0,'Données projet'!$E$10+1,1))-AVERAGE(OFFSET($H$3,0,0,'Données projet'!$E$10+1,1))</f>
        <v>427.83662275523142</v>
      </c>
      <c r="AO177" s="62">
        <f t="shared" si="144"/>
        <v>240.19413322685813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2">
        <f t="shared" si="140"/>
        <v>25.89905415737541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70">
        <f t="shared" si="110"/>
        <v>468.19043599076269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83.735137603292344</v>
      </c>
      <c r="T178" s="62">
        <f t="shared" si="142"/>
        <v>277.23937202597483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2.6992173123208683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3.9135349326278593E-23</v>
      </c>
      <c r="AC178" s="24">
        <f t="shared" si="163"/>
        <v>2.6992173123208683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1.0231815394945443E-12</v>
      </c>
      <c r="AJ178" s="14">
        <f>AI178*VLOOKUP('Données projet'!$B$10,Paramètres!$A$1:$I$89,3,0)*VLOOKUP('Données projet'!$B$10,Paramètres!$A$1:$I$89,5,0)</f>
        <v>9.2577465693466368E-13</v>
      </c>
      <c r="AK178" s="14">
        <f t="shared" si="164"/>
        <v>1.0733865205587901E-11</v>
      </c>
      <c r="AL178" s="22">
        <f t="shared" si="165"/>
        <v>2.030720609389346E-11</v>
      </c>
      <c r="AM178" s="62">
        <f t="shared" si="113"/>
        <v>293.33333333335361</v>
      </c>
      <c r="AN178" s="62">
        <f ca="1">AVERAGE(OFFSET($AM$3,0,0,'Données projet'!$E$10+1,1))-AVERAGE(OFFSET($H$3,0,0,'Données projet'!$E$10+1,1))</f>
        <v>427.83662275523142</v>
      </c>
      <c r="AO178" s="62">
        <f t="shared" si="144"/>
        <v>240.19413322685813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2">
        <f t="shared" si="140"/>
        <v>26.029778784173445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70">
        <f t="shared" si="110"/>
        <v>469.3690647157693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83.735137603292344</v>
      </c>
      <c r="T179" s="62">
        <f t="shared" si="142"/>
        <v>277.23937202597483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2.646287307186252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2.7672870892715977E-23</v>
      </c>
      <c r="AC179" s="24">
        <f t="shared" si="163"/>
        <v>2.646287307186252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1.0231815394945443E-12</v>
      </c>
      <c r="AJ179" s="14">
        <f>AI179*VLOOKUP('Données projet'!$B$10,Paramètres!$A$1:$I$89,3,0)*VLOOKUP('Données projet'!$B$10,Paramètres!$A$1:$I$89,5,0)</f>
        <v>9.2577465693466368E-13</v>
      </c>
      <c r="AK179" s="14">
        <f t="shared" si="164"/>
        <v>1.0733865205587901E-11</v>
      </c>
      <c r="AL179" s="22">
        <f t="shared" si="165"/>
        <v>2.030720609389346E-11</v>
      </c>
      <c r="AM179" s="62">
        <f t="shared" si="113"/>
        <v>293.33333333335361</v>
      </c>
      <c r="AN179" s="62">
        <f ca="1">AVERAGE(OFFSET($AM$3,0,0,'Données projet'!$E$10+1,1))-AVERAGE(OFFSET($H$3,0,0,'Données projet'!$E$10+1,1))</f>
        <v>427.83662275523142</v>
      </c>
      <c r="AO179" s="62">
        <f t="shared" si="144"/>
        <v>240.19413322685813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2">
        <f t="shared" si="140"/>
        <v>26.160416982548288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70">
        <f t="shared" si="110"/>
        <v>470.54754291127216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83.735137603292344</v>
      </c>
      <c r="T180" s="62">
        <f t="shared" si="142"/>
        <v>277.23937202597483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2.5943952271682105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1.9567674663139296E-23</v>
      </c>
      <c r="AC180" s="24">
        <f t="shared" si="163"/>
        <v>2.5943952271682105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1.0231815394945443E-12</v>
      </c>
      <c r="AJ180" s="14">
        <f>AI180*VLOOKUP('Données projet'!$B$10,Paramètres!$A$1:$I$89,3,0)*VLOOKUP('Données projet'!$B$10,Paramètres!$A$1:$I$89,5,0)</f>
        <v>9.2577465693466368E-13</v>
      </c>
      <c r="AK180" s="14">
        <f t="shared" si="164"/>
        <v>1.0733865205587901E-11</v>
      </c>
      <c r="AL180" s="22">
        <f t="shared" si="165"/>
        <v>2.030720609389346E-11</v>
      </c>
      <c r="AM180" s="62">
        <f t="shared" si="113"/>
        <v>293.33333333335361</v>
      </c>
      <c r="AN180" s="62">
        <f ca="1">AVERAGE(OFFSET($AM$3,0,0,'Données projet'!$E$10+1,1))-AVERAGE(OFFSET($H$3,0,0,'Données projet'!$E$10+1,1))</f>
        <v>427.83662275523142</v>
      </c>
      <c r="AO180" s="62">
        <f t="shared" si="144"/>
        <v>240.19413322685813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2">
        <f t="shared" si="140"/>
        <v>26.290969297460425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70">
        <f t="shared" si="110"/>
        <v>471.7258715264108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83.735137603292344</v>
      </c>
      <c r="T181" s="62">
        <f t="shared" si="142"/>
        <v>277.23937202597483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2.5435207191882792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1.3836435446357988E-23</v>
      </c>
      <c r="AC181" s="24">
        <f t="shared" si="163"/>
        <v>2.5435207191882792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1.0231815394945443E-12</v>
      </c>
      <c r="AJ181" s="14">
        <f>AI181*VLOOKUP('Données projet'!$B$10,Paramètres!$A$1:$I$89,3,0)*VLOOKUP('Données projet'!$B$10,Paramètres!$A$1:$I$89,5,0)</f>
        <v>9.2577465693466368E-13</v>
      </c>
      <c r="AK181" s="14">
        <f t="shared" si="164"/>
        <v>1.0733865205587901E-11</v>
      </c>
      <c r="AL181" s="22">
        <f t="shared" si="165"/>
        <v>2.030720609389346E-11</v>
      </c>
      <c r="AM181" s="62">
        <f t="shared" si="113"/>
        <v>293.33333333335361</v>
      </c>
      <c r="AN181" s="62">
        <f ca="1">AVERAGE(OFFSET($AM$3,0,0,'Données projet'!$E$10+1,1))-AVERAGE(OFFSET($H$3,0,0,'Données projet'!$E$10+1,1))</f>
        <v>427.83662275523142</v>
      </c>
      <c r="AO181" s="62">
        <f t="shared" si="144"/>
        <v>240.19413322685813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2">
        <f t="shared" si="140"/>
        <v>26.421436267392767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70">
        <f t="shared" si="110"/>
        <v>472.90405149904302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83.735137603292344</v>
      </c>
      <c r="T182" s="62">
        <f t="shared" si="142"/>
        <v>277.23937202597483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2.4936438292794483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9.7838373315696482E-24</v>
      </c>
      <c r="AC182" s="24">
        <f t="shared" si="163"/>
        <v>2.4936438292794483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1.0231815394945443E-12</v>
      </c>
      <c r="AJ182" s="14">
        <f>AI182*VLOOKUP('Données projet'!$B$10,Paramètres!$A$1:$I$89,3,0)*VLOOKUP('Données projet'!$B$10,Paramètres!$A$1:$I$89,5,0)</f>
        <v>9.2577465693466368E-13</v>
      </c>
      <c r="AK182" s="14">
        <f t="shared" si="164"/>
        <v>1.0733865205587901E-11</v>
      </c>
      <c r="AL182" s="22">
        <f t="shared" si="165"/>
        <v>2.030720609389346E-11</v>
      </c>
      <c r="AM182" s="62">
        <f t="shared" si="113"/>
        <v>293.33333333335361</v>
      </c>
      <c r="AN182" s="62">
        <f ca="1">AVERAGE(OFFSET($AM$3,0,0,'Données projet'!$E$10+1,1))-AVERAGE(OFFSET($H$3,0,0,'Données projet'!$E$10+1,1))</f>
        <v>427.83662275523142</v>
      </c>
      <c r="AO182" s="62">
        <f t="shared" si="144"/>
        <v>240.19413322685813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2">
        <f t="shared" si="140"/>
        <v>26.551818424463544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70">
        <f t="shared" si="110"/>
        <v>474.08208375594126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83.735137603292344</v>
      </c>
      <c r="T183" s="62">
        <f t="shared" si="142"/>
        <v>277.23937202597483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2.4447449947598305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6.9182177231789942E-24</v>
      </c>
      <c r="AC183" s="24">
        <f t="shared" si="163"/>
        <v>2.4447449947598305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1.0231815394945443E-12</v>
      </c>
      <c r="AJ183" s="14">
        <f>AI183*VLOOKUP('Données projet'!$B$10,Paramètres!$A$1:$I$89,3,0)*VLOOKUP('Données projet'!$B$10,Paramètres!$A$1:$I$89,5,0)</f>
        <v>9.2577465693466368E-13</v>
      </c>
      <c r="AK183" s="14">
        <f t="shared" si="164"/>
        <v>1.0733865205587901E-11</v>
      </c>
      <c r="AL183" s="22">
        <f t="shared" si="165"/>
        <v>2.030720609389346E-11</v>
      </c>
      <c r="AM183" s="62">
        <f t="shared" si="113"/>
        <v>293.33333333335361</v>
      </c>
      <c r="AN183" s="62">
        <f ca="1">AVERAGE(OFFSET($AM$3,0,0,'Données projet'!$E$10+1,1))-AVERAGE(OFFSET($H$3,0,0,'Données projet'!$E$10+1,1))</f>
        <v>427.83662275523142</v>
      </c>
      <c r="AO183" s="62">
        <f t="shared" si="144"/>
        <v>240.19413322685813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2">
        <f t="shared" si="140"/>
        <v>26.682116294536339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70">
        <f t="shared" si="110"/>
        <v>475.25996921298474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83.735137603292344</v>
      </c>
      <c r="T184" s="62">
        <f t="shared" si="142"/>
        <v>277.23937202597483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2.3968050365597984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4.8919186657848241E-24</v>
      </c>
      <c r="AC184" s="24">
        <f t="shared" si="163"/>
        <v>2.3968050365597984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1.0231815394945443E-12</v>
      </c>
      <c r="AJ184" s="14">
        <f>AI184*VLOOKUP('Données projet'!$B$10,Paramètres!$A$1:$I$89,3,0)*VLOOKUP('Données projet'!$B$10,Paramètres!$A$1:$I$89,5,0)</f>
        <v>9.2577465693466368E-13</v>
      </c>
      <c r="AK184" s="14">
        <f t="shared" si="164"/>
        <v>1.0733865205587901E-11</v>
      </c>
      <c r="AL184" s="22">
        <f t="shared" si="165"/>
        <v>2.030720609389346E-11</v>
      </c>
      <c r="AM184" s="62">
        <f t="shared" si="113"/>
        <v>293.33333333335361</v>
      </c>
      <c r="AN184" s="62">
        <f ca="1">AVERAGE(OFFSET($AM$3,0,0,'Données projet'!$E$10+1,1))-AVERAGE(OFFSET($H$3,0,0,'Données projet'!$E$10+1,1))</f>
        <v>427.83662275523142</v>
      </c>
      <c r="AO184" s="62">
        <f t="shared" si="144"/>
        <v>240.19413322685813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2">
        <f t="shared" si="140"/>
        <v>26.812330397327784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70">
        <f t="shared" si="110"/>
        <v>476.43770877534655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83.735137603292344</v>
      </c>
      <c r="T185" s="62">
        <f t="shared" si="142"/>
        <v>277.23937202597483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2.3498051516995817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3.4591088615894971E-24</v>
      </c>
      <c r="AC185" s="24">
        <f t="shared" si="163"/>
        <v>2.3498051516995817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1.0231815394945443E-12</v>
      </c>
      <c r="AJ185" s="14">
        <f>AI185*VLOOKUP('Données projet'!$B$10,Paramètres!$A$1:$I$89,3,0)*VLOOKUP('Données projet'!$B$10,Paramètres!$A$1:$I$89,5,0)</f>
        <v>9.2577465693466368E-13</v>
      </c>
      <c r="AK185" s="14">
        <f t="shared" si="164"/>
        <v>1.0733865205587901E-11</v>
      </c>
      <c r="AL185" s="22">
        <f t="shared" si="165"/>
        <v>2.030720609389346E-11</v>
      </c>
      <c r="AM185" s="62">
        <f t="shared" si="113"/>
        <v>293.33333333335361</v>
      </c>
      <c r="AN185" s="62">
        <f ca="1">AVERAGE(OFFSET($AM$3,0,0,'Données projet'!$E$10+1,1))-AVERAGE(OFFSET($H$3,0,0,'Données projet'!$E$10+1,1))</f>
        <v>427.83662275523142</v>
      </c>
      <c r="AO185" s="62">
        <f t="shared" si="144"/>
        <v>240.19413322685813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2">
        <f t="shared" si="140"/>
        <v>26.942461246512842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70">
        <f t="shared" si="110"/>
        <v>477.61530333767718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83.735137603292344</v>
      </c>
      <c r="T186" s="62">
        <f t="shared" si="142"/>
        <v>277.23937202597483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2.3037269059143748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2.445959332892412E-24</v>
      </c>
      <c r="AC186" s="24">
        <f t="shared" si="163"/>
        <v>2.3037269059143748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1.0231815394945443E-12</v>
      </c>
      <c r="AJ186" s="14">
        <f>AI186*VLOOKUP('Données projet'!$B$10,Paramètres!$A$1:$I$89,3,0)*VLOOKUP('Données projet'!$B$10,Paramètres!$A$1:$I$89,5,0)</f>
        <v>9.2577465693466368E-13</v>
      </c>
      <c r="AK186" s="14">
        <f t="shared" si="164"/>
        <v>1.0733865205587901E-11</v>
      </c>
      <c r="AL186" s="22">
        <f t="shared" si="165"/>
        <v>2.030720609389346E-11</v>
      </c>
      <c r="AM186" s="62">
        <f t="shared" si="113"/>
        <v>293.33333333335361</v>
      </c>
      <c r="AN186" s="62">
        <f ca="1">AVERAGE(OFFSET($AM$3,0,0,'Données projet'!$E$10+1,1))-AVERAGE(OFFSET($H$3,0,0,'Données projet'!$E$10+1,1))</f>
        <v>427.83662275523142</v>
      </c>
      <c r="AO186" s="62">
        <f t="shared" si="144"/>
        <v>240.19413322685813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2">
        <f t="shared" si="140"/>
        <v>27.072509349827552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70">
        <f t="shared" si="110"/>
        <v>478.79275378428366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83.735137603292344</v>
      </c>
      <c r="T187" s="62">
        <f t="shared" si="142"/>
        <v>277.23937202597483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2.2585522264240612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1.7295544307947486E-24</v>
      </c>
      <c r="AC187" s="24">
        <f t="shared" si="163"/>
        <v>2.2585522264240612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1.0231815394945443E-12</v>
      </c>
      <c r="AJ187" s="14">
        <f>AI187*VLOOKUP('Données projet'!$B$10,Paramètres!$A$1:$I$89,3,0)*VLOOKUP('Données projet'!$B$10,Paramètres!$A$1:$I$89,5,0)</f>
        <v>9.2577465693466368E-13</v>
      </c>
      <c r="AK187" s="14">
        <f t="shared" si="164"/>
        <v>1.0733865205587901E-11</v>
      </c>
      <c r="AL187" s="22">
        <f t="shared" si="165"/>
        <v>2.030720609389346E-11</v>
      </c>
      <c r="AM187" s="62">
        <f t="shared" si="113"/>
        <v>293.33333333335361</v>
      </c>
      <c r="AN187" s="62">
        <f ca="1">AVERAGE(OFFSET($AM$3,0,0,'Données projet'!$E$10+1,1))-AVERAGE(OFFSET($H$3,0,0,'Données projet'!$E$10+1,1))</f>
        <v>427.83662275523142</v>
      </c>
      <c r="AO187" s="62">
        <f t="shared" si="144"/>
        <v>240.19413322685813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2">
        <f t="shared" si="140"/>
        <v>27.202475209169677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70">
        <f t="shared" si="110"/>
        <v>479.97006098930456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83.735137603292344</v>
      </c>
      <c r="T188" s="62">
        <f t="shared" si="142"/>
        <v>277.23937202597483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2.2142633948447186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1.222979666446206E-24</v>
      </c>
      <c r="AC188" s="24">
        <f t="shared" si="163"/>
        <v>2.2142633948447186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1.0231815394945443E-12</v>
      </c>
      <c r="AJ188" s="14">
        <f>AI188*VLOOKUP('Données projet'!$B$10,Paramètres!$A$1:$I$89,3,0)*VLOOKUP('Données projet'!$B$10,Paramètres!$A$1:$I$89,5,0)</f>
        <v>9.2577465693466368E-13</v>
      </c>
      <c r="AK188" s="14">
        <f t="shared" si="164"/>
        <v>1.0733865205587901E-11</v>
      </c>
      <c r="AL188" s="22">
        <f t="shared" si="165"/>
        <v>2.030720609389346E-11</v>
      </c>
      <c r="AM188" s="62">
        <f t="shared" si="113"/>
        <v>293.33333333335361</v>
      </c>
      <c r="AN188" s="62">
        <f ca="1">AVERAGE(OFFSET($AM$3,0,0,'Données projet'!$E$10+1,1))-AVERAGE(OFFSET($H$3,0,0,'Données projet'!$E$10+1,1))</f>
        <v>427.83662275523142</v>
      </c>
      <c r="AO188" s="62">
        <f t="shared" si="144"/>
        <v>240.19413322685813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2">
        <f t="shared" si="140"/>
        <v>27.332359320697009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70">
        <f t="shared" si="110"/>
        <v>481.1472258168813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83.735137603292344</v>
      </c>
      <c r="T189" s="62">
        <f t="shared" si="142"/>
        <v>277.23937202597483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2.1708430402391272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8.6477721539737428E-25</v>
      </c>
      <c r="AC189" s="24">
        <f t="shared" si="163"/>
        <v>2.1708430402391272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1.0231815394945443E-12</v>
      </c>
      <c r="AJ189" s="14">
        <f>AI189*VLOOKUP('Données projet'!$B$10,Paramètres!$A$1:$I$89,3,0)*VLOOKUP('Données projet'!$B$10,Paramètres!$A$1:$I$89,5,0)</f>
        <v>9.2577465693466368E-13</v>
      </c>
      <c r="AK189" s="14">
        <f t="shared" si="164"/>
        <v>1.0733865205587901E-11</v>
      </c>
      <c r="AL189" s="22">
        <f t="shared" si="165"/>
        <v>2.030720609389346E-11</v>
      </c>
      <c r="AM189" s="62">
        <f t="shared" si="113"/>
        <v>293.33333333335361</v>
      </c>
      <c r="AN189" s="62">
        <f ca="1">AVERAGE(OFFSET($AM$3,0,0,'Données projet'!$E$10+1,1))-AVERAGE(OFFSET($H$3,0,0,'Données projet'!$E$10+1,1))</f>
        <v>427.83662275523142</v>
      </c>
      <c r="AO189" s="62">
        <f t="shared" si="144"/>
        <v>240.19413322685813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2">
        <f t="shared" si="140"/>
        <v>27.462162174923463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70">
        <f t="shared" si="110"/>
        <v>482.32424912132575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83.735137603292344</v>
      </c>
      <c r="T190" s="62">
        <f t="shared" si="142"/>
        <v>277.23937202597483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2.1282741323035501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6.1148983322310301E-25</v>
      </c>
      <c r="AC190" s="24">
        <f t="shared" si="163"/>
        <v>2.1282741323035501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1.0231815394945443E-12</v>
      </c>
      <c r="AJ190" s="14">
        <f>AI190*VLOOKUP('Données projet'!$B$10,Paramètres!$A$1:$I$89,3,0)*VLOOKUP('Données projet'!$B$10,Paramètres!$A$1:$I$89,5,0)</f>
        <v>9.2577465693466368E-13</v>
      </c>
      <c r="AK190" s="14">
        <f t="shared" si="164"/>
        <v>1.0733865205587901E-11</v>
      </c>
      <c r="AL190" s="22">
        <f t="shared" si="165"/>
        <v>2.030720609389346E-11</v>
      </c>
      <c r="AM190" s="62">
        <f t="shared" si="113"/>
        <v>293.33333333335361</v>
      </c>
      <c r="AN190" s="62">
        <f ca="1">AVERAGE(OFFSET($AM$3,0,0,'Données projet'!$E$10+1,1))-AVERAGE(OFFSET($H$3,0,0,'Données projet'!$E$10+1,1))</f>
        <v>427.83662275523142</v>
      </c>
      <c r="AO190" s="62">
        <f t="shared" si="144"/>
        <v>240.19413322685813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2">
        <f t="shared" si="140"/>
        <v>27.591884256813145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70">
        <f t="shared" si="110"/>
        <v>483.50113174728358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83.735137603292344</v>
      </c>
      <c r="T191" s="62">
        <f t="shared" si="142"/>
        <v>277.23937202597483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2.0865399746881197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4.3238860769868714E-25</v>
      </c>
      <c r="AC191" s="24">
        <f t="shared" si="163"/>
        <v>2.0865399746881197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1.0231815394945443E-12</v>
      </c>
      <c r="AJ191" s="14">
        <f>AI191*VLOOKUP('Données projet'!$B$10,Paramètres!$A$1:$I$89,3,0)*VLOOKUP('Données projet'!$B$10,Paramètres!$A$1:$I$89,5,0)</f>
        <v>9.2577465693466368E-13</v>
      </c>
      <c r="AK191" s="14">
        <f t="shared" si="164"/>
        <v>1.0733865205587901E-11</v>
      </c>
      <c r="AL191" s="22">
        <f t="shared" si="165"/>
        <v>2.030720609389346E-11</v>
      </c>
      <c r="AM191" s="62">
        <f t="shared" si="113"/>
        <v>293.33333333335361</v>
      </c>
      <c r="AN191" s="62">
        <f ca="1">AVERAGE(OFFSET($AM$3,0,0,'Données projet'!$E$10+1,1))-AVERAGE(OFFSET($H$3,0,0,'Données projet'!$E$10+1,1))</f>
        <v>427.83662275523142</v>
      </c>
      <c r="AO191" s="62">
        <f t="shared" si="144"/>
        <v>240.19413322685813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2">
        <f t="shared" si="140"/>
        <v>27.721526045872363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70">
        <f t="shared" si="110"/>
        <v>484.67787452989506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83.735137603292344</v>
      </c>
      <c r="T192" s="62">
        <f t="shared" si="142"/>
        <v>277.23937202597483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2.0456241984482051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3.0574491661155151E-25</v>
      </c>
      <c r="AC192" s="24">
        <f t="shared" si="163"/>
        <v>2.0456241984482051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1.0231815394945443E-12</v>
      </c>
      <c r="AJ192" s="14">
        <f>AI192*VLOOKUP('Données projet'!$B$10,Paramètres!$A$1:$I$89,3,0)*VLOOKUP('Données projet'!$B$10,Paramètres!$A$1:$I$89,5,0)</f>
        <v>9.2577465693466368E-13</v>
      </c>
      <c r="AK192" s="14">
        <f t="shared" si="164"/>
        <v>1.0733865205587901E-11</v>
      </c>
      <c r="AL192" s="22">
        <f t="shared" si="165"/>
        <v>2.030720609389346E-11</v>
      </c>
      <c r="AM192" s="62">
        <f t="shared" si="113"/>
        <v>293.33333333335361</v>
      </c>
      <c r="AN192" s="62">
        <f ca="1">AVERAGE(OFFSET($AM$3,0,0,'Données projet'!$E$10+1,1))-AVERAGE(OFFSET($H$3,0,0,'Données projet'!$E$10+1,1))</f>
        <v>427.83662275523142</v>
      </c>
      <c r="AO192" s="62">
        <f t="shared" si="144"/>
        <v>240.19413322685813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2">
        <f t="shared" si="140"/>
        <v>27.851088016239451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70">
        <f t="shared" si="110"/>
        <v>485.85447829495109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83.735137603292344</v>
      </c>
      <c r="T193" s="62">
        <f t="shared" si="142"/>
        <v>277.23937202597483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2.0055107556241958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2.1619430384934357E-25</v>
      </c>
      <c r="AC193" s="24">
        <f t="shared" si="163"/>
        <v>2.0055107556241958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1.0231815394945443E-12</v>
      </c>
      <c r="AJ193" s="14">
        <f>AI193*VLOOKUP('Données projet'!$B$10,Paramètres!$A$1:$I$89,3,0)*VLOOKUP('Données projet'!$B$10,Paramètres!$A$1:$I$89,5,0)</f>
        <v>9.2577465693466368E-13</v>
      </c>
      <c r="AK193" s="14">
        <f t="shared" si="164"/>
        <v>1.0733865205587901E-11</v>
      </c>
      <c r="AL193" s="22">
        <f t="shared" si="165"/>
        <v>2.030720609389346E-11</v>
      </c>
      <c r="AM193" s="62">
        <f t="shared" si="113"/>
        <v>293.33333333335361</v>
      </c>
      <c r="AN193" s="62">
        <f ca="1">AVERAGE(OFFSET($AM$3,0,0,'Données projet'!$E$10+1,1))-AVERAGE(OFFSET($H$3,0,0,'Données projet'!$E$10+1,1))</f>
        <v>427.83662275523142</v>
      </c>
      <c r="AO193" s="62">
        <f t="shared" si="144"/>
        <v>240.19413322685813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2">
        <f t="shared" si="140"/>
        <v>27.98057063677302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70">
        <f t="shared" si="110"/>
        <v>487.03094385904706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83.735137603292344</v>
      </c>
      <c r="T194" s="62">
        <f t="shared" si="142"/>
        <v>277.23937202597483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1.9661839129471812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1.5287245830577575E-25</v>
      </c>
      <c r="AC194" s="24">
        <f t="shared" si="163"/>
        <v>1.9661839129471812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1.0231815394945443E-12</v>
      </c>
      <c r="AJ194" s="14">
        <f>AI194*VLOOKUP('Données projet'!$B$10,Paramètres!$A$1:$I$89,3,0)*VLOOKUP('Données projet'!$B$10,Paramètres!$A$1:$I$89,5,0)</f>
        <v>9.2577465693466368E-13</v>
      </c>
      <c r="AK194" s="14">
        <f t="shared" si="164"/>
        <v>1.0733865205587901E-11</v>
      </c>
      <c r="AL194" s="22">
        <f t="shared" si="165"/>
        <v>2.030720609389346E-11</v>
      </c>
      <c r="AM194" s="62">
        <f t="shared" si="113"/>
        <v>293.33333333335361</v>
      </c>
      <c r="AN194" s="62">
        <f ca="1">AVERAGE(OFFSET($AM$3,0,0,'Données projet'!$E$10+1,1))-AVERAGE(OFFSET($H$3,0,0,'Données projet'!$E$10+1,1))</f>
        <v>427.83662275523142</v>
      </c>
      <c r="AO194" s="62">
        <f t="shared" si="144"/>
        <v>240.19413322685813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2">
        <f t="shared" si="140"/>
        <v>28.10997437113782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70">
        <f t="shared" si="110"/>
        <v>488.20727202973239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83.735137603292344</v>
      </c>
      <c r="T195" s="62">
        <f t="shared" si="142"/>
        <v>277.23937202597483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1.9276282456680573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1.0809715192467178E-25</v>
      </c>
      <c r="AC195" s="24">
        <f t="shared" si="163"/>
        <v>1.9276282456680573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1.0231815394945443E-12</v>
      </c>
      <c r="AJ195" s="14">
        <f>AI195*VLOOKUP('Données projet'!$B$10,Paramètres!$A$1:$I$89,3,0)*VLOOKUP('Données projet'!$B$10,Paramètres!$A$1:$I$89,5,0)</f>
        <v>9.2577465693466368E-13</v>
      </c>
      <c r="AK195" s="14">
        <f t="shared" si="164"/>
        <v>1.0733865205587901E-11</v>
      </c>
      <c r="AL195" s="22">
        <f t="shared" si="165"/>
        <v>2.030720609389346E-11</v>
      </c>
      <c r="AM195" s="62">
        <f t="shared" si="113"/>
        <v>293.33333333335361</v>
      </c>
      <c r="AN195" s="62">
        <f ca="1">AVERAGE(OFFSET($AM$3,0,0,'Données projet'!$E$10+1,1))-AVERAGE(OFFSET($H$3,0,0,'Données projet'!$E$10+1,1))</f>
        <v>427.83662275523142</v>
      </c>
      <c r="AO195" s="62">
        <f t="shared" si="144"/>
        <v>240.19413322685813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2">
        <f t="shared" si="140"/>
        <v>28.239299677889207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70">
        <f t="shared" ref="H196:H203" si="192">(B196+E196+F196)*44/12+(C196+D196)*0.475*44/12</f>
        <v>489.38346360565777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83.735137603292344</v>
      </c>
      <c r="T196" s="62">
        <f t="shared" si="142"/>
        <v>277.23937202597483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1.8898286315076422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7.6436229152887877E-26</v>
      </c>
      <c r="AC196" s="24">
        <f t="shared" si="163"/>
        <v>1.8898286315076422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1.0231815394945443E-12</v>
      </c>
      <c r="AJ196" s="14">
        <f>AI196*VLOOKUP('Données projet'!$B$10,Paramètres!$A$1:$I$89,3,0)*VLOOKUP('Données projet'!$B$10,Paramètres!$A$1:$I$89,5,0)</f>
        <v>9.2577465693466368E-13</v>
      </c>
      <c r="AK196" s="14">
        <f t="shared" si="164"/>
        <v>1.0733865205587901E-11</v>
      </c>
      <c r="AL196" s="22">
        <f t="shared" si="165"/>
        <v>2.030720609389346E-11</v>
      </c>
      <c r="AM196" s="62">
        <f t="shared" ref="AM196:AM203" si="193">AL196+(AD196+AE196)*44/12</f>
        <v>293.33333333335361</v>
      </c>
      <c r="AN196" s="62">
        <f ca="1">AVERAGE(OFFSET($AM$3,0,0,'Données projet'!$E$10+1,1))-AVERAGE(OFFSET($H$3,0,0,'Données projet'!$E$10+1,1))</f>
        <v>427.83662275523142</v>
      </c>
      <c r="AO196" s="62">
        <f t="shared" si="144"/>
        <v>240.19413322685813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2">
        <f t="shared" ref="D197:D203" si="202">IFERROR(EXP(-1.0587+0.8836*LN(C197)+0.284),0)</f>
        <v>28.368547010555559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70">
        <f t="shared" si="192"/>
        <v>490.55951937671841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83.735137603292344</v>
      </c>
      <c r="T197" s="62">
        <f t="shared" ref="T197:T203" si="204">$T$3</f>
        <v>277.23937202597483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1.8527702447254248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5.4048575962335892E-26</v>
      </c>
      <c r="AC197" s="24">
        <f t="shared" si="163"/>
        <v>1.8527702447254248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1.0231815394945443E-12</v>
      </c>
      <c r="AJ197" s="14">
        <f>AI197*VLOOKUP('Données projet'!$B$10,Paramètres!$A$1:$I$89,3,0)*VLOOKUP('Données projet'!$B$10,Paramètres!$A$1:$I$89,5,0)</f>
        <v>9.2577465693466368E-13</v>
      </c>
      <c r="AK197" s="14">
        <f t="shared" si="164"/>
        <v>1.0733865205587901E-11</v>
      </c>
      <c r="AL197" s="22">
        <f t="shared" si="165"/>
        <v>2.030720609389346E-11</v>
      </c>
      <c r="AM197" s="62">
        <f t="shared" si="193"/>
        <v>293.33333333335361</v>
      </c>
      <c r="AN197" s="62">
        <f ca="1">AVERAGE(OFFSET($AM$3,0,0,'Données projet'!$E$10+1,1))-AVERAGE(OFFSET($H$3,0,0,'Données projet'!$E$10+1,1))</f>
        <v>427.83662275523142</v>
      </c>
      <c r="AO197" s="62">
        <f t="shared" ref="AO197:AO203" si="205">$AO$3</f>
        <v>240.19413322685813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2">
        <f t="shared" si="202"/>
        <v>28.497716817719009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70">
        <f t="shared" si="192"/>
        <v>491.73544012419472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83.735137603292344</v>
      </c>
      <c r="T198" s="62">
        <f t="shared" si="204"/>
        <v>277.23937202597483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1.8164385503046225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3.8218114576443938E-26</v>
      </c>
      <c r="AC198" s="24">
        <f t="shared" si="163"/>
        <v>1.8164385503046225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1.0231815394945443E-12</v>
      </c>
      <c r="AJ198" s="14">
        <f>AI198*VLOOKUP('Données projet'!$B$10,Paramètres!$A$1:$I$89,3,0)*VLOOKUP('Données projet'!$B$10,Paramètres!$A$1:$I$89,5,0)</f>
        <v>9.2577465693466368E-13</v>
      </c>
      <c r="AK198" s="14">
        <f t="shared" si="164"/>
        <v>1.0733865205587901E-11</v>
      </c>
      <c r="AL198" s="22">
        <f t="shared" si="165"/>
        <v>2.030720609389346E-11</v>
      </c>
      <c r="AM198" s="62">
        <f t="shared" si="193"/>
        <v>293.33333333335361</v>
      </c>
      <c r="AN198" s="62">
        <f ca="1">AVERAGE(OFFSET($AM$3,0,0,'Données projet'!$E$10+1,1))-AVERAGE(OFFSET($H$3,0,0,'Données projet'!$E$10+1,1))</f>
        <v>427.83662275523142</v>
      </c>
      <c r="AO198" s="62">
        <f t="shared" si="205"/>
        <v>240.19413322685813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2">
        <f t="shared" si="202"/>
        <v>28.626809543094431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70">
        <f t="shared" si="192"/>
        <v>492.91122662089026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83.735137603292344</v>
      </c>
      <c r="T199" s="62">
        <f t="shared" si="204"/>
        <v>277.23937202597483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1.7808192982512667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2.7024287981167946E-26</v>
      </c>
      <c r="AC199" s="24">
        <f t="shared" si="163"/>
        <v>1.7808192982512667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1.0231815394945443E-12</v>
      </c>
      <c r="AJ199" s="14">
        <f>AI199*VLOOKUP('Données projet'!$B$10,Paramètres!$A$1:$I$89,3,0)*VLOOKUP('Données projet'!$B$10,Paramètres!$A$1:$I$89,5,0)</f>
        <v>9.2577465693466368E-13</v>
      </c>
      <c r="AK199" s="14">
        <f t="shared" si="164"/>
        <v>1.0733865205587901E-11</v>
      </c>
      <c r="AL199" s="22">
        <f t="shared" si="165"/>
        <v>2.030720609389346E-11</v>
      </c>
      <c r="AM199" s="62">
        <f t="shared" si="193"/>
        <v>293.33333333335361</v>
      </c>
      <c r="AN199" s="62">
        <f ca="1">AVERAGE(OFFSET($AM$3,0,0,'Données projet'!$E$10+1,1))-AVERAGE(OFFSET($H$3,0,0,'Données projet'!$E$10+1,1))</f>
        <v>427.83662275523142</v>
      </c>
      <c r="AO199" s="62">
        <f t="shared" si="205"/>
        <v>240.19413322685813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2">
        <f t="shared" si="202"/>
        <v>28.755825625606846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70">
        <f t="shared" si="192"/>
        <v>494.08687963126607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83.735137603292344</v>
      </c>
      <c r="T200" s="62">
        <f t="shared" si="204"/>
        <v>277.23937202597483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1.7458985180050788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1.9109057288221969E-26</v>
      </c>
      <c r="AC200" s="24">
        <f t="shared" si="163"/>
        <v>1.7458985180050788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1.0231815394945443E-12</v>
      </c>
      <c r="AJ200" s="14">
        <f>AI200*VLOOKUP('Données projet'!$B$10,Paramètres!$A$1:$I$89,3,0)*VLOOKUP('Données projet'!$B$10,Paramètres!$A$1:$I$89,5,0)</f>
        <v>9.2577465693466368E-13</v>
      </c>
      <c r="AK200" s="14">
        <f t="shared" si="164"/>
        <v>1.0733865205587901E-11</v>
      </c>
      <c r="AL200" s="22">
        <f t="shared" si="165"/>
        <v>2.030720609389346E-11</v>
      </c>
      <c r="AM200" s="62">
        <f t="shared" si="193"/>
        <v>293.33333333335361</v>
      </c>
      <c r="AN200" s="62">
        <f ca="1">AVERAGE(OFFSET($AM$3,0,0,'Données projet'!$E$10+1,1))-AVERAGE(OFFSET($H$3,0,0,'Données projet'!$E$10+1,1))</f>
        <v>427.83662275523142</v>
      </c>
      <c r="AO200" s="62">
        <f t="shared" si="205"/>
        <v>240.19413322685813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2">
        <f t="shared" si="202"/>
        <v>28.884765499467239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70">
        <f t="shared" si="192"/>
        <v>495.26239991157297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83.735137603292344</v>
      </c>
      <c r="T201" s="62">
        <f t="shared" si="204"/>
        <v>277.23937202597483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1.7116625129599456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1.3512143990583973E-26</v>
      </c>
      <c r="AC201" s="24">
        <f t="shared" si="163"/>
        <v>1.7116625129599456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1.0231815394945443E-12</v>
      </c>
      <c r="AJ201" s="14">
        <f>AI201*VLOOKUP('Données projet'!$B$10,Paramètres!$A$1:$I$89,3,0)*VLOOKUP('Données projet'!$B$10,Paramètres!$A$1:$I$89,5,0)</f>
        <v>9.2577465693466368E-13</v>
      </c>
      <c r="AK201" s="14">
        <f t="shared" si="164"/>
        <v>1.0733865205587901E-11</v>
      </c>
      <c r="AL201" s="22">
        <f t="shared" si="165"/>
        <v>2.030720609389346E-11</v>
      </c>
      <c r="AM201" s="62">
        <f t="shared" si="193"/>
        <v>293.33333333335361</v>
      </c>
      <c r="AN201" s="62">
        <f ca="1">AVERAGE(OFFSET($AM$3,0,0,'Données projet'!$E$10+1,1))-AVERAGE(OFFSET($H$3,0,0,'Données projet'!$E$10+1,1))</f>
        <v>427.83662275523142</v>
      </c>
      <c r="AO201" s="62">
        <f t="shared" si="205"/>
        <v>240.19413322685813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2">
        <f t="shared" si="202"/>
        <v>29.013629594246641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70">
        <f t="shared" si="192"/>
        <v>496.43778820998034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83.735137603292344</v>
      </c>
      <c r="T202" s="62">
        <f t="shared" si="204"/>
        <v>277.23937202597483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1.6780978550918464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9.5545286441109846E-27</v>
      </c>
      <c r="AC202" s="24">
        <f t="shared" si="163"/>
        <v>1.6780978550918464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1.0231815394945443E-12</v>
      </c>
      <c r="AJ202" s="14">
        <f>AI202*VLOOKUP('Données projet'!$B$10,Paramètres!$A$1:$I$89,3,0)*VLOOKUP('Données projet'!$B$10,Paramètres!$A$1:$I$89,5,0)</f>
        <v>9.2577465693466368E-13</v>
      </c>
      <c r="AK202" s="14">
        <f t="shared" si="164"/>
        <v>1.0733865205587901E-11</v>
      </c>
      <c r="AL202" s="22">
        <f t="shared" si="165"/>
        <v>2.030720609389346E-11</v>
      </c>
      <c r="AM202" s="62">
        <f t="shared" si="193"/>
        <v>293.33333333335361</v>
      </c>
      <c r="AN202" s="62">
        <f ca="1">AVERAGE(OFFSET($AM$3,0,0,'Données projet'!$E$10+1,1))-AVERAGE(OFFSET($H$3,0,0,'Données projet'!$E$10+1,1))</f>
        <v>427.83662275523142</v>
      </c>
      <c r="AO202" s="62">
        <f t="shared" si="205"/>
        <v>240.19413322685813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2">
        <f t="shared" si="202"/>
        <v>29.142418334948719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70">
        <f t="shared" si="192"/>
        <v>497.61304526670318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83.735137603292344</v>
      </c>
      <c r="T203" s="62">
        <f t="shared" si="204"/>
        <v>277.23937202597483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1.6451913796921209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6.7560719952919866E-27</v>
      </c>
      <c r="AC203" s="24">
        <f t="shared" si="163"/>
        <v>1.6451913796921209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1.0231815394945443E-12</v>
      </c>
      <c r="AJ203" s="14">
        <f>AI203*VLOOKUP('Données projet'!$B$10,Paramètres!$A$1:$I$89,3,0)*VLOOKUP('Données projet'!$B$10,Paramètres!$A$1:$I$89,5,0)</f>
        <v>9.2577465693466368E-13</v>
      </c>
      <c r="AK203" s="14">
        <f t="shared" si="164"/>
        <v>1.0733865205587901E-11</v>
      </c>
      <c r="AL203" s="22">
        <f t="shared" si="165"/>
        <v>2.030720609389346E-11</v>
      </c>
      <c r="AM203" s="62">
        <f t="shared" si="193"/>
        <v>293.33333333335361</v>
      </c>
      <c r="AN203" s="62">
        <f ca="1">AVERAGE(OFFSET($AM$3,0,0,'Données projet'!$E$10+1,1))-AVERAGE(OFFSET($H$3,0,0,'Données projet'!$E$10+1,1))</f>
        <v>427.83662275523142</v>
      </c>
      <c r="AO203" s="62">
        <f t="shared" si="205"/>
        <v>240.19413322685813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1.333521432163324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1.2392705892426346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zoomScale="90" zoomScaleNormal="90" workbookViewId="0">
      <selection activeCell="H5" sqref="H5:H1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Peuplier Koster</v>
      </c>
      <c r="B6" s="155">
        <f>'Données projet'!D9</f>
        <v>2.1384000000000003</v>
      </c>
      <c r="C6" s="156">
        <f ca="1">IF(OR('Données projet'!B9="",'Données projet'!C9="",'Données projet'!C9=0%),0,Calculateur!S3)</f>
        <v>83.735137603292344</v>
      </c>
      <c r="D6" s="156">
        <f>IF(OR('Données projet'!B9="",'Données projet'!C9="",'Données projet'!C9=0%),0,Calculateur!T3)</f>
        <v>277.23937202597483</v>
      </c>
      <c r="E6" s="156">
        <f ca="1">MIN(C6,D6)</f>
        <v>83.735137603292344</v>
      </c>
      <c r="F6" s="156">
        <f ca="1">E6*B6</f>
        <v>179.05921825088038</v>
      </c>
      <c r="G6" s="156">
        <f ca="1">F6*(100%-'Données projet'!$C$24)*(100%-'Données projet'!$C$25)*(100%-'Données projet'!$C$26)*(100%-'Données projet'!$C$27)</f>
        <v>153.09563160450273</v>
      </c>
      <c r="H6" s="157">
        <f>IF(OR('Données projet'!B9="",'Données projet'!C9="",'Données projet'!C9=0%),0,AVERAGE(Calculateur!$AC$3:$AC$33)*B6)</f>
        <v>52.182903958972773</v>
      </c>
      <c r="I6" s="158">
        <f>H6*(100%-'Données projet'!$C$24)*(100%-'Données projet'!$C$25)*(100%-'Données projet'!$C$26)*(100%-'Données projet'!$C$27)</f>
        <v>44.61638288492172</v>
      </c>
      <c r="J6" s="159">
        <f>IF(OR('Données projet'!B9="",'Données projet'!C9="",'Données projet'!C9=0%),0,SUM(Calculateur!$V$3:$V$33)*VLOOKUP('Données projet'!$B$9,Paramètres!$A$1:$I$89,9,0)*B6)</f>
        <v>548.43544800000018</v>
      </c>
      <c r="K6" s="160">
        <f>J6*(100%-'Données projet'!$C$24)*(100%-'Données projet'!$C$25)*(100%-'Données projet'!$C$26)*(100%-'Données projet'!$C$27)</f>
        <v>468.91230804000014</v>
      </c>
      <c r="L6" s="161">
        <f ca="1">G6+I6+K6</f>
        <v>666.6243225294246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Chêne sessile</v>
      </c>
      <c r="B7" s="163">
        <f>'Données projet'!D10</f>
        <v>0.50160000000000005</v>
      </c>
      <c r="C7" s="156">
        <f ca="1">IF(OR('Données projet'!B10="",'Données projet'!C10="",'Données projet'!C10=0%),0,Calculateur!AN3)</f>
        <v>427.83662275523142</v>
      </c>
      <c r="D7" s="156">
        <f>IF(OR('Données projet'!B10="",'Données projet'!C10="",'Données projet'!C10=0%),0,Calculateur!AO3)</f>
        <v>240.19413322685813</v>
      </c>
      <c r="E7" s="156">
        <f t="shared" ref="E7:E15" ca="1" si="0">MIN(C7,D7)</f>
        <v>240.19413322685813</v>
      </c>
      <c r="F7" s="156">
        <f t="shared" ref="F7:F15" ca="1" si="1">E7*B7</f>
        <v>120.48137722659204</v>
      </c>
      <c r="G7" s="156">
        <f ca="1">F7*(100%-'Données projet'!$C$24)*(100%-'Données projet'!$C$25)*(100%-'Données projet'!$C$26)*(100%-'Données projet'!$C$27)</f>
        <v>103.0115775287362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4.2636000000000003</v>
      </c>
      <c r="K7" s="160">
        <f>J7*(100%-'Données projet'!$C$24)*(100%-'Données projet'!$C$25)*(100%-'Données projet'!$C$26)*(100%-'Données projet'!$C$27)</f>
        <v>3.6453780000000005</v>
      </c>
      <c r="L7" s="161">
        <f t="shared" ref="L7:L15" ca="1" si="2">G7+I7+K7</f>
        <v>106.65695552873619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299.54059547747244</v>
      </c>
      <c r="G16" s="175">
        <f t="shared" ca="1" si="3"/>
        <v>256.10720913323894</v>
      </c>
      <c r="H16" s="176">
        <f t="shared" si="3"/>
        <v>52.182903958972773</v>
      </c>
      <c r="I16" s="176">
        <f t="shared" si="3"/>
        <v>44.61638288492172</v>
      </c>
      <c r="J16" s="177">
        <f t="shared" si="3"/>
        <v>552.69904800000018</v>
      </c>
      <c r="K16" s="177">
        <f t="shared" si="3"/>
        <v>472.55768604000014</v>
      </c>
      <c r="L16" s="178">
        <f t="shared" ca="1" si="3"/>
        <v>773.28127805816075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Peuplier Koster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Chêne sessile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abSelected="1" topLeftCell="K1" zoomScale="80" zoomScaleNormal="80" workbookViewId="0">
      <selection activeCell="I15" sqref="I15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Koster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4509.891673716701</v>
      </c>
      <c r="U10" s="190">
        <f>'Données projet'!D9</f>
        <v>2.1384000000000003</v>
      </c>
      <c r="V10" s="189">
        <f>U10*T10</f>
        <v>9643.9523550757949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sessile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775.95189769309582</v>
      </c>
      <c r="U11" s="190">
        <f>'Données projet'!D10</f>
        <v>0.50160000000000005</v>
      </c>
      <c r="V11" s="189">
        <f t="shared" ref="V11" si="0">U11*T11</f>
        <v>389.2174718828569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Peuplier Koster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41" t="s">
        <v>318</v>
      </c>
      <c r="H15" s="203">
        <v>0</v>
      </c>
      <c r="I15" s="204">
        <v>405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>
        <v>100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99.999999999999915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>
        <v>30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2999.9999999999973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5114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8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-2398.590173041348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9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97.07248263649636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10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-2495.6626556778442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11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12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13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14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15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16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17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18</v>
      </c>
      <c r="B33" s="193">
        <f>'Données projet'!D46</f>
        <v>249</v>
      </c>
      <c r="C33" s="206">
        <v>40</v>
      </c>
      <c r="D33" s="194">
        <f t="shared" si="2"/>
        <v>9960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Chêne sessile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 t="str">
        <f>IF(O51+1&lt;=MIN('Données projet'!$E$9:$E$18),O51+1,"STOP")</f>
        <v>STOP</v>
      </c>
      <c r="P52" s="197" t="e">
        <f t="shared" si="3"/>
        <v>#VALUE!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 t="e">
        <f>IF(O52+1&lt;=MIN('Données projet'!$E$9:$E$18),O52+1,"STOP")</f>
        <v>#VALUE!</v>
      </c>
      <c r="P53" s="197" t="e">
        <f t="shared" si="3"/>
        <v>#VALUE!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20</v>
      </c>
      <c r="B54" s="193">
        <f>'Données projet'!D62</f>
        <v>0</v>
      </c>
      <c r="C54" s="204"/>
      <c r="D54" s="191">
        <f t="shared" ref="D54:D73" si="4"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e">
        <f>IF(O53+1&lt;=MIN('Données projet'!$E$9:$E$18),O53+1,"STOP")</f>
        <v>#VALUE!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25</v>
      </c>
      <c r="B55" s="193">
        <f>'Données projet'!D63</f>
        <v>34</v>
      </c>
      <c r="C55" s="204">
        <v>10</v>
      </c>
      <c r="D55" s="191">
        <f t="shared" si="4"/>
        <v>340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30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35</v>
      </c>
      <c r="B57" s="193">
        <f>'Données projet'!D65</f>
        <v>56</v>
      </c>
      <c r="C57" s="204">
        <v>10</v>
      </c>
      <c r="D57" s="191">
        <f t="shared" si="4"/>
        <v>560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40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45</v>
      </c>
      <c r="B59" s="193">
        <f>'Données projet'!D67</f>
        <v>56</v>
      </c>
      <c r="C59" s="204">
        <v>15</v>
      </c>
      <c r="D59" s="191">
        <f t="shared" si="4"/>
        <v>840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50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55</v>
      </c>
      <c r="B61" s="193">
        <f>'Données projet'!D69</f>
        <v>56</v>
      </c>
      <c r="C61" s="204">
        <v>20</v>
      </c>
      <c r="D61" s="191">
        <f t="shared" si="4"/>
        <v>1120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60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65</v>
      </c>
      <c r="B63" s="193">
        <f>'Données projet'!D71</f>
        <v>56</v>
      </c>
      <c r="C63" s="204">
        <v>30</v>
      </c>
      <c r="D63" s="191">
        <f t="shared" si="4"/>
        <v>1680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70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75</v>
      </c>
      <c r="B65" s="193">
        <f>'Données projet'!D73</f>
        <v>56</v>
      </c>
      <c r="C65" s="204">
        <v>40</v>
      </c>
      <c r="D65" s="191">
        <f t="shared" si="4"/>
        <v>2240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80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90</v>
      </c>
      <c r="B67" s="193">
        <f>'Données projet'!D75</f>
        <v>84</v>
      </c>
      <c r="C67" s="204">
        <v>50</v>
      </c>
      <c r="D67" s="191">
        <f t="shared" si="4"/>
        <v>4200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100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110</v>
      </c>
      <c r="B69" s="193">
        <f>'Données projet'!D77</f>
        <v>106</v>
      </c>
      <c r="C69" s="204">
        <v>60</v>
      </c>
      <c r="D69" s="191">
        <f t="shared" si="4"/>
        <v>6360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120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130</v>
      </c>
      <c r="B71" s="193">
        <f>'Données projet'!D79</f>
        <v>91</v>
      </c>
      <c r="C71" s="204">
        <v>100</v>
      </c>
      <c r="D71" s="191">
        <f t="shared" si="4"/>
        <v>9100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140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150</v>
      </c>
      <c r="B73" s="193">
        <f>'Données projet'!D81</f>
        <v>376</v>
      </c>
      <c r="C73" s="204">
        <v>200</v>
      </c>
      <c r="D73" s="191">
        <f t="shared" si="4"/>
        <v>75200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0</v>
      </c>
      <c r="B85" s="193">
        <f>'Données projet'!D88</f>
        <v>0</v>
      </c>
      <c r="C85" s="204"/>
      <c r="D85" s="191">
        <f t="shared" ref="D85:D104" si="6"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0</v>
      </c>
      <c r="B86" s="193">
        <f>'Données projet'!D89</f>
        <v>0</v>
      </c>
      <c r="C86" s="204"/>
      <c r="D86" s="191">
        <f t="shared" si="6"/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Oceane.CORNU</cp:lastModifiedBy>
  <dcterms:created xsi:type="dcterms:W3CDTF">2021-02-01T08:22:39Z</dcterms:created>
  <dcterms:modified xsi:type="dcterms:W3CDTF">2023-04-12T15:29:49Z</dcterms:modified>
</cp:coreProperties>
</file>