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9_Reims\Troisvaux\"/>
    </mc:Choice>
  </mc:AlternateContent>
  <xr:revisionPtr revIDLastSave="0" documentId="13_ncr:1_{C15BECBF-9E2B-4D51-A48B-41BE259CBC82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9" i="1" l="1"/>
  <c r="D199" i="1" s="1"/>
  <c r="D198" i="1"/>
  <c r="D197" i="1"/>
  <c r="D196" i="1"/>
  <c r="D195" i="1"/>
  <c r="D194" i="1"/>
  <c r="D193" i="1"/>
  <c r="B173" i="1"/>
  <c r="D173" i="1" s="1"/>
  <c r="D172" i="1"/>
  <c r="D171" i="1"/>
  <c r="D170" i="1"/>
  <c r="D169" i="1"/>
  <c r="D168" i="1"/>
  <c r="D167" i="1"/>
  <c r="B153" i="1"/>
  <c r="D153" i="1" s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20" i="1"/>
  <c r="B120" i="1"/>
  <c r="B119" i="1"/>
  <c r="B118" i="1"/>
  <c r="B117" i="1"/>
  <c r="B116" i="1"/>
  <c r="B115" i="1"/>
  <c r="B98" i="1"/>
  <c r="D98" i="1" s="1"/>
  <c r="D97" i="1"/>
  <c r="D96" i="1"/>
  <c r="D95" i="1"/>
  <c r="D94" i="1"/>
  <c r="D93" i="1"/>
  <c r="D92" i="1"/>
  <c r="D91" i="1"/>
  <c r="D90" i="1"/>
  <c r="D89" i="1"/>
  <c r="B75" i="1"/>
  <c r="D75" i="1" s="1"/>
  <c r="D74" i="1"/>
  <c r="D73" i="1"/>
  <c r="D72" i="1"/>
  <c r="D71" i="1"/>
  <c r="D70" i="1"/>
  <c r="D69" i="1"/>
  <c r="D68" i="1"/>
  <c r="D67" i="1"/>
  <c r="D66" i="1"/>
  <c r="D65" i="1"/>
  <c r="D64" i="1"/>
  <c r="D63" i="1"/>
  <c r="D46" i="1"/>
  <c r="B46" i="1"/>
  <c r="D45" i="1"/>
  <c r="D44" i="1"/>
  <c r="D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EA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DG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B168" i="2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Y171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D178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V189" i="2" l="1"/>
  <c r="EY188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C192" i="2"/>
  <c r="EV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Y194" i="2"/>
  <c r="EX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Y201" i="2"/>
  <c r="EW202" i="2"/>
  <c r="ED201" i="2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DN103" i="2" a="1"/>
  <c r="DN103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49" i="2" a="1"/>
  <c r="DN49" i="2" s="1"/>
  <c r="DN65" i="2" a="1"/>
  <c r="DN65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AX200" i="2"/>
  <c r="DN186" i="2" l="1" a="1"/>
  <c r="DN186" i="2" s="1"/>
  <c r="DN45" i="2" a="1"/>
  <c r="DN45" i="2" s="1"/>
  <c r="DN16" i="2" a="1"/>
  <c r="DN16" i="2" s="1"/>
  <c r="DN80" i="2" a="1"/>
  <c r="DN80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90" i="2" a="1"/>
  <c r="DN190" i="2" s="1"/>
  <c r="DN133" i="2" a="1"/>
  <c r="DN133" i="2" s="1"/>
  <c r="DN162" i="2" a="1"/>
  <c r="DN162" i="2" s="1"/>
  <c r="DN114" i="2" a="1"/>
  <c r="DN114" i="2" s="1"/>
  <c r="DN192" i="2" a="1"/>
  <c r="DN192" i="2" s="1"/>
  <c r="DN129" i="2" a="1"/>
  <c r="DN129" i="2" s="1"/>
  <c r="DN43" i="2" a="1"/>
  <c r="DN43" i="2" s="1"/>
  <c r="DN50" i="2" a="1"/>
  <c r="DN50" i="2" s="1"/>
  <c r="DN63" i="2" a="1"/>
  <c r="DN63" i="2" s="1"/>
  <c r="DN187" i="2" a="1"/>
  <c r="DN187" i="2" s="1"/>
  <c r="DN30" i="2" a="1"/>
  <c r="DN30" i="2" s="1"/>
  <c r="DN55" i="2" a="1"/>
  <c r="DN55" i="2" s="1"/>
  <c r="DN135" i="2" a="1"/>
  <c r="DN135" i="2" s="1"/>
  <c r="DN86" i="2" a="1"/>
  <c r="DN86" i="2" s="1"/>
  <c r="DN25" i="2" a="1"/>
  <c r="DN25" i="2" s="1"/>
  <c r="DN132" i="2" a="1"/>
  <c r="DN132" i="2" s="1"/>
  <c r="DN188" i="2" a="1"/>
  <c r="DN188" i="2" s="1"/>
  <c r="DN110" i="2" a="1"/>
  <c r="DN110" i="2" s="1"/>
  <c r="DN38" i="2" a="1"/>
  <c r="DN38" i="2" s="1"/>
  <c r="DN123" i="2" a="1"/>
  <c r="DN123" i="2" s="1"/>
  <c r="DN177" i="2" a="1"/>
  <c r="DN177" i="2" s="1"/>
  <c r="DN184" i="2" a="1"/>
  <c r="DN184" i="2" s="1"/>
  <c r="DN164" i="2" a="1"/>
  <c r="DN164" i="2" s="1"/>
  <c r="DN113" i="2" a="1"/>
  <c r="DN113" i="2" s="1"/>
  <c r="DN46" i="2" a="1"/>
  <c r="DN46" i="2" s="1"/>
  <c r="DN31" i="2" a="1"/>
  <c r="DN31" i="2" s="1"/>
  <c r="DN115" i="2" a="1"/>
  <c r="DN115" i="2" s="1"/>
  <c r="DN152" i="2" a="1"/>
  <c r="DN152" i="2" s="1"/>
  <c r="DN124" i="2" a="1"/>
  <c r="DN124" i="2" s="1"/>
  <c r="DN70" i="2" a="1"/>
  <c r="DN70" i="2" s="1"/>
  <c r="DN137" i="2" a="1"/>
  <c r="DN137" i="2" s="1"/>
  <c r="DN176" i="2" a="1"/>
  <c r="DN176" i="2" s="1"/>
  <c r="DN167" i="2" a="1"/>
  <c r="DN167" i="2" s="1"/>
  <c r="DN153" i="2" a="1"/>
  <c r="DN153" i="2" s="1"/>
  <c r="DN29" i="2" a="1"/>
  <c r="DN2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46" i="2" l="1"/>
  <c r="CY118" i="2"/>
  <c r="CY129" i="2"/>
  <c r="CY85" i="2"/>
  <c r="CY63" i="2"/>
  <c r="CY7" i="2"/>
  <c r="CY105" i="2"/>
  <c r="CY186" i="2"/>
  <c r="CY141" i="2"/>
  <c r="CY54" i="2"/>
  <c r="CY59" i="2"/>
  <c r="CY132" i="2"/>
  <c r="CY194" i="2"/>
  <c r="CY146" i="2"/>
  <c r="CY92" i="2"/>
  <c r="CY53" i="2"/>
  <c r="CY124" i="2"/>
  <c r="CY174" i="2"/>
  <c r="CY33" i="2"/>
  <c r="CY80" i="2"/>
  <c r="CY166" i="2"/>
  <c r="CY31" i="2"/>
  <c r="CY14" i="2"/>
  <c r="CY119" i="2"/>
  <c r="CY48" i="2"/>
  <c r="CY181" i="2"/>
  <c r="CY191" i="2"/>
  <c r="CY41" i="2"/>
  <c r="CY62" i="2"/>
  <c r="CY87" i="2"/>
  <c r="CY93" i="2"/>
  <c r="CY125" i="2"/>
  <c r="CY16" i="2"/>
  <c r="CY12" i="2"/>
  <c r="CY145" i="2"/>
  <c r="CY37" i="2"/>
  <c r="CY162" i="2"/>
  <c r="CY109" i="2"/>
  <c r="CY9" i="2"/>
  <c r="CY200" i="2"/>
  <c r="CY111" i="2"/>
  <c r="CY61" i="2"/>
  <c r="CY83" i="2"/>
  <c r="CY68" i="2"/>
  <c r="CY133" i="2"/>
  <c r="CY134" i="2"/>
  <c r="CY24" i="2"/>
  <c r="CY188" i="2"/>
  <c r="CY89" i="2"/>
  <c r="CY8" i="2"/>
  <c r="CY169" i="2"/>
  <c r="CY72" i="2"/>
  <c r="CY103" i="2"/>
  <c r="CY78" i="2"/>
  <c r="CY153" i="2"/>
  <c r="CY66" i="2"/>
  <c r="CY86" i="2"/>
  <c r="CY32" i="2"/>
  <c r="CY107" i="2"/>
  <c r="CY160" i="2"/>
  <c r="CY157" i="2"/>
  <c r="CY151" i="2"/>
  <c r="CY113" i="2"/>
  <c r="CY95" i="2"/>
  <c r="CY116" i="2"/>
  <c r="CY192" i="2"/>
  <c r="CY70" i="2"/>
  <c r="CY144" i="2"/>
  <c r="CY163" i="2"/>
  <c r="CY127" i="2"/>
  <c r="CY149" i="2"/>
  <c r="CY120" i="2"/>
  <c r="CY177" i="2"/>
  <c r="CY30" i="2"/>
  <c r="CY156" i="2"/>
  <c r="CY64" i="2"/>
  <c r="CY82" i="2"/>
  <c r="CY71" i="2"/>
  <c r="CY154" i="2"/>
  <c r="CY126" i="2"/>
  <c r="CY49" i="2"/>
  <c r="CY21" i="2"/>
  <c r="CY180" i="2"/>
  <c r="CY195" i="2"/>
  <c r="CY131" i="2"/>
  <c r="CY176" i="2"/>
  <c r="CY29" i="2"/>
  <c r="CY74" i="2"/>
  <c r="CY115" i="2"/>
  <c r="CY84" i="2"/>
  <c r="CY148" i="2"/>
  <c r="CY99" i="2"/>
  <c r="CY102" i="2"/>
  <c r="CY173" i="2"/>
  <c r="CY52" i="2"/>
  <c r="CY35" i="2"/>
  <c r="CY189" i="2"/>
  <c r="CY203" i="2"/>
  <c r="CY158" i="2"/>
  <c r="CY199" i="2"/>
  <c r="CY67" i="2"/>
  <c r="CY184" i="2"/>
  <c r="CY179" i="2"/>
  <c r="CY178" i="2"/>
  <c r="CY15" i="2"/>
  <c r="CY50" i="2"/>
  <c r="CY175" i="2"/>
  <c r="CY152" i="2"/>
  <c r="CY110" i="2"/>
  <c r="CY38" i="2"/>
  <c r="CY150" i="2"/>
  <c r="CY34" i="2"/>
  <c r="CY122" i="2"/>
  <c r="CY3" i="2"/>
  <c r="C10" i="4" s="1"/>
  <c r="E10" i="4" s="1"/>
  <c r="F10" i="4" s="1"/>
  <c r="G10" i="4" s="1"/>
  <c r="L10" i="4" s="1"/>
  <c r="CY77" i="2"/>
  <c r="CY57" i="2"/>
  <c r="CY182" i="2"/>
  <c r="CY183" i="2"/>
  <c r="CY139" i="2"/>
  <c r="CY187" i="2"/>
  <c r="CY94" i="2"/>
  <c r="CY90" i="2"/>
  <c r="CY47" i="2"/>
  <c r="CY18" i="2"/>
  <c r="CY197" i="2"/>
  <c r="CY112" i="2"/>
  <c r="CY168" i="2"/>
  <c r="CY75" i="2"/>
  <c r="CY45" i="2"/>
  <c r="CY155" i="2"/>
  <c r="CY56" i="2"/>
  <c r="CY117" i="2"/>
  <c r="CY159" i="2"/>
  <c r="CY161" i="2"/>
  <c r="CY10" i="2"/>
  <c r="CY170" i="2"/>
  <c r="CY198" i="2"/>
  <c r="CY81" i="2"/>
  <c r="CY88" i="2"/>
  <c r="CY136" i="2"/>
  <c r="CY104" i="2"/>
  <c r="CY190" i="2"/>
  <c r="CY101" i="2"/>
  <c r="CY91" i="2"/>
  <c r="CY28" i="2"/>
  <c r="CY196" i="2"/>
  <c r="CY69" i="2"/>
  <c r="CY43" i="2"/>
  <c r="CY19" i="2"/>
  <c r="CY128" i="2"/>
  <c r="CY73" i="2"/>
  <c r="CY100" i="2"/>
  <c r="CY20" i="2"/>
  <c r="CY121" i="2"/>
  <c r="CY97" i="2"/>
  <c r="CY172" i="2"/>
  <c r="CY5" i="2"/>
  <c r="CY76" i="2"/>
  <c r="CY171" i="2"/>
  <c r="CY6" i="2"/>
  <c r="CY130" i="2"/>
  <c r="CY202" i="2"/>
  <c r="CY25" i="2"/>
  <c r="CY193" i="2"/>
  <c r="CY17" i="2"/>
  <c r="CY147" i="2"/>
  <c r="CY143" i="2"/>
  <c r="CY51" i="2"/>
  <c r="CY138" i="2"/>
  <c r="CY137" i="2"/>
  <c r="CY185" i="2"/>
  <c r="CY167" i="2"/>
  <c r="CY108" i="2"/>
  <c r="CY164" i="2"/>
  <c r="CY140" i="2"/>
  <c r="CY58" i="2"/>
  <c r="CY114" i="2"/>
  <c r="CY123" i="2"/>
  <c r="CY96" i="2"/>
  <c r="CY4" i="2"/>
  <c r="CY13" i="2"/>
  <c r="CY36" i="2"/>
  <c r="CY142" i="2"/>
  <c r="CY135" i="2"/>
  <c r="CY98" i="2"/>
  <c r="CY42" i="2"/>
  <c r="CY23" i="2"/>
  <c r="CY106" i="2"/>
  <c r="CY44" i="2"/>
  <c r="CY65" i="2"/>
  <c r="CY79" i="2"/>
  <c r="CY201" i="2"/>
  <c r="CY22" i="2"/>
  <c r="CY55" i="2"/>
  <c r="CY26" i="2"/>
  <c r="CY165" i="2"/>
  <c r="CY27" i="2"/>
  <c r="CY39" i="2"/>
  <c r="CY40" i="2"/>
  <c r="CY11" i="2"/>
  <c r="CY6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96" i="2"/>
  <c r="BI171" i="2"/>
  <c r="BI62" i="2"/>
  <c r="BI112" i="2"/>
  <c r="BI80" i="2"/>
  <c r="BI167" i="2"/>
  <c r="BI100" i="2"/>
  <c r="BI102" i="2"/>
  <c r="BI152" i="2"/>
  <c r="BI46" i="2"/>
  <c r="BI83" i="2"/>
  <c r="BI31" i="2"/>
  <c r="BI72" i="2"/>
  <c r="BI107" i="2"/>
  <c r="BI154" i="2"/>
  <c r="BI68" i="2"/>
  <c r="BI146" i="2"/>
  <c r="BI135" i="2"/>
  <c r="BI101" i="2"/>
  <c r="BI81" i="2"/>
  <c r="BI95" i="2"/>
  <c r="BI91" i="2"/>
  <c r="BI18" i="2"/>
  <c r="BI142" i="2"/>
  <c r="BI158" i="2"/>
  <c r="BI49" i="2"/>
  <c r="BI17" i="2"/>
  <c r="BI189" i="2"/>
  <c r="BI136" i="2"/>
  <c r="BI75" i="2"/>
  <c r="BI195" i="2"/>
  <c r="BI32" i="2"/>
  <c r="BI40" i="2"/>
  <c r="BI9" i="2"/>
  <c r="BI71" i="2"/>
  <c r="BI45" i="2"/>
  <c r="BI132" i="2"/>
  <c r="BI151" i="2"/>
  <c r="BI92" i="2"/>
  <c r="BI90" i="2"/>
  <c r="BI199" i="2"/>
  <c r="BI94" i="2"/>
  <c r="BI15" i="2"/>
  <c r="BI117" i="2"/>
  <c r="BI124" i="2"/>
  <c r="BI144" i="2"/>
  <c r="BI103" i="2"/>
  <c r="BI29" i="2"/>
  <c r="BI108" i="2"/>
  <c r="BI67" i="2"/>
  <c r="BI168" i="2"/>
  <c r="BI58" i="2"/>
  <c r="BI182" i="2"/>
  <c r="BI110" i="2"/>
  <c r="BI77" i="2"/>
  <c r="BI196" i="2"/>
  <c r="BI19" i="2"/>
  <c r="BI164" i="2"/>
  <c r="BI149" i="2"/>
  <c r="BI13" i="2"/>
  <c r="BI160" i="2"/>
  <c r="BI191" i="2"/>
  <c r="BI127" i="2"/>
  <c r="BI6" i="2"/>
  <c r="BI66" i="2"/>
  <c r="BI79" i="2"/>
  <c r="BI166" i="2"/>
  <c r="BI85" i="2"/>
  <c r="BI170" i="2"/>
  <c r="BI150" i="2"/>
  <c r="BI133" i="2"/>
  <c r="BI165" i="2"/>
  <c r="BI76" i="2"/>
  <c r="BI176" i="2"/>
  <c r="BI143" i="2"/>
  <c r="BI93" i="2"/>
  <c r="BI121" i="2"/>
  <c r="BI38" i="2"/>
  <c r="BI11" i="2"/>
  <c r="BI173" i="2"/>
  <c r="BI169" i="2"/>
  <c r="BI53" i="2"/>
  <c r="BI42" i="2"/>
  <c r="BI52" i="2"/>
  <c r="BI57" i="2"/>
  <c r="BI113" i="2"/>
  <c r="BI156" i="2"/>
  <c r="BI147" i="2"/>
  <c r="BI134" i="2"/>
  <c r="BI10" i="2"/>
  <c r="BI105" i="2"/>
  <c r="BI194" i="2"/>
  <c r="BI82" i="2"/>
  <c r="BI197" i="2"/>
  <c r="BI64" i="2"/>
  <c r="BI3" i="2"/>
  <c r="C8" i="4" s="1"/>
  <c r="E8" i="4" s="1"/>
  <c r="F8" i="4" s="1"/>
  <c r="G8" i="4" s="1"/>
  <c r="L8" i="4" s="1"/>
  <c r="BI39" i="2"/>
  <c r="BI153" i="2"/>
  <c r="BI43" i="2"/>
  <c r="BI56" i="2"/>
  <c r="BI74" i="2"/>
  <c r="BI162" i="2"/>
  <c r="BI114" i="2"/>
  <c r="BI35" i="2"/>
  <c r="BI61" i="2"/>
  <c r="BI131" i="2"/>
  <c r="BI21" i="2"/>
  <c r="BI138" i="2"/>
  <c r="BI120" i="2"/>
  <c r="BI7" i="2"/>
  <c r="BI51" i="2"/>
  <c r="BI129" i="2"/>
  <c r="BI186" i="2"/>
  <c r="BI183" i="2"/>
  <c r="BI60" i="2"/>
  <c r="BI33" i="2"/>
  <c r="BI65" i="2"/>
  <c r="BI26" i="2"/>
  <c r="BI188" i="2"/>
  <c r="BI122" i="2"/>
  <c r="BI59" i="2"/>
  <c r="BI20" i="2"/>
  <c r="BI200" i="2"/>
  <c r="BI126" i="2"/>
  <c r="BI44" i="2"/>
  <c r="BI24" i="2"/>
  <c r="BI128" i="2"/>
  <c r="BI54" i="2"/>
  <c r="BI98" i="2"/>
  <c r="BI84" i="2"/>
  <c r="BI181" i="2"/>
  <c r="BI87" i="2"/>
  <c r="BI37" i="2"/>
  <c r="BI203" i="2"/>
  <c r="BI172" i="2"/>
  <c r="BI157" i="2"/>
  <c r="BI185" i="2"/>
  <c r="BI192" i="2"/>
  <c r="BI174" i="2"/>
  <c r="BI50" i="2"/>
  <c r="BI23" i="2"/>
  <c r="BI155" i="2"/>
  <c r="BI130" i="2"/>
  <c r="BI28" i="2"/>
  <c r="BI179" i="2"/>
  <c r="BI177" i="2"/>
  <c r="BI27" i="2"/>
  <c r="BI106" i="2"/>
  <c r="BI73" i="2"/>
  <c r="BI180" i="2"/>
  <c r="BI145" i="2"/>
  <c r="BI70" i="2"/>
  <c r="BI63" i="2"/>
  <c r="BI116" i="2"/>
  <c r="BI16" i="2"/>
  <c r="BI125" i="2"/>
  <c r="BI118" i="2"/>
  <c r="BI159" i="2"/>
  <c r="BI8" i="2"/>
  <c r="BI111" i="2"/>
  <c r="BI137" i="2"/>
  <c r="BI148" i="2"/>
  <c r="BI178" i="2"/>
  <c r="BI78" i="2"/>
  <c r="BI25" i="2"/>
  <c r="BI184" i="2"/>
  <c r="BI86" i="2"/>
  <c r="BI30" i="2"/>
  <c r="BI119" i="2"/>
  <c r="BI89" i="2"/>
  <c r="BI141" i="2"/>
  <c r="BI36" i="2"/>
  <c r="BI139" i="2"/>
  <c r="BI163" i="2"/>
  <c r="BI41" i="2"/>
  <c r="BI193" i="2"/>
  <c r="BI115" i="2"/>
  <c r="BI187" i="2"/>
  <c r="BI123" i="2"/>
  <c r="BI190" i="2"/>
  <c r="BI34" i="2"/>
  <c r="BI202" i="2"/>
  <c r="BI198" i="2"/>
  <c r="BI109" i="2"/>
  <c r="BI140" i="2"/>
  <c r="BI69" i="2"/>
  <c r="BI14" i="2"/>
  <c r="BI5" i="2"/>
  <c r="BI88" i="2"/>
  <c r="BI104" i="2"/>
  <c r="BI97" i="2"/>
  <c r="BI201" i="2"/>
  <c r="BI12" i="2"/>
  <c r="BI48" i="2"/>
  <c r="BI99" i="2"/>
  <c r="BI175" i="2"/>
  <c r="BI161" i="2"/>
  <c r="BI4" i="2"/>
  <c r="BI22" i="2"/>
  <c r="BI55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<sst xmlns="http://schemas.openxmlformats.org/spreadsheetml/2006/main" count="1176" uniqueCount="324">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</sst>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609.91120610652558</c:v>
                </c:pt>
                <c:pt idx="112">
                  <c:v>620.21540909579812</c:v>
                </c:pt>
                <c:pt idx="113">
                  <c:v>630.51606604803237</c:v>
                </c:pt>
                <c:pt idx="114">
                  <c:v>640.81324304839393</c:v>
                </c:pt>
                <c:pt idx="115">
                  <c:v>651.10700388552448</c:v>
                </c:pt>
                <c:pt idx="116">
                  <c:v>661.39741016716164</c:v>
                </c:pt>
                <c:pt idx="117">
                  <c:v>671.68452142819569</c:v>
                </c:pt>
                <c:pt idx="118">
                  <c:v>681.96839523176038</c:v>
                </c:pt>
                <c:pt idx="119">
                  <c:v>692.24908726391561</c:v>
                </c:pt>
                <c:pt idx="120">
                  <c:v>702.52665142241358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80.113285933851444</c:v>
                </c:pt>
                <c:pt idx="22">
                  <c:v>97.325789861144017</c:v>
                </c:pt>
                <c:pt idx="23">
                  <c:v>114.4623987891889</c:v>
                </c:pt>
                <c:pt idx="24">
                  <c:v>131.53611082594341</c:v>
                </c:pt>
                <c:pt idx="25">
                  <c:v>148.55625507117125</c:v>
                </c:pt>
                <c:pt idx="26">
                  <c:v>165.52984007722179</c:v>
                </c:pt>
                <c:pt idx="27">
                  <c:v>182.46231573145488</c:v>
                </c:pt>
                <c:pt idx="28">
                  <c:v>199.35803580001888</c:v>
                </c:pt>
                <c:pt idx="29">
                  <c:v>216.22055473214195</c:v>
                </c:pt>
                <c:pt idx="30">
                  <c:v>233.05282669689109</c:v>
                </c:pt>
                <c:pt idx="31">
                  <c:v>187.29324646808922</c:v>
                </c:pt>
                <c:pt idx="32">
                  <c:v>206.40338295402182</c:v>
                </c:pt>
                <c:pt idx="33">
                  <c:v>225.47263098749781</c:v>
                </c:pt>
                <c:pt idx="34">
                  <c:v>244.50493536451032</c:v>
                </c:pt>
                <c:pt idx="35">
                  <c:v>263.50357612717397</c:v>
                </c:pt>
                <c:pt idx="36">
                  <c:v>282.47132147894882</c:v>
                </c:pt>
                <c:pt idx="37">
                  <c:v>301.41053739896671</c:v>
                </c:pt>
                <c:pt idx="38">
                  <c:v>320.32326822395004</c:v>
                </c:pt>
                <c:pt idx="39">
                  <c:v>339.21129718259698</c:v>
                </c:pt>
                <c:pt idx="40">
                  <c:v>358.07619273123083</c:v>
                </c:pt>
                <c:pt idx="41">
                  <c:v>275.47695163372049</c:v>
                </c:pt>
                <c:pt idx="42">
                  <c:v>295.71325882522723</c:v>
                </c:pt>
                <c:pt idx="43">
                  <c:v>315.91868734548376</c:v>
                </c:pt>
                <c:pt idx="44">
                  <c:v>336.09548909483652</c:v>
                </c:pt>
                <c:pt idx="45">
                  <c:v>356.24562356348309</c:v>
                </c:pt>
                <c:pt idx="46">
                  <c:v>376.37081053726519</c:v>
                </c:pt>
                <c:pt idx="47">
                  <c:v>396.47257093559028</c:v>
                </c:pt>
                <c:pt idx="48">
                  <c:v>416.55225893203936</c:v>
                </c:pt>
                <c:pt idx="49">
                  <c:v>436.61108755732999</c:v>
                </c:pt>
                <c:pt idx="50">
                  <c:v>456.65014935173843</c:v>
                </c:pt>
                <c:pt idx="51">
                  <c:v>374.35936973001276</c:v>
                </c:pt>
                <c:pt idx="52">
                  <c:v>394.28074727616132</c:v>
                </c:pt>
                <c:pt idx="53">
                  <c:v>414.18031421081895</c:v>
                </c:pt>
                <c:pt idx="54">
                  <c:v>434.05926525009812</c:v>
                </c:pt>
                <c:pt idx="55">
                  <c:v>453.91867680976242</c:v>
                </c:pt>
                <c:pt idx="56">
                  <c:v>473.75952348839297</c:v>
                </c:pt>
                <c:pt idx="57">
                  <c:v>493.58269164593958</c:v>
                </c:pt>
                <c:pt idx="58">
                  <c:v>513.38899068788453</c:v>
                </c:pt>
                <c:pt idx="59">
                  <c:v>533.17916251800114</c:v>
                </c:pt>
                <c:pt idx="60">
                  <c:v>552.95388951521466</c:v>
                </c:pt>
                <c:pt idx="61">
                  <c:v>469.75640033198766</c:v>
                </c:pt>
                <c:pt idx="62">
                  <c:v>488.31031682083653</c:v>
                </c:pt>
                <c:pt idx="63">
                  <c:v>506.84927944121517</c:v>
                </c:pt>
                <c:pt idx="64">
                  <c:v>525.37391179668509</c:v>
                </c:pt>
                <c:pt idx="65">
                  <c:v>543.88478995695391</c:v>
                </c:pt>
                <c:pt idx="66">
                  <c:v>562.38244760860573</c:v>
                </c:pt>
                <c:pt idx="67">
                  <c:v>580.86738049325334</c:v>
                </c:pt>
                <c:pt idx="68">
                  <c:v>599.34005025167983</c:v>
                </c:pt>
                <c:pt idx="69">
                  <c:v>617.80088776969023</c:v>
                </c:pt>
                <c:pt idx="70">
                  <c:v>636.25029610351078</c:v>
                </c:pt>
                <c:pt idx="71">
                  <c:v>551.32168330954789</c:v>
                </c:pt>
                <c:pt idx="72">
                  <c:v>567.82049219276689</c:v>
                </c:pt>
                <c:pt idx="73">
                  <c:v>584.30928408456236</c:v>
                </c:pt>
                <c:pt idx="74">
                  <c:v>600.78838129025337</c:v>
                </c:pt>
                <c:pt idx="75">
                  <c:v>617.25808700390428</c:v>
                </c:pt>
                <c:pt idx="76">
                  <c:v>633.71868693169097</c:v>
                </c:pt>
                <c:pt idx="77">
                  <c:v>650.1704507379394</c:v>
                </c:pt>
                <c:pt idx="78">
                  <c:v>666.61363333729287</c:v>
                </c:pt>
                <c:pt idx="79">
                  <c:v>683.04847605284647</c:v>
                </c:pt>
                <c:pt idx="80">
                  <c:v>699.47520765710806</c:v>
                </c:pt>
                <c:pt idx="81">
                  <c:v>612.91532382155742</c:v>
                </c:pt>
                <c:pt idx="82">
                  <c:v>627.56962074452872</c:v>
                </c:pt>
                <c:pt idx="83">
                  <c:v>642.21683864871386</c:v>
                </c:pt>
                <c:pt idx="84">
                  <c:v>656.85716163816721</c:v>
                </c:pt>
                <c:pt idx="85">
                  <c:v>671.49076494607959</c:v>
                </c:pt>
                <c:pt idx="86">
                  <c:v>686.11781555021219</c:v>
                </c:pt>
                <c:pt idx="87">
                  <c:v>700.73847273315744</c:v>
                </c:pt>
                <c:pt idx="88">
                  <c:v>715.35288859343939</c:v>
                </c:pt>
                <c:pt idx="89">
                  <c:v>729.96120851271326</c:v>
                </c:pt>
                <c:pt idx="90">
                  <c:v>744.56357158364563</c:v>
                </c:pt>
                <c:pt idx="91">
                  <c:v>662.27778915062186</c:v>
                </c:pt>
                <c:pt idx="92">
                  <c:v>675.64478408137461</c:v>
                </c:pt>
                <c:pt idx="93">
                  <c:v>689.00634840568546</c:v>
                </c:pt>
                <c:pt idx="94">
                  <c:v>702.3626022156958</c:v>
                </c:pt>
                <c:pt idx="95">
                  <c:v>715.71366066651581</c:v>
                </c:pt>
                <c:pt idx="96">
                  <c:v>729.05963426940798</c:v>
                </c:pt>
                <c:pt idx="97">
                  <c:v>742.40062916240504</c:v>
                </c:pt>
                <c:pt idx="98">
                  <c:v>755.73674736047633</c:v>
                </c:pt>
                <c:pt idx="99">
                  <c:v>769.06808698713439</c:v>
                </c:pt>
                <c:pt idx="100">
                  <c:v>782.39474248915587</c:v>
                </c:pt>
                <c:pt idx="101">
                  <c:v>705.79106790905655</c:v>
                </c:pt>
                <c:pt idx="102">
                  <c:v>717.5174653643893</c:v>
                </c:pt>
                <c:pt idx="103">
                  <c:v>729.23995093529209</c:v>
                </c:pt>
                <c:pt idx="104">
                  <c:v>740.95859633457928</c:v>
                </c:pt>
                <c:pt idx="105">
                  <c:v>752.67347082301239</c:v>
                </c:pt>
                <c:pt idx="106">
                  <c:v>764.38464133080095</c:v>
                </c:pt>
                <c:pt idx="107">
                  <c:v>776.0921725712725</c:v>
                </c:pt>
                <c:pt idx="108">
                  <c:v>787.7961271473356</c:v>
                </c:pt>
                <c:pt idx="109">
                  <c:v>799.4965656512876</c:v>
                </c:pt>
                <c:pt idx="110">
                  <c:v>811.19354675848342</c:v>
                </c:pt>
                <c:pt idx="111">
                  <c:v>740.59807920780077</c:v>
                </c:pt>
                <c:pt idx="112">
                  <c:v>751.0516336933598</c:v>
                </c:pt>
                <c:pt idx="113">
                  <c:v>761.50223178003716</c:v>
                </c:pt>
                <c:pt idx="114">
                  <c:v>771.94991973942854</c:v>
                </c:pt>
                <c:pt idx="115">
                  <c:v>782.3947424891561</c:v>
                </c:pt>
                <c:pt idx="116">
                  <c:v>792.83674365041134</c:v>
                </c:pt>
                <c:pt idx="117">
                  <c:v>803.27596560231598</c:v>
                </c:pt>
                <c:pt idx="118">
                  <c:v>813.71244953330722</c:v>
                </c:pt>
                <c:pt idx="119">
                  <c:v>824.14623548975567</c:v>
                </c:pt>
                <c:pt idx="120">
                  <c:v>834.57736242199314</c:v>
                </c:pt>
                <c:pt idx="121">
                  <c:v>766.18603526748666</c:v>
                </c:pt>
                <c:pt idx="122">
                  <c:v>775.19172101253764</c:v>
                </c:pt>
                <c:pt idx="123">
                  <c:v>784.19528762222592</c:v>
                </c:pt>
                <c:pt idx="124">
                  <c:v>793.1967628465103</c:v>
                </c:pt>
                <c:pt idx="125">
                  <c:v>802.19617375444193</c:v>
                </c:pt>
                <c:pt idx="126">
                  <c:v>811.19354675848388</c:v>
                </c:pt>
                <c:pt idx="127">
                  <c:v>820.18890763769696</c:v>
                </c:pt>
                <c:pt idx="128">
                  <c:v>829.18228155985844</c:v>
                </c:pt>
                <c:pt idx="129">
                  <c:v>838.17369310256743</c:v>
                </c:pt>
                <c:pt idx="130">
                  <c:v>847.16316627340211</c:v>
                </c:pt>
                <c:pt idx="131">
                  <c:v>780.05390839302345</c:v>
                </c:pt>
                <c:pt idx="132">
                  <c:v>786.71591032010565</c:v>
                </c:pt>
                <c:pt idx="133">
                  <c:v>793.37677120589569</c:v>
                </c:pt>
                <c:pt idx="134">
                  <c:v>800.03650197834293</c:v>
                </c:pt>
                <c:pt idx="135">
                  <c:v>806.69511336867652</c:v>
                </c:pt>
                <c:pt idx="136">
                  <c:v>813.35261591657581</c:v>
                </c:pt>
                <c:pt idx="137">
                  <c:v>820.00901997516348</c:v>
                </c:pt>
                <c:pt idx="138">
                  <c:v>826.66433571582718</c:v>
                </c:pt>
                <c:pt idx="139">
                  <c:v>833.31857313287821</c:v>
                </c:pt>
                <c:pt idx="140">
                  <c:v>839.97174204805413</c:v>
                </c:pt>
                <c:pt idx="141">
                  <c:v>793.19676284650996</c:v>
                </c:pt>
                <c:pt idx="142">
                  <c:v>800.39645544110078</c:v>
                </c:pt>
                <c:pt idx="143">
                  <c:v>807.59484044154794</c:v>
                </c:pt>
                <c:pt idx="144">
                  <c:v>814.79193114229145</c:v>
                </c:pt>
                <c:pt idx="145">
                  <c:v>821.98774058384186</c:v>
                </c:pt>
                <c:pt idx="146">
                  <c:v>829.18228155985832</c:v>
                </c:pt>
                <c:pt idx="147">
                  <c:v>836.37556662396753</c:v>
                </c:pt>
                <c:pt idx="148">
                  <c:v>843.56760809633795</c:v>
                </c:pt>
                <c:pt idx="149">
                  <c:v>850.75841807001689</c:v>
                </c:pt>
                <c:pt idx="150">
                  <c:v>857.94800841704284</c:v>
                </c:pt>
                <c:pt idx="151">
                  <c:v>2.7294872878105889E-12</c:v>
                </c:pt>
                <c:pt idx="152">
                  <c:v>2.7294872878105889E-12</c:v>
                </c:pt>
                <c:pt idx="153">
                  <c:v>2.7294872878105889E-12</c:v>
                </c:pt>
                <c:pt idx="154">
                  <c:v>2.7294872878105889E-12</c:v>
                </c:pt>
                <c:pt idx="155">
                  <c:v>2.7294872878105889E-12</c:v>
                </c:pt>
                <c:pt idx="156">
                  <c:v>2.7294872878105889E-12</c:v>
                </c:pt>
                <c:pt idx="157">
                  <c:v>2.7294872878105889E-12</c:v>
                </c:pt>
                <c:pt idx="158">
                  <c:v>2.7294872878105889E-12</c:v>
                </c:pt>
                <c:pt idx="159">
                  <c:v>2.7294872878105889E-12</c:v>
                </c:pt>
                <c:pt idx="160">
                  <c:v>2.7294872878105889E-12</c:v>
                </c:pt>
                <c:pt idx="161">
                  <c:v>2.7294872878105889E-12</c:v>
                </c:pt>
                <c:pt idx="162">
                  <c:v>2.7294872878105889E-12</c:v>
                </c:pt>
                <c:pt idx="163">
                  <c:v>2.7294872878105889E-12</c:v>
                </c:pt>
                <c:pt idx="164">
                  <c:v>2.7294872878105889E-12</c:v>
                </c:pt>
                <c:pt idx="165">
                  <c:v>2.7294872878105889E-12</c:v>
                </c:pt>
                <c:pt idx="166">
                  <c:v>2.7294872878105889E-12</c:v>
                </c:pt>
                <c:pt idx="167">
                  <c:v>2.7294872878105889E-12</c:v>
                </c:pt>
                <c:pt idx="168">
                  <c:v>2.7294872878105889E-12</c:v>
                </c:pt>
                <c:pt idx="169">
                  <c:v>2.7294872878105889E-12</c:v>
                </c:pt>
                <c:pt idx="170">
                  <c:v>2.7294872878105889E-12</c:v>
                </c:pt>
                <c:pt idx="171">
                  <c:v>2.7294872878105889E-12</c:v>
                </c:pt>
                <c:pt idx="172">
                  <c:v>2.7294872878105889E-12</c:v>
                </c:pt>
                <c:pt idx="173">
                  <c:v>2.7294872878105889E-12</c:v>
                </c:pt>
                <c:pt idx="174">
                  <c:v>2.7294872878105889E-12</c:v>
                </c:pt>
                <c:pt idx="175">
                  <c:v>2.7294872878105889E-12</c:v>
                </c:pt>
                <c:pt idx="176">
                  <c:v>2.7294872878105889E-12</c:v>
                </c:pt>
                <c:pt idx="177">
                  <c:v>2.7294872878105889E-12</c:v>
                </c:pt>
                <c:pt idx="178">
                  <c:v>2.7294872878105889E-12</c:v>
                </c:pt>
                <c:pt idx="179">
                  <c:v>2.7294872878105889E-12</c:v>
                </c:pt>
                <c:pt idx="180">
                  <c:v>2.7294872878105889E-12</c:v>
                </c:pt>
                <c:pt idx="181">
                  <c:v>2.7294872878105889E-12</c:v>
                </c:pt>
                <c:pt idx="182">
                  <c:v>2.7294872878105889E-12</c:v>
                </c:pt>
                <c:pt idx="183">
                  <c:v>2.7294872878105889E-12</c:v>
                </c:pt>
                <c:pt idx="184">
                  <c:v>2.7294872878105889E-12</c:v>
                </c:pt>
                <c:pt idx="185">
                  <c:v>2.7294872878105889E-12</c:v>
                </c:pt>
                <c:pt idx="186">
                  <c:v>2.7294872878105889E-12</c:v>
                </c:pt>
                <c:pt idx="187">
                  <c:v>2.7294872878105889E-12</c:v>
                </c:pt>
                <c:pt idx="188">
                  <c:v>2.7294872878105889E-12</c:v>
                </c:pt>
                <c:pt idx="189">
                  <c:v>2.7294872878105889E-12</c:v>
                </c:pt>
                <c:pt idx="190">
                  <c:v>2.7294872878105889E-12</c:v>
                </c:pt>
                <c:pt idx="191">
                  <c:v>2.7294872878105889E-12</c:v>
                </c:pt>
                <c:pt idx="192">
                  <c:v>2.7294872878105889E-12</c:v>
                </c:pt>
                <c:pt idx="193">
                  <c:v>2.7294872878105889E-12</c:v>
                </c:pt>
                <c:pt idx="194">
                  <c:v>2.7294872878105889E-12</c:v>
                </c:pt>
                <c:pt idx="195">
                  <c:v>2.7294872878105889E-12</c:v>
                </c:pt>
                <c:pt idx="196">
                  <c:v>2.7294872878105889E-12</c:v>
                </c:pt>
                <c:pt idx="197">
                  <c:v>2.7294872878105889E-12</c:v>
                </c:pt>
                <c:pt idx="198">
                  <c:v>2.7294872878105889E-12</c:v>
                </c:pt>
                <c:pt idx="199">
                  <c:v>2.7294872878105889E-12</c:v>
                </c:pt>
                <c:pt idx="200">
                  <c:v>2.7294872878105889E-12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105.33256160896025</c:v>
                </c:pt>
                <c:pt idx="22">
                  <c:v>118.68765703693884</c:v>
                </c:pt>
                <c:pt idx="23">
                  <c:v>132.00607910533233</c:v>
                </c:pt>
                <c:pt idx="24">
                  <c:v>145.29205371594364</c:v>
                </c:pt>
                <c:pt idx="25">
                  <c:v>158.54896885113661</c:v>
                </c:pt>
                <c:pt idx="26">
                  <c:v>171.77959852127819</c:v>
                </c:pt>
                <c:pt idx="27">
                  <c:v>184.98625382636752</c:v>
                </c:pt>
                <c:pt idx="28">
                  <c:v>198.17088847838662</c:v>
                </c:pt>
                <c:pt idx="29">
                  <c:v>211.33517469493427</c:v>
                </c:pt>
                <c:pt idx="30">
                  <c:v>224.48055915021371</c:v>
                </c:pt>
                <c:pt idx="31">
                  <c:v>181.0056966472836</c:v>
                </c:pt>
                <c:pt idx="32">
                  <c:v>198.17088847838662</c:v>
                </c:pt>
                <c:pt idx="33">
                  <c:v>215.30158542445329</c:v>
                </c:pt>
                <c:pt idx="34">
                  <c:v>232.40091885863032</c:v>
                </c:pt>
                <c:pt idx="35">
                  <c:v>249.47152135339442</c:v>
                </c:pt>
                <c:pt idx="36">
                  <c:v>266.51563557170846</c:v>
                </c:pt>
                <c:pt idx="37">
                  <c:v>283.53519379457327</c:v>
                </c:pt>
                <c:pt idx="38">
                  <c:v>300.53187732710791</c:v>
                </c:pt>
                <c:pt idx="39">
                  <c:v>317.50716174761413</c:v>
                </c:pt>
                <c:pt idx="40">
                  <c:v>334.46235196533485</c:v>
                </c:pt>
                <c:pt idx="41">
                  <c:v>264.64617237974602</c:v>
                </c:pt>
                <c:pt idx="42">
                  <c:v>281.875781441058</c:v>
                </c:pt>
                <c:pt idx="43">
                  <c:v>299.08179593347916</c:v>
                </c:pt>
                <c:pt idx="44">
                  <c:v>316.26576406048815</c:v>
                </c:pt>
                <c:pt idx="45">
                  <c:v>333.42905204366178</c:v>
                </c:pt>
                <c:pt idx="46">
                  <c:v>350.57287397635611</c:v>
                </c:pt>
                <c:pt idx="47">
                  <c:v>367.69831552955276</c:v>
                </c:pt>
                <c:pt idx="48">
                  <c:v>384.80635300902651</c:v>
                </c:pt>
                <c:pt idx="49">
                  <c:v>401.89786884571572</c:v>
                </c:pt>
                <c:pt idx="50">
                  <c:v>418.97366431319239</c:v>
                </c:pt>
                <c:pt idx="51">
                  <c:v>348.5083475091464</c:v>
                </c:pt>
                <c:pt idx="52">
                  <c:v>364.60467177597531</c:v>
                </c:pt>
                <c:pt idx="53">
                  <c:v>380.6854771904396</c:v>
                </c:pt>
                <c:pt idx="54">
                  <c:v>396.75151144221542</c:v>
                </c:pt>
                <c:pt idx="55">
                  <c:v>412.80345673799087</c:v>
                </c:pt>
                <c:pt idx="56">
                  <c:v>428.8419379127327</c:v>
                </c:pt>
                <c:pt idx="57">
                  <c:v>444.8675292642634</c:v>
                </c:pt>
                <c:pt idx="58">
                  <c:v>460.88076035176641</c:v>
                </c:pt>
                <c:pt idx="59">
                  <c:v>476.88212094653846</c:v>
                </c:pt>
                <c:pt idx="60">
                  <c:v>492.87206528378442</c:v>
                </c:pt>
                <c:pt idx="61">
                  <c:v>421.02996350009477</c:v>
                </c:pt>
                <c:pt idx="62">
                  <c:v>435.41806774560138</c:v>
                </c:pt>
                <c:pt idx="63">
                  <c:v>449.7959702900439</c:v>
                </c:pt>
                <c:pt idx="64">
                  <c:v>464.16404310302801</c:v>
                </c:pt>
                <c:pt idx="65">
                  <c:v>478.5226332523373</c:v>
                </c:pt>
                <c:pt idx="66">
                  <c:v>492.87206528378442</c:v>
                </c:pt>
                <c:pt idx="67">
                  <c:v>507.21264330953494</c:v>
                </c:pt>
                <c:pt idx="68">
                  <c:v>521.54465284801927</c:v>
                </c:pt>
                <c:pt idx="69">
                  <c:v>535.86836245112841</c:v>
                </c:pt>
                <c:pt idx="70">
                  <c:v>550.18402514843262</c:v>
                </c:pt>
                <c:pt idx="71">
                  <c:v>476.67704847595706</c:v>
                </c:pt>
                <c:pt idx="72">
                  <c:v>489.18306881439611</c:v>
                </c:pt>
                <c:pt idx="73">
                  <c:v>501.6823078361254</c:v>
                </c:pt>
                <c:pt idx="74">
                  <c:v>514.17495828122071</c:v>
                </c:pt>
                <c:pt idx="75">
                  <c:v>526.66120276156892</c:v>
                </c:pt>
                <c:pt idx="76">
                  <c:v>539.14121452564848</c:v>
                </c:pt>
                <c:pt idx="77">
                  <c:v>551.61515814882478</c:v>
                </c:pt>
                <c:pt idx="78">
                  <c:v>564.0831901579752</c:v>
                </c:pt>
                <c:pt idx="79">
                  <c:v>576.54545959803352</c:v>
                </c:pt>
                <c:pt idx="80">
                  <c:v>589.00210854701334</c:v>
                </c:pt>
                <c:pt idx="81">
                  <c:v>514.58444394878381</c:v>
                </c:pt>
                <c:pt idx="82">
                  <c:v>526.04727227111459</c:v>
                </c:pt>
                <c:pt idx="83">
                  <c:v>537.50484084926575</c:v>
                </c:pt>
                <c:pt idx="84">
                  <c:v>548.95727759071076</c:v>
                </c:pt>
                <c:pt idx="85">
                  <c:v>560.4047046315701</c:v>
                </c:pt>
                <c:pt idx="86">
                  <c:v>571.84723871208837</c:v>
                </c:pt>
                <c:pt idx="87">
                  <c:v>583.28499152050256</c:v>
                </c:pt>
                <c:pt idx="88">
                  <c:v>594.71807000854108</c:v>
                </c:pt>
                <c:pt idx="89">
                  <c:v>606.14657668140865</c:v>
                </c:pt>
                <c:pt idx="90">
                  <c:v>617.57060986477029</c:v>
                </c:pt>
                <c:pt idx="91">
                  <c:v>541.80009933248812</c:v>
                </c:pt>
                <c:pt idx="92">
                  <c:v>551.81959936072542</c:v>
                </c:pt>
                <c:pt idx="93">
                  <c:v>561.83528663769869</c:v>
                </c:pt>
                <c:pt idx="94">
                  <c:v>571.84723871208837</c:v>
                </c:pt>
                <c:pt idx="95">
                  <c:v>581.85553019581005</c:v>
                </c:pt>
                <c:pt idx="96">
                  <c:v>591.86023292490881</c:v>
                </c:pt>
                <c:pt idx="97">
                  <c:v>601.86141610901029</c:v>
                </c:pt>
                <c:pt idx="98">
                  <c:v>611.85914647032121</c:v>
                </c:pt>
                <c:pt idx="99">
                  <c:v>621.85348837307913</c:v>
                </c:pt>
                <c:pt idx="100">
                  <c:v>631.84450394424505</c:v>
                </c:pt>
                <c:pt idx="101">
                  <c:v>555.09044325536786</c:v>
                </c:pt>
                <c:pt idx="102">
                  <c:v>564.0831901579752</c:v>
                </c:pt>
                <c:pt idx="103">
                  <c:v>573.072938996895</c:v>
                </c:pt>
                <c:pt idx="104">
                  <c:v>582.05974343549497</c:v>
                </c:pt>
                <c:pt idx="105">
                  <c:v>591.04365534487897</c:v>
                </c:pt>
                <c:pt idx="106">
                  <c:v>600.02472489066179</c:v>
                </c:pt>
                <c:pt idx="107">
                  <c:v>609.00300061428106</c:v>
                </c:pt>
                <c:pt idx="108">
                  <c:v>617.97852950926347</c:v>
                </c:pt>
                <c:pt idx="109">
                  <c:v>626.95135709283238</c:v>
                </c:pt>
                <c:pt idx="110">
                  <c:v>635.9215274732029</c:v>
                </c:pt>
                <c:pt idx="111">
                  <c:v>563.87884304786564</c:v>
                </c:pt>
                <c:pt idx="112">
                  <c:v>571.43865976099494</c:v>
                </c:pt>
                <c:pt idx="113">
                  <c:v>578.99638763382347</c:v>
                </c:pt>
                <c:pt idx="114">
                  <c:v>586.55205778199377</c:v>
                </c:pt>
                <c:pt idx="115">
                  <c:v>594.10570045401585</c:v>
                </c:pt>
                <c:pt idx="116">
                  <c:v>601.65734506638853</c:v>
                </c:pt>
                <c:pt idx="117">
                  <c:v>609.20702023686715</c:v>
                </c:pt>
                <c:pt idx="118">
                  <c:v>616.75475381599517</c:v>
                </c:pt>
                <c:pt idx="119">
                  <c:v>624.3005729170128</c:v>
                </c:pt>
                <c:pt idx="120">
                  <c:v>631.84450394424448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174.22927696087757</c:v>
                </c:pt>
                <c:pt idx="22">
                  <c:v>191.80061564080484</c:v>
                </c:pt>
                <c:pt idx="23">
                  <c:v>209.3344847569399</c:v>
                </c:pt>
                <c:pt idx="24">
                  <c:v>226.83446508061613</c:v>
                </c:pt>
                <c:pt idx="25">
                  <c:v>244.30353923844885</c:v>
                </c:pt>
                <c:pt idx="26">
                  <c:v>261.74422819048431</c:v>
                </c:pt>
                <c:pt idx="27">
                  <c:v>279.15868935410384</c:v>
                </c:pt>
                <c:pt idx="28">
                  <c:v>296.54878892259609</c:v>
                </c:pt>
                <c:pt idx="29">
                  <c:v>313.91615631143918</c:v>
                </c:pt>
                <c:pt idx="30">
                  <c:v>331.26222591378041</c:v>
                </c:pt>
                <c:pt idx="31">
                  <c:v>285.34825454721073</c:v>
                </c:pt>
                <c:pt idx="32">
                  <c:v>304.56723069319679</c:v>
                </c:pt>
                <c:pt idx="33">
                  <c:v>323.75924405165364</c:v>
                </c:pt>
                <c:pt idx="34">
                  <c:v>342.92611721533939</c:v>
                </c:pt>
                <c:pt idx="35">
                  <c:v>362.06945244173676</c:v>
                </c:pt>
                <c:pt idx="36">
                  <c:v>381.19066877305704</c:v>
                </c:pt>
                <c:pt idx="37">
                  <c:v>400.29103131634889</c:v>
                </c:pt>
                <c:pt idx="38">
                  <c:v>419.3716746420655</c:v>
                </c:pt>
                <c:pt idx="39">
                  <c:v>438.43362170168365</c:v>
                </c:pt>
                <c:pt idx="40">
                  <c:v>457.47779928386626</c:v>
                </c:pt>
                <c:pt idx="41">
                  <c:v>374.54223769767958</c:v>
                </c:pt>
                <c:pt idx="42">
                  <c:v>392.81938482304872</c:v>
                </c:pt>
                <c:pt idx="43">
                  <c:v>411.07809777850667</c:v>
                </c:pt>
                <c:pt idx="44">
                  <c:v>429.3193102010203</c:v>
                </c:pt>
                <c:pt idx="45">
                  <c:v>447.54386995067097</c:v>
                </c:pt>
                <c:pt idx="46">
                  <c:v>465.75255023516047</c:v>
                </c:pt>
                <c:pt idx="47">
                  <c:v>483.94605890429256</c:v>
                </c:pt>
                <c:pt idx="48">
                  <c:v>502.12504627431434</c:v>
                </c:pt>
                <c:pt idx="49">
                  <c:v>520.29011176051074</c:v>
                </c:pt>
                <c:pt idx="50">
                  <c:v>538.44180953565865</c:v>
                </c:pt>
                <c:pt idx="51">
                  <c:v>437.10815848543353</c:v>
                </c:pt>
                <c:pt idx="52">
                  <c:v>453.17366886059966</c:v>
                </c:pt>
                <c:pt idx="53">
                  <c:v>469.22700746867486</c:v>
                </c:pt>
                <c:pt idx="54">
                  <c:v>485.26864921222455</c:v>
                </c:pt>
                <c:pt idx="55">
                  <c:v>501.29903504753059</c:v>
                </c:pt>
                <c:pt idx="56">
                  <c:v>517.31857544145475</c:v>
                </c:pt>
                <c:pt idx="57">
                  <c:v>533.32765337796297</c:v>
                </c:pt>
                <c:pt idx="58">
                  <c:v>549.32662698500246</c:v>
                </c:pt>
                <c:pt idx="59">
                  <c:v>565.31583183955229</c:v>
                </c:pt>
                <c:pt idx="60">
                  <c:v>581.29558299844416</c:v>
                </c:pt>
                <c:pt idx="61">
                  <c:v>477.49732710594367</c:v>
                </c:pt>
                <c:pt idx="62">
                  <c:v>492.54153399430999</c:v>
                </c:pt>
                <c:pt idx="63">
                  <c:v>507.57600167435936</c:v>
                </c:pt>
                <c:pt idx="64">
                  <c:v>522.6010591481828</c:v>
                </c:pt>
                <c:pt idx="65">
                  <c:v>537.61701496454418</c:v>
                </c:pt>
                <c:pt idx="66">
                  <c:v>552.62415903802355</c:v>
                </c:pt>
                <c:pt idx="67">
                  <c:v>567.622764260351</c:v>
                </c:pt>
                <c:pt idx="68">
                  <c:v>582.61308793264345</c:v>
                </c:pt>
                <c:pt idx="69">
                  <c:v>597.59537304263813</c:v>
                </c:pt>
                <c:pt idx="70">
                  <c:v>612.56984940724203</c:v>
                </c:pt>
                <c:pt idx="71">
                  <c:v>512.86059483221413</c:v>
                </c:pt>
                <c:pt idx="72">
                  <c:v>526.89224796595829</c:v>
                </c:pt>
                <c:pt idx="73">
                  <c:v>540.91603412545055</c:v>
                </c:pt>
                <c:pt idx="74">
                  <c:v>554.9321859329973</c:v>
                </c:pt>
                <c:pt idx="75">
                  <c:v>568.94092330618594</c:v>
                </c:pt>
                <c:pt idx="76">
                  <c:v>582.94245445400566</c:v>
                </c:pt>
                <c:pt idx="77">
                  <c:v>596.93697677232785</c:v>
                </c:pt>
                <c:pt idx="78">
                  <c:v>610.92467765108358</c:v>
                </c:pt>
                <c:pt idx="79">
                  <c:v>624.90573520370583</c:v>
                </c:pt>
                <c:pt idx="80">
                  <c:v>638.88031892793185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88.604515874249628</c:v>
                </c:pt>
                <c:pt idx="22">
                  <c:v>107.64673049632451</c:v>
                </c:pt>
                <c:pt idx="23">
                  <c:v>126.60577905771989</c:v>
                </c:pt>
                <c:pt idx="24">
                  <c:v>145.49590494002624</c:v>
                </c:pt>
                <c:pt idx="25">
                  <c:v>164.32733101016137</c:v>
                </c:pt>
                <c:pt idx="26">
                  <c:v>183.10773726938677</c:v>
                </c:pt>
                <c:pt idx="27">
                  <c:v>201.84309572728614</c:v>
                </c:pt>
                <c:pt idx="28">
                  <c:v>220.5381772591908</c:v>
                </c:pt>
                <c:pt idx="29">
                  <c:v>239.19687684557539</c:v>
                </c:pt>
                <c:pt idx="30">
                  <c:v>257.82243167737909</c:v>
                </c:pt>
                <c:pt idx="31">
                  <c:v>207.18847292383805</c:v>
                </c:pt>
                <c:pt idx="32">
                  <c:v>228.33394726860402</c:v>
                </c:pt>
                <c:pt idx="33">
                  <c:v>249.43461587449633</c:v>
                </c:pt>
                <c:pt idx="34">
                  <c:v>270.49480146562342</c:v>
                </c:pt>
                <c:pt idx="35">
                  <c:v>291.51809832598582</c:v>
                </c:pt>
                <c:pt idx="36">
                  <c:v>312.50753986462513</c:v>
                </c:pt>
                <c:pt idx="37">
                  <c:v>333.46571873146576</c:v>
                </c:pt>
                <c:pt idx="38">
                  <c:v>354.39487511932111</c:v>
                </c:pt>
                <c:pt idx="39">
                  <c:v>375.2969630977293</c:v>
                </c:pt>
                <c:pt idx="40">
                  <c:v>396.17370138775294</c:v>
                </c:pt>
                <c:pt idx="41">
                  <c:v>304.76763100544389</c:v>
                </c:pt>
                <c:pt idx="42">
                  <c:v>327.16106643674817</c:v>
                </c:pt>
                <c:pt idx="43">
                  <c:v>349.52066488969604</c:v>
                </c:pt>
                <c:pt idx="44">
                  <c:v>371.84889400619704</c:v>
                </c:pt>
                <c:pt idx="45">
                  <c:v>394.14790100388433</c:v>
                </c:pt>
                <c:pt idx="46">
                  <c:v>416.41957043134624</c:v>
                </c:pt>
                <c:pt idx="47">
                  <c:v>438.66556891849217</c:v>
                </c:pt>
                <c:pt idx="48">
                  <c:v>460.88738037445069</c:v>
                </c:pt>
                <c:pt idx="49">
                  <c:v>483.08633404340503</c:v>
                </c:pt>
                <c:pt idx="50">
                  <c:v>505.26362713560337</c:v>
                </c:pt>
                <c:pt idx="51">
                  <c:v>414.19358464515182</c:v>
                </c:pt>
                <c:pt idx="52">
                  <c:v>436.23993334519031</c:v>
                </c:pt>
                <c:pt idx="53">
                  <c:v>458.26238188505073</c:v>
                </c:pt>
                <c:pt idx="54">
                  <c:v>480.26223943969472</c:v>
                </c:pt>
                <c:pt idx="55">
                  <c:v>502.24068555006193</c:v>
                </c:pt>
                <c:pt idx="56">
                  <c:v>524.1987881853928</c:v>
                </c:pt>
                <c:pt idx="57">
                  <c:v>546.13751862266372</c:v>
                </c:pt>
                <c:pt idx="58">
                  <c:v>568.05776381182022</c:v>
                </c:pt>
                <c:pt idx="59">
                  <c:v>589.96033673415036</c:v>
                </c:pt>
                <c:pt idx="60">
                  <c:v>611.84598514336142</c:v>
                </c:pt>
                <c:pt idx="61">
                  <c:v>519.76846801482941</c:v>
                </c:pt>
                <c:pt idx="62">
                  <c:v>540.30244864194128</c:v>
                </c:pt>
                <c:pt idx="63">
                  <c:v>560.82004275683369</c:v>
                </c:pt>
                <c:pt idx="64">
                  <c:v>581.32193370692278</c:v>
                </c:pt>
                <c:pt idx="65">
                  <c:v>601.80875275182643</c:v>
                </c:pt>
                <c:pt idx="66">
                  <c:v>622.28108470755717</c:v>
                </c:pt>
                <c:pt idx="67">
                  <c:v>642.73947280986852</c:v>
                </c:pt>
                <c:pt idx="68">
                  <c:v>663.18442292667976</c:v>
                </c:pt>
                <c:pt idx="69">
                  <c:v>683.61640722447521</c:v>
                </c:pt>
                <c:pt idx="70">
                  <c:v>704.03586737397018</c:v>
                </c:pt>
                <c:pt idx="71">
                  <c:v>610.0395372269636</c:v>
                </c:pt>
                <c:pt idx="72">
                  <c:v>628.29968180581488</c:v>
                </c:pt>
                <c:pt idx="73">
                  <c:v>646.54884972316245</c:v>
                </c:pt>
                <c:pt idx="74">
                  <c:v>664.78739416253609</c:v>
                </c:pt>
                <c:pt idx="75">
                  <c:v>683.01564736527234</c:v>
                </c:pt>
                <c:pt idx="76">
                  <c:v>701.23392240940484</c:v>
                </c:pt>
                <c:pt idx="77">
                  <c:v>719.44251479424065</c:v>
                </c:pt>
                <c:pt idx="78">
                  <c:v>737.64170385632281</c:v>
                </c:pt>
                <c:pt idx="79">
                  <c:v>755.83175403851749</c:v>
                </c:pt>
                <c:pt idx="80">
                  <c:v>774.01291603070547</c:v>
                </c:pt>
                <c:pt idx="81">
                  <c:v>678.20917722811055</c:v>
                </c:pt>
                <c:pt idx="82">
                  <c:v>694.42824285219115</c:v>
                </c:pt>
                <c:pt idx="83">
                  <c:v>710.63955125759185</c:v>
                </c:pt>
                <c:pt idx="84">
                  <c:v>726.84330418631168</c:v>
                </c:pt>
                <c:pt idx="85">
                  <c:v>743.03969365962223</c:v>
                </c:pt>
                <c:pt idx="86">
                  <c:v>759.22890265245906</c:v>
                </c:pt>
                <c:pt idx="87">
                  <c:v>775.41110570735873</c:v>
                </c:pt>
                <c:pt idx="88">
                  <c:v>791.58646949452748</c:v>
                </c:pt>
                <c:pt idx="89">
                  <c:v>807.75515332379609</c:v>
                </c:pt>
                <c:pt idx="90">
                  <c:v>823.91730961349674</c:v>
                </c:pt>
                <c:pt idx="91">
                  <c:v>732.84281558384134</c:v>
                </c:pt>
                <c:pt idx="92">
                  <c:v>747.63735177702301</c:v>
                </c:pt>
                <c:pt idx="93">
                  <c:v>762.4259370887321</c:v>
                </c:pt>
                <c:pt idx="94">
                  <c:v>777.20870311644478</c:v>
                </c:pt>
                <c:pt idx="95">
                  <c:v>791.98577604761658</c:v>
                </c:pt>
                <c:pt idx="96">
                  <c:v>806.75727698095568</c:v>
                </c:pt>
                <c:pt idx="97">
                  <c:v>821.52332222296673</c:v>
                </c:pt>
                <c:pt idx="98">
                  <c:v>836.28402356208392</c:v>
                </c:pt>
                <c:pt idx="99">
                  <c:v>851.0394885224664</c:v>
                </c:pt>
                <c:pt idx="100">
                  <c:v>865.78982059929149</c:v>
                </c:pt>
                <c:pt idx="101">
                  <c:v>781.00335472441873</c:v>
                </c:pt>
                <c:pt idx="102">
                  <c:v>793.98224781237093</c:v>
                </c:pt>
                <c:pt idx="103">
                  <c:v>806.95685424084456</c:v>
                </c:pt>
                <c:pt idx="104">
                  <c:v>819.92725259304473</c:v>
                </c:pt>
                <c:pt idx="105">
                  <c:v>832.89351876520675</c:v>
                </c:pt>
                <c:pt idx="106">
                  <c:v>845.85572609973644</c:v>
                </c:pt>
                <c:pt idx="107">
                  <c:v>858.813945509772</c:v>
                </c:pt>
                <c:pt idx="108">
                  <c:v>871.76824559584395</c:v>
                </c:pt>
                <c:pt idx="109">
                  <c:v>884.7186927552483</c:v>
                </c:pt>
                <c:pt idx="110">
                  <c:v>897.66535128468695</c:v>
                </c:pt>
                <c:pt idx="111">
                  <c:v>819.52822541118576</c:v>
                </c:pt>
                <c:pt idx="112">
                  <c:v>831.09843332609398</c:v>
                </c:pt>
                <c:pt idx="113">
                  <c:v>842.66540160662237</c:v>
                </c:pt>
                <c:pt idx="114">
                  <c:v>854.22918095738203</c:v>
                </c:pt>
                <c:pt idx="115">
                  <c:v>865.78982059929149</c:v>
                </c:pt>
                <c:pt idx="116">
                  <c:v>877.34736833263833</c:v>
                </c:pt>
                <c:pt idx="117">
                  <c:v>888.90187059664174</c:v>
                </c:pt>
                <c:pt idx="118">
                  <c:v>900.45337252576564</c:v>
                </c:pt>
                <c:pt idx="119">
                  <c:v>912.00191800299206</c:v>
                </c:pt>
                <c:pt idx="120">
                  <c:v>923.54754971025875</c:v>
                </c:pt>
                <c:pt idx="121">
                  <c:v>847.84955614220053</c:v>
                </c:pt>
                <c:pt idx="122">
                  <c:v>857.81729940942466</c:v>
                </c:pt>
                <c:pt idx="123">
                  <c:v>867.78272051916895</c:v>
                </c:pt>
                <c:pt idx="124">
                  <c:v>877.74584987995604</c:v>
                </c:pt>
                <c:pt idx="125">
                  <c:v>887.70671715416586</c:v>
                </c:pt>
                <c:pt idx="126">
                  <c:v>897.66535128468706</c:v>
                </c:pt>
                <c:pt idx="127">
                  <c:v>907.62178052032448</c:v>
                </c:pt>
                <c:pt idx="128">
                  <c:v>917.57603244003349</c:v>
                </c:pt>
                <c:pt idx="129">
                  <c:v>927.52813397605132</c:v>
                </c:pt>
                <c:pt idx="130">
                  <c:v>937.47811143598312</c:v>
                </c:pt>
                <c:pt idx="131">
                  <c:v>863.19891326424261</c:v>
                </c:pt>
                <c:pt idx="132">
                  <c:v>870.57262645919525</c:v>
                </c:pt>
                <c:pt idx="133">
                  <c:v>877.94508929628148</c:v>
                </c:pt>
                <c:pt idx="134">
                  <c:v>885.31631375039387</c:v>
                </c:pt>
                <c:pt idx="135">
                  <c:v>892.68631158085884</c:v>
                </c:pt>
                <c:pt idx="136">
                  <c:v>900.05509433710222</c:v>
                </c:pt>
                <c:pt idx="137">
                  <c:v>907.42267336411896</c:v>
                </c:pt>
                <c:pt idx="138">
                  <c:v>914.78905980775846</c:v>
                </c:pt>
                <c:pt idx="139">
                  <c:v>922.15426461982952</c:v>
                </c:pt>
                <c:pt idx="140">
                  <c:v>929.51829856303345</c:v>
                </c:pt>
                <c:pt idx="141">
                  <c:v>877.74584987995593</c:v>
                </c:pt>
                <c:pt idx="142">
                  <c:v>885.71472326683886</c:v>
                </c:pt>
                <c:pt idx="143">
                  <c:v>893.68216378653767</c:v>
                </c:pt>
                <c:pt idx="144">
                  <c:v>901.64818600715569</c:v>
                </c:pt>
                <c:pt idx="145">
                  <c:v>909.61280421853905</c:v>
                </c:pt>
                <c:pt idx="146">
                  <c:v>917.57603244003337</c:v>
                </c:pt>
                <c:pt idx="147">
                  <c:v>925.53788442795587</c:v>
                </c:pt>
                <c:pt idx="148">
                  <c:v>933.49837368279975</c:v>
                </c:pt>
                <c:pt idx="149">
                  <c:v>941.45751345617691</c:v>
                </c:pt>
                <c:pt idx="150">
                  <c:v>949.41531675751673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43.694196003064881</c:v>
                </c:pt>
                <c:pt idx="12">
                  <c:v>65.967637157193224</c:v>
                </c:pt>
                <c:pt idx="13">
                  <c:v>88.043909645773326</c:v>
                </c:pt>
                <c:pt idx="14">
                  <c:v>109.98019761370591</c:v>
                </c:pt>
                <c:pt idx="15">
                  <c:v>131.8085611384661</c:v>
                </c:pt>
                <c:pt idx="16">
                  <c:v>153.54945750312902</c:v>
                </c:pt>
                <c:pt idx="17">
                  <c:v>175.21703901575162</c:v>
                </c:pt>
                <c:pt idx="18">
                  <c:v>196.82165695831426</c:v>
                </c:pt>
                <c:pt idx="19">
                  <c:v>218.37119819211662</c:v>
                </c:pt>
                <c:pt idx="20">
                  <c:v>239.87186299455311</c:v>
                </c:pt>
                <c:pt idx="21">
                  <c:v>147.72423485433481</c:v>
                </c:pt>
                <c:pt idx="22">
                  <c:v>173.28198421740612</c:v>
                </c:pt>
                <c:pt idx="23">
                  <c:v>198.75099238593933</c:v>
                </c:pt>
                <c:pt idx="24">
                  <c:v>224.14424082064872</c:v>
                </c:pt>
                <c:pt idx="25">
                  <c:v>249.47152135339448</c:v>
                </c:pt>
                <c:pt idx="26">
                  <c:v>274.74047191396772</c:v>
                </c:pt>
                <c:pt idx="27">
                  <c:v>299.95720938207864</c:v>
                </c:pt>
                <c:pt idx="28">
                  <c:v>325.1267377323847</c:v>
                </c:pt>
                <c:pt idx="29">
                  <c:v>350.25322285655176</c:v>
                </c:pt>
                <c:pt idx="30">
                  <c:v>375.34018425536209</c:v>
                </c:pt>
                <c:pt idx="31">
                  <c:v>274.91455293818166</c:v>
                </c:pt>
                <c:pt idx="32">
                  <c:v>295.96058121474732</c:v>
                </c:pt>
                <c:pt idx="33">
                  <c:v>316.97324046406396</c:v>
                </c:pt>
                <c:pt idx="34">
                  <c:v>337.95505284834667</c:v>
                </c:pt>
                <c:pt idx="35">
                  <c:v>358.90820183854038</c:v>
                </c:pt>
                <c:pt idx="36">
                  <c:v>379.83459522522372</c:v>
                </c:pt>
                <c:pt idx="37">
                  <c:v>400.73591351024589</c:v>
                </c:pt>
                <c:pt idx="38">
                  <c:v>421.61364767176138</c:v>
                </c:pt>
                <c:pt idx="39">
                  <c:v>442.46912905732142</c:v>
                </c:pt>
                <c:pt idx="40">
                  <c:v>463.30355334692075</c:v>
                </c:pt>
                <c:pt idx="41">
                  <c:v>358.38903311439248</c:v>
                </c:pt>
                <c:pt idx="42">
                  <c:v>374.30284650982253</c:v>
                </c:pt>
                <c:pt idx="43">
                  <c:v>390.20192247554218</c:v>
                </c:pt>
                <c:pt idx="44">
                  <c:v>406.08694591135946</c:v>
                </c:pt>
                <c:pt idx="45">
                  <c:v>421.95854377334371</c:v>
                </c:pt>
                <c:pt idx="46">
                  <c:v>437.81729201638274</c:v>
                </c:pt>
                <c:pt idx="47">
                  <c:v>453.66372147844748</c:v>
                </c:pt>
                <c:pt idx="48">
                  <c:v>469.49832289995237</c:v>
                </c:pt>
                <c:pt idx="49">
                  <c:v>485.32155123080787</c:v>
                </c:pt>
                <c:pt idx="50">
                  <c:v>501.13382934663628</c:v>
                </c:pt>
                <c:pt idx="51">
                  <c:v>438.85112479761938</c:v>
                </c:pt>
                <c:pt idx="52">
                  <c:v>450.56427866764187</c:v>
                </c:pt>
                <c:pt idx="53">
                  <c:v>462.27092062343581</c:v>
                </c:pt>
                <c:pt idx="54">
                  <c:v>473.97123882058969</c:v>
                </c:pt>
                <c:pt idx="55">
                  <c:v>485.66541136738368</c:v>
                </c:pt>
                <c:pt idx="56">
                  <c:v>497.35360709544074</c:v>
                </c:pt>
                <c:pt idx="57">
                  <c:v>509.0359862541668</c:v>
                </c:pt>
                <c:pt idx="58">
                  <c:v>520.71270113813011</c:v>
                </c:pt>
                <c:pt idx="59">
                  <c:v>532.38389665524505</c:v>
                </c:pt>
                <c:pt idx="60">
                  <c:v>544.04971084254669</c:v>
                </c:pt>
                <c:pt idx="61">
                  <c:v>500.96201419474897</c:v>
                </c:pt>
                <c:pt idx="62">
                  <c:v>509.37949916607187</c:v>
                </c:pt>
                <c:pt idx="63">
                  <c:v>517.79404539703103</c:v>
                </c:pt>
                <c:pt idx="64">
                  <c:v>526.20570739021298</c:v>
                </c:pt>
                <c:pt idx="65">
                  <c:v>534.61453776319524</c:v>
                </c:pt>
                <c:pt idx="66">
                  <c:v>543.02058734300351</c:v>
                </c:pt>
                <c:pt idx="67">
                  <c:v>551.42390525441863</c:v>
                </c:pt>
                <c:pt idx="68">
                  <c:v>559.82453900261726</c:v>
                </c:pt>
                <c:pt idx="69">
                  <c:v>568.22253455059774</c:v>
                </c:pt>
                <c:pt idx="70">
                  <c:v>576.617936391787</c:v>
                </c:pt>
                <c:pt idx="71">
                  <c:v>538.73213090432318</c:v>
                </c:pt>
                <c:pt idx="72">
                  <c:v>545.42181195220826</c:v>
                </c:pt>
                <c:pt idx="73">
                  <c:v>552.10977125790407</c:v>
                </c:pt>
                <c:pt idx="74">
                  <c:v>558.79603262623436</c:v>
                </c:pt>
                <c:pt idx="75">
                  <c:v>565.48061924570573</c:v>
                </c:pt>
                <c:pt idx="76">
                  <c:v>572.16355371171937</c:v>
                </c:pt>
                <c:pt idx="77">
                  <c:v>578.84485804864448</c:v>
                </c:pt>
                <c:pt idx="78">
                  <c:v>585.52455373081636</c:v>
                </c:pt>
                <c:pt idx="79">
                  <c:v>592.20266170252955</c:v>
                </c:pt>
                <c:pt idx="80">
                  <c:v>598.8792023970791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35.510532128484947</c:v>
                </c:pt>
                <c:pt idx="12">
                  <c:v>53.600149408127372</c:v>
                </c:pt>
                <c:pt idx="13">
                  <c:v>71.526506453380094</c:v>
                </c:pt>
                <c:pt idx="14">
                  <c:v>89.336953064344058</c:v>
                </c:pt>
                <c:pt idx="15">
                  <c:v>107.05803572977591</c:v>
                </c:pt>
                <c:pt idx="16">
                  <c:v>124.70669355518986</c:v>
                </c:pt>
                <c:pt idx="17">
                  <c:v>142.29464498034955</c:v>
                </c:pt>
                <c:pt idx="18">
                  <c:v>159.83046110714733</c:v>
                </c:pt>
                <c:pt idx="19">
                  <c:v>177.32067243991443</c:v>
                </c:pt>
                <c:pt idx="20">
                  <c:v>194.77041295233732</c:v>
                </c:pt>
                <c:pt idx="21">
                  <c:v>119.97806421034859</c:v>
                </c:pt>
                <c:pt idx="22">
                  <c:v>140.72397143205976</c:v>
                </c:pt>
                <c:pt idx="23">
                  <c:v>161.3963988836461</c:v>
                </c:pt>
                <c:pt idx="24">
                  <c:v>182.0060955160782</c:v>
                </c:pt>
                <c:pt idx="25">
                  <c:v>202.56116919355532</c:v>
                </c:pt>
                <c:pt idx="26">
                  <c:v>223.06794429933834</c:v>
                </c:pt>
                <c:pt idx="27">
                  <c:v>243.53148575189388</c:v>
                </c:pt>
                <c:pt idx="28">
                  <c:v>263.95593695845781</c:v>
                </c:pt>
                <c:pt idx="29">
                  <c:v>284.34474737408362</c:v>
                </c:pt>
                <c:pt idx="30">
                  <c:v>304.70083122716068</c:v>
                </c:pt>
                <c:pt idx="31">
                  <c:v>223.20921499711051</c:v>
                </c:pt>
                <c:pt idx="32">
                  <c:v>240.28825077375674</c:v>
                </c:pt>
                <c:pt idx="33">
                  <c:v>257.33965622083264</c:v>
                </c:pt>
                <c:pt idx="34">
                  <c:v>274.36551974723051</c:v>
                </c:pt>
                <c:pt idx="35">
                  <c:v>291.36764931760479</c:v>
                </c:pt>
                <c:pt idx="36">
                  <c:v>308.34762462686342</c:v>
                </c:pt>
                <c:pt idx="37">
                  <c:v>325.30683716956827</c:v>
                </c:pt>
                <c:pt idx="38">
                  <c:v>342.2465215102593</c:v>
                </c:pt>
                <c:pt idx="39">
                  <c:v>359.1677800356303</c:v>
                </c:pt>
                <c:pt idx="40">
                  <c:v>376.07160279648701</c:v>
                </c:pt>
                <c:pt idx="41">
                  <c:v>290.94638285624382</c:v>
                </c:pt>
                <c:pt idx="42">
                  <c:v>303.85912608153961</c:v>
                </c:pt>
                <c:pt idx="43">
                  <c:v>316.75966637275286</c:v>
                </c:pt>
                <c:pt idx="44">
                  <c:v>329.6485708428317</c:v>
                </c:pt>
                <c:pt idx="45">
                  <c:v>342.52635862596281</c:v>
                </c:pt>
                <c:pt idx="46">
                  <c:v>355.39350662617022</c:v>
                </c:pt>
                <c:pt idx="47">
                  <c:v>368.25045438962235</c:v>
                </c:pt>
                <c:pt idx="48">
                  <c:v>381.09760826078076</c:v>
                </c:pt>
                <c:pt idx="49">
                  <c:v>393.93534494873688</c:v>
                </c:pt>
                <c:pt idx="50">
                  <c:v>406.76401460432777</c:v>
                </c:pt>
                <c:pt idx="51">
                  <c:v>356.23230957994434</c:v>
                </c:pt>
                <c:pt idx="52">
                  <c:v>365.73574755728509</c:v>
                </c:pt>
                <c:pt idx="53">
                  <c:v>375.23379351840293</c:v>
                </c:pt>
                <c:pt idx="54">
                  <c:v>384.72660326049504</c:v>
                </c:pt>
                <c:pt idx="55">
                  <c:v>394.21432426135425</c:v>
                </c:pt>
                <c:pt idx="56">
                  <c:v>403.69709631748555</c:v>
                </c:pt>
                <c:pt idx="57">
                  <c:v>413.17505211911862</c:v>
                </c:pt>
                <c:pt idx="58">
                  <c:v>422.64831776969322</c:v>
                </c:pt>
                <c:pt idx="59">
                  <c:v>432.11701325632799</c:v>
                </c:pt>
                <c:pt idx="60">
                  <c:v>441.58125287689404</c:v>
                </c:pt>
                <c:pt idx="61">
                  <c:v>406.62462010146777</c:v>
                </c:pt>
                <c:pt idx="62">
                  <c:v>413.45374392164439</c:v>
                </c:pt>
                <c:pt idx="63">
                  <c:v>420.2804343965463</c:v>
                </c:pt>
                <c:pt idx="64">
                  <c:v>427.10473665558146</c:v>
                </c:pt>
                <c:pt idx="65">
                  <c:v>433.92669426732567</c:v>
                </c:pt>
                <c:pt idx="66">
                  <c:v>440.74634931773704</c:v>
                </c:pt>
                <c:pt idx="67">
                  <c:v>447.56374248327444</c:v>
                </c:pt>
                <c:pt idx="68">
                  <c:v>454.37891309932837</c:v>
                </c:pt>
                <c:pt idx="69">
                  <c:v>461.19189922432815</c:v>
                </c:pt>
                <c:pt idx="70">
                  <c:v>468.00273769986529</c:v>
                </c:pt>
                <c:pt idx="71">
                  <c:v>437.26721861984942</c:v>
                </c:pt>
                <c:pt idx="72">
                  <c:v>442.69440499626506</c:v>
                </c:pt>
                <c:pt idx="73">
                  <c:v>448.12016573015973</c:v>
                </c:pt>
                <c:pt idx="74">
                  <c:v>453.54452053248087</c:v>
                </c:pt>
                <c:pt idx="75">
                  <c:v>458.96748860384969</c:v>
                </c:pt>
                <c:pt idx="76">
                  <c:v>464.38908865378403</c:v>
                </c:pt>
                <c:pt idx="77">
                  <c:v>469.8093389189724</c:v>
                </c:pt>
                <c:pt idx="78">
                  <c:v>475.22825718066389</c:v>
                </c:pt>
                <c:pt idx="79">
                  <c:v>480.64586078122005</c:v>
                </c:pt>
                <c:pt idx="80">
                  <c:v>486.06216663988408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158" zoomScale="80" zoomScaleNormal="80" workbookViewId="0">
      <selection activeCell="L110" sqref="L11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3.94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0.28000000000000003</v>
      </c>
      <c r="D9" s="33">
        <f t="shared" ref="D9:D18" si="0">C9*$C$5</f>
        <v>1.1032000000000002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25</v>
      </c>
      <c r="C10" s="32">
        <v>0.28000000000000003</v>
      </c>
      <c r="D10" s="33">
        <f t="shared" si="0"/>
        <v>1.1032000000000002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</v>
      </c>
      <c r="C11" s="32">
        <v>0.1</v>
      </c>
      <c r="D11" s="33">
        <f t="shared" si="0"/>
        <v>0.39400000000000002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29</v>
      </c>
      <c r="C12" s="32">
        <v>0.1</v>
      </c>
      <c r="D12" s="33">
        <f t="shared" si="0"/>
        <v>0.39400000000000002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6</v>
      </c>
      <c r="C13" s="32">
        <v>0.1</v>
      </c>
      <c r="D13" s="33">
        <f t="shared" si="0"/>
        <v>0.39400000000000002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5</v>
      </c>
      <c r="C14" s="32">
        <v>0.1</v>
      </c>
      <c r="D14" s="33">
        <f t="shared" si="0"/>
        <v>0.39400000000000002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4</v>
      </c>
      <c r="C15" s="32">
        <v>0.04</v>
      </c>
      <c r="D15" s="33">
        <f t="shared" si="0"/>
        <v>0.15759999999999999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3.9400000000000008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301</v>
      </c>
      <c r="C40" s="60">
        <v>5</v>
      </c>
      <c r="D40" s="60">
        <f t="shared" ref="D40:D43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v>358</v>
      </c>
      <c r="C43" s="60">
        <v>8</v>
      </c>
      <c r="D43" s="60">
        <f t="shared" si="2"/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v>361</v>
      </c>
      <c r="C44" s="60">
        <v>9</v>
      </c>
      <c r="D44" s="60">
        <f>28+27</f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v>358</v>
      </c>
      <c r="C45" s="60">
        <v>10</v>
      </c>
      <c r="D45" s="60">
        <f>26+25</f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306+27+28</f>
        <v>361</v>
      </c>
      <c r="C46" s="60">
        <v>11</v>
      </c>
      <c r="D46" s="60">
        <f>B46</f>
        <v>361</v>
      </c>
      <c r="E46" s="51"/>
      <c r="F46" s="51"/>
      <c r="G46" s="51"/>
      <c r="H46" s="51"/>
      <c r="I46" s="49">
        <f t="shared" si="1"/>
        <v>5.4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Hêtre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32</v>
      </c>
      <c r="C62" s="60"/>
      <c r="D62" s="60">
        <v>0</v>
      </c>
      <c r="E62" s="51"/>
      <c r="F62" s="51"/>
      <c r="G62" s="51"/>
      <c r="H62" s="51"/>
      <c r="I62" s="53">
        <f>IFERROR(B62/A62,"")</f>
        <v>1.6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123</v>
      </c>
      <c r="C63" s="60">
        <v>1</v>
      </c>
      <c r="D63" s="60">
        <f>28+7</f>
        <v>35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9.1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191</v>
      </c>
      <c r="C64" s="60">
        <v>2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10.3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245</v>
      </c>
      <c r="C65" s="60">
        <v>3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298</v>
      </c>
      <c r="C66" s="60">
        <v>4</v>
      </c>
      <c r="D66" s="60">
        <f>28+28</f>
        <v>56</v>
      </c>
      <c r="E66" s="51"/>
      <c r="F66" s="51"/>
      <c r="G66" s="51"/>
      <c r="H66" s="51"/>
      <c r="I66" s="49">
        <f t="shared" ref="I66:I81" si="3">IF(A66&lt;&gt;0,(B66-(B65-D65))/(A66-A65),"")</f>
        <v>10.9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344</v>
      </c>
      <c r="C67" s="60">
        <v>5</v>
      </c>
      <c r="D67" s="60">
        <f>28+28</f>
        <v>56</v>
      </c>
      <c r="E67" s="51"/>
      <c r="F67" s="51"/>
      <c r="G67" s="51"/>
      <c r="H67" s="51"/>
      <c r="I67" s="49">
        <f t="shared" si="3"/>
        <v>10.199999999999999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379</v>
      </c>
      <c r="C68" s="60">
        <v>6</v>
      </c>
      <c r="D68" s="60">
        <f>28+28</f>
        <v>56</v>
      </c>
      <c r="E68" s="51"/>
      <c r="F68" s="51"/>
      <c r="G68" s="51"/>
      <c r="H68" s="51"/>
      <c r="I68" s="49">
        <f t="shared" si="3"/>
        <v>9.1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404</v>
      </c>
      <c r="C69" s="50">
        <v>7</v>
      </c>
      <c r="D69" s="50">
        <f>27+26</f>
        <v>53</v>
      </c>
      <c r="E69" s="51"/>
      <c r="F69" s="51"/>
      <c r="G69" s="51"/>
      <c r="H69" s="51"/>
      <c r="I69" s="49">
        <f t="shared" si="3"/>
        <v>8.1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425</v>
      </c>
      <c r="C70" s="50">
        <v>8</v>
      </c>
      <c r="D70" s="50">
        <f>25+24</f>
        <v>49</v>
      </c>
      <c r="E70" s="51"/>
      <c r="F70" s="51"/>
      <c r="G70" s="51"/>
      <c r="H70" s="51"/>
      <c r="I70" s="49">
        <f t="shared" si="3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v>441</v>
      </c>
      <c r="C71" s="50">
        <v>9</v>
      </c>
      <c r="D71" s="50">
        <f>23+22</f>
        <v>45</v>
      </c>
      <c r="E71" s="51"/>
      <c r="F71" s="51"/>
      <c r="G71" s="51"/>
      <c r="H71" s="51"/>
      <c r="I71" s="49">
        <f t="shared" si="3"/>
        <v>6.5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v>454</v>
      </c>
      <c r="C72" s="50">
        <v>10</v>
      </c>
      <c r="D72" s="50">
        <f>22+21</f>
        <v>43</v>
      </c>
      <c r="E72" s="51"/>
      <c r="F72" s="51"/>
      <c r="G72" s="51"/>
      <c r="H72" s="51"/>
      <c r="I72" s="49">
        <f t="shared" si="3"/>
        <v>5.8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130</v>
      </c>
      <c r="B73" s="50">
        <v>461</v>
      </c>
      <c r="C73" s="50">
        <v>11</v>
      </c>
      <c r="D73" s="50">
        <f>21+20</f>
        <v>41</v>
      </c>
      <c r="E73" s="51"/>
      <c r="F73" s="51"/>
      <c r="G73" s="51"/>
      <c r="H73" s="51"/>
      <c r="I73" s="49">
        <f t="shared" si="3"/>
        <v>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140</v>
      </c>
      <c r="B74" s="50">
        <v>457</v>
      </c>
      <c r="C74" s="50">
        <v>12</v>
      </c>
      <c r="D74" s="50">
        <f>20+10</f>
        <v>30</v>
      </c>
      <c r="E74" s="51"/>
      <c r="F74" s="51"/>
      <c r="G74" s="51"/>
      <c r="H74" s="51"/>
      <c r="I74" s="49">
        <f t="shared" si="3"/>
        <v>3.7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150</v>
      </c>
      <c r="B75" s="50">
        <f>429+19+19</f>
        <v>467</v>
      </c>
      <c r="C75" s="50">
        <v>13</v>
      </c>
      <c r="D75" s="50">
        <f>B75</f>
        <v>467</v>
      </c>
      <c r="E75" s="51"/>
      <c r="F75" s="51"/>
      <c r="G75" s="51"/>
      <c r="H75" s="51"/>
      <c r="I75" s="49">
        <f t="shared" si="3"/>
        <v>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Alisier torminal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105</v>
      </c>
      <c r="C89" s="60">
        <v>1</v>
      </c>
      <c r="D89" s="60">
        <f>21+8</f>
        <v>29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158</v>
      </c>
      <c r="C90" s="60">
        <v>2</v>
      </c>
      <c r="D90" s="60">
        <f>21+21</f>
        <v>42</v>
      </c>
      <c r="E90" s="87"/>
      <c r="F90" s="87"/>
      <c r="G90" s="87"/>
      <c r="H90" s="87"/>
      <c r="I90" s="53">
        <f t="shared" si="4"/>
        <v>8.1999999999999993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199</v>
      </c>
      <c r="C91" s="60">
        <v>3</v>
      </c>
      <c r="D91" s="60">
        <f t="shared" ref="D91:D96" si="5">21+21</f>
        <v>42</v>
      </c>
      <c r="E91" s="87"/>
      <c r="F91" s="87"/>
      <c r="G91" s="87"/>
      <c r="H91" s="87"/>
      <c r="I91" s="53">
        <f t="shared" si="4"/>
        <v>8.3000000000000007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235</v>
      </c>
      <c r="C92" s="60">
        <v>4</v>
      </c>
      <c r="D92" s="60">
        <f t="shared" si="5"/>
        <v>42</v>
      </c>
      <c r="E92" s="87"/>
      <c r="F92" s="87"/>
      <c r="G92" s="87"/>
      <c r="H92" s="87"/>
      <c r="I92" s="53">
        <f t="shared" si="4"/>
        <v>7.8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263</v>
      </c>
      <c r="C93" s="60">
        <v>5</v>
      </c>
      <c r="D93" s="60">
        <f t="shared" si="5"/>
        <v>42</v>
      </c>
      <c r="E93" s="87"/>
      <c r="F93" s="87"/>
      <c r="G93" s="87"/>
      <c r="H93" s="87"/>
      <c r="I93" s="53">
        <f t="shared" si="4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282</v>
      </c>
      <c r="C94" s="60">
        <v>6</v>
      </c>
      <c r="D94" s="60">
        <f t="shared" si="5"/>
        <v>42</v>
      </c>
      <c r="E94" s="87"/>
      <c r="F94" s="87"/>
      <c r="G94" s="87"/>
      <c r="H94" s="87"/>
      <c r="I94" s="53">
        <f t="shared" si="4"/>
        <v>6.1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296</v>
      </c>
      <c r="C95" s="60">
        <v>7</v>
      </c>
      <c r="D95" s="60">
        <f t="shared" si="5"/>
        <v>42</v>
      </c>
      <c r="E95" s="87"/>
      <c r="F95" s="87"/>
      <c r="G95" s="87"/>
      <c r="H95" s="87"/>
      <c r="I95" s="53">
        <f t="shared" si="4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303</v>
      </c>
      <c r="C96" s="60">
        <v>8</v>
      </c>
      <c r="D96" s="60">
        <f t="shared" si="5"/>
        <v>42</v>
      </c>
      <c r="E96" s="87"/>
      <c r="F96" s="87"/>
      <c r="G96" s="87"/>
      <c r="H96" s="87"/>
      <c r="I96" s="53">
        <f t="shared" si="4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v>305</v>
      </c>
      <c r="C97" s="60">
        <v>9</v>
      </c>
      <c r="D97" s="60">
        <f>20+19</f>
        <v>39</v>
      </c>
      <c r="E97" s="87"/>
      <c r="F97" s="87"/>
      <c r="G97" s="87"/>
      <c r="H97" s="87"/>
      <c r="I97" s="53">
        <f t="shared" si="4"/>
        <v>4.4000000000000004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268+17+18</f>
        <v>303</v>
      </c>
      <c r="C98" s="60">
        <v>10</v>
      </c>
      <c r="D98" s="60">
        <f>B98</f>
        <v>303</v>
      </c>
      <c r="E98" s="87"/>
      <c r="F98" s="87"/>
      <c r="G98" s="87"/>
      <c r="H98" s="87"/>
      <c r="I98" s="53">
        <f t="shared" si="4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117</v>
      </c>
      <c r="C114" s="50">
        <v>1</v>
      </c>
      <c r="D114" s="60">
        <v>27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5.85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178+16</f>
        <v>194</v>
      </c>
      <c r="C115" s="50">
        <v>2</v>
      </c>
      <c r="D115" s="60">
        <v>39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6">IF(A115&lt;&gt;0,(B115-(B114-D114))/(A115-A114),"")</f>
        <v>10.4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241+29</f>
        <v>270</v>
      </c>
      <c r="C116" s="50">
        <v>3</v>
      </c>
      <c r="D116" s="60">
        <v>61</v>
      </c>
      <c r="E116" s="51"/>
      <c r="F116" s="51"/>
      <c r="G116" s="51"/>
      <c r="H116" s="51"/>
      <c r="I116" s="53">
        <f t="shared" si="6"/>
        <v>11.5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283+36</f>
        <v>319</v>
      </c>
      <c r="C117" s="50">
        <v>4</v>
      </c>
      <c r="D117" s="60">
        <v>71</v>
      </c>
      <c r="E117" s="51"/>
      <c r="F117" s="51"/>
      <c r="G117" s="51"/>
      <c r="H117" s="51"/>
      <c r="I117" s="53">
        <f t="shared" si="6"/>
        <v>11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310+35</f>
        <v>345</v>
      </c>
      <c r="C118" s="50">
        <v>5</v>
      </c>
      <c r="D118" s="60">
        <v>72</v>
      </c>
      <c r="E118" s="51"/>
      <c r="F118" s="51"/>
      <c r="G118" s="51"/>
      <c r="H118" s="51"/>
      <c r="I118" s="53">
        <f t="shared" si="6"/>
        <v>9.6999999999999993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327+37</f>
        <v>364</v>
      </c>
      <c r="C119" s="50">
        <v>6</v>
      </c>
      <c r="D119" s="60">
        <v>69</v>
      </c>
      <c r="E119" s="51"/>
      <c r="F119" s="51"/>
      <c r="G119" s="51"/>
      <c r="H119" s="51"/>
      <c r="I119" s="53">
        <f t="shared" si="6"/>
        <v>9.1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349+31</f>
        <v>380</v>
      </c>
      <c r="C120" s="60">
        <v>7</v>
      </c>
      <c r="D120" s="60">
        <f>B120</f>
        <v>380</v>
      </c>
      <c r="E120" s="87"/>
      <c r="F120" s="87"/>
      <c r="G120" s="87"/>
      <c r="H120" s="87"/>
      <c r="I120" s="53">
        <f t="shared" si="6"/>
        <v>8.5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32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123</v>
      </c>
      <c r="C141" s="50">
        <v>1</v>
      </c>
      <c r="D141" s="60">
        <f>28+7</f>
        <v>35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7">IF(A141&lt;&gt;0,(B141-(B140-D140))/(A141-A140),"")</f>
        <v>9.1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191</v>
      </c>
      <c r="C142" s="50">
        <v>2</v>
      </c>
      <c r="D142" s="60">
        <f>28+28</f>
        <v>56</v>
      </c>
      <c r="E142" s="51"/>
      <c r="F142" s="51"/>
      <c r="G142" s="51"/>
      <c r="H142" s="51"/>
      <c r="I142" s="57">
        <f t="shared" si="7"/>
        <v>10.3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245</v>
      </c>
      <c r="C143" s="50">
        <v>3</v>
      </c>
      <c r="D143" s="60">
        <f>28+28</f>
        <v>56</v>
      </c>
      <c r="E143" s="51"/>
      <c r="F143" s="51"/>
      <c r="G143" s="51"/>
      <c r="H143" s="51"/>
      <c r="I143" s="57">
        <f t="shared" si="7"/>
        <v>11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298</v>
      </c>
      <c r="C144" s="50">
        <v>4</v>
      </c>
      <c r="D144" s="60">
        <f>28+28</f>
        <v>56</v>
      </c>
      <c r="E144" s="51"/>
      <c r="F144" s="51"/>
      <c r="G144" s="51"/>
      <c r="H144" s="51"/>
      <c r="I144" s="57">
        <f t="shared" si="7"/>
        <v>10.9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344</v>
      </c>
      <c r="C145" s="50">
        <v>5</v>
      </c>
      <c r="D145" s="60">
        <f>28+28</f>
        <v>56</v>
      </c>
      <c r="E145" s="51"/>
      <c r="F145" s="51"/>
      <c r="G145" s="51"/>
      <c r="H145" s="51"/>
      <c r="I145" s="57">
        <f t="shared" si="7"/>
        <v>10.199999999999999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379</v>
      </c>
      <c r="C146" s="50">
        <v>6</v>
      </c>
      <c r="D146" s="60">
        <f>28+28</f>
        <v>56</v>
      </c>
      <c r="E146" s="51"/>
      <c r="F146" s="51"/>
      <c r="G146" s="51"/>
      <c r="H146" s="51"/>
      <c r="I146" s="57">
        <f t="shared" si="7"/>
        <v>9.1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404</v>
      </c>
      <c r="C147" s="50">
        <v>7</v>
      </c>
      <c r="D147" s="60">
        <f>27+26</f>
        <v>53</v>
      </c>
      <c r="E147" s="51"/>
      <c r="F147" s="51"/>
      <c r="G147" s="51"/>
      <c r="H147" s="51"/>
      <c r="I147" s="57">
        <f>IF(A147&lt;&gt;0,(B147-(B146-D146))/(A147-A146),"")</f>
        <v>8.1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425</v>
      </c>
      <c r="C148" s="50">
        <v>8</v>
      </c>
      <c r="D148" s="60">
        <f>25+24</f>
        <v>49</v>
      </c>
      <c r="E148" s="51"/>
      <c r="F148" s="51"/>
      <c r="G148" s="51"/>
      <c r="H148" s="51"/>
      <c r="I148" s="57">
        <f t="shared" si="7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441</v>
      </c>
      <c r="C149" s="50">
        <v>9</v>
      </c>
      <c r="D149" s="60">
        <f>23+22</f>
        <v>45</v>
      </c>
      <c r="E149" s="51"/>
      <c r="F149" s="51"/>
      <c r="G149" s="51"/>
      <c r="H149" s="51"/>
      <c r="I149" s="57">
        <f t="shared" si="7"/>
        <v>6.5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v>454</v>
      </c>
      <c r="C150" s="50">
        <v>10</v>
      </c>
      <c r="D150" s="60">
        <f>22+21</f>
        <v>43</v>
      </c>
      <c r="E150" s="51"/>
      <c r="F150" s="51"/>
      <c r="G150" s="51"/>
      <c r="H150" s="51"/>
      <c r="I150" s="57">
        <f t="shared" si="7"/>
        <v>5.8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130</v>
      </c>
      <c r="B151" s="60">
        <v>461</v>
      </c>
      <c r="C151" s="50">
        <v>11</v>
      </c>
      <c r="D151" s="60">
        <f>21+20</f>
        <v>41</v>
      </c>
      <c r="E151" s="51"/>
      <c r="F151" s="51"/>
      <c r="G151" s="51"/>
      <c r="H151" s="51"/>
      <c r="I151" s="57">
        <f t="shared" si="7"/>
        <v>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140</v>
      </c>
      <c r="B152" s="60">
        <v>457</v>
      </c>
      <c r="C152" s="50">
        <v>12</v>
      </c>
      <c r="D152" s="60">
        <f>20+10</f>
        <v>30</v>
      </c>
      <c r="E152" s="54"/>
      <c r="F152" s="54"/>
      <c r="G152" s="54"/>
      <c r="H152" s="54"/>
      <c r="I152" s="57">
        <f t="shared" si="7"/>
        <v>3.7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150</v>
      </c>
      <c r="B153" s="60">
        <f>429+19+19</f>
        <v>467</v>
      </c>
      <c r="C153" s="50">
        <v>13</v>
      </c>
      <c r="D153" s="60">
        <f>B153</f>
        <v>467</v>
      </c>
      <c r="E153" s="54"/>
      <c r="F153" s="54"/>
      <c r="G153" s="54"/>
      <c r="H153" s="54"/>
      <c r="I153" s="57">
        <f t="shared" si="7"/>
        <v>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Bouleau verruqueux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134</v>
      </c>
      <c r="C167" s="60">
        <v>2</v>
      </c>
      <c r="D167" s="60">
        <f>32+35</f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8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212</v>
      </c>
      <c r="C168" s="60">
        <v>3</v>
      </c>
      <c r="D168" s="60">
        <f>35+35</f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8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40</v>
      </c>
      <c r="B169" s="60">
        <v>263</v>
      </c>
      <c r="C169" s="60">
        <v>4</v>
      </c>
      <c r="D169" s="60">
        <f>35+35</f>
        <v>70</v>
      </c>
      <c r="E169" s="51"/>
      <c r="F169" s="51"/>
      <c r="G169" s="51"/>
      <c r="H169" s="51"/>
      <c r="I169" s="49">
        <f t="shared" si="8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50</v>
      </c>
      <c r="B170" s="60">
        <v>285</v>
      </c>
      <c r="C170" s="60">
        <v>5</v>
      </c>
      <c r="D170" s="60">
        <f>24+19</f>
        <v>43</v>
      </c>
      <c r="E170" s="51"/>
      <c r="F170" s="51"/>
      <c r="G170" s="51"/>
      <c r="H170" s="51"/>
      <c r="I170" s="49">
        <f t="shared" si="8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60</v>
      </c>
      <c r="B171" s="60">
        <v>310</v>
      </c>
      <c r="C171" s="60">
        <v>6</v>
      </c>
      <c r="D171" s="60">
        <f>16+14</f>
        <v>30</v>
      </c>
      <c r="E171" s="51"/>
      <c r="F171" s="51"/>
      <c r="G171" s="51"/>
      <c r="H171" s="51"/>
      <c r="I171" s="49">
        <f t="shared" si="8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70</v>
      </c>
      <c r="B172" s="60">
        <v>329</v>
      </c>
      <c r="C172" s="60">
        <v>7</v>
      </c>
      <c r="D172" s="60">
        <f>13+13</f>
        <v>26</v>
      </c>
      <c r="E172" s="51"/>
      <c r="F172" s="51"/>
      <c r="G172" s="51"/>
      <c r="H172" s="51"/>
      <c r="I172" s="49">
        <f t="shared" si="8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80</v>
      </c>
      <c r="B173" s="50">
        <f>319+12+11</f>
        <v>342</v>
      </c>
      <c r="C173" s="50">
        <v>8</v>
      </c>
      <c r="D173" s="50">
        <f>B173</f>
        <v>342</v>
      </c>
      <c r="E173" s="51"/>
      <c r="F173" s="51"/>
      <c r="G173" s="51"/>
      <c r="H173" s="51"/>
      <c r="I173" s="49">
        <f t="shared" si="8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Aulne glutineux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10</v>
      </c>
      <c r="B192" s="60">
        <v>11</v>
      </c>
      <c r="C192" s="60">
        <v>1</v>
      </c>
      <c r="D192" s="60">
        <v>0</v>
      </c>
      <c r="E192" s="51"/>
      <c r="F192" s="51">
        <v>0.25</v>
      </c>
      <c r="G192" s="51">
        <v>0.25</v>
      </c>
      <c r="H192" s="51">
        <v>0.5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134</v>
      </c>
      <c r="C193" s="60">
        <v>2</v>
      </c>
      <c r="D193" s="60">
        <f>32+35</f>
        <v>67</v>
      </c>
      <c r="E193" s="51"/>
      <c r="F193" s="51">
        <v>0.25</v>
      </c>
      <c r="G193" s="51">
        <v>0.25</v>
      </c>
      <c r="H193" s="51">
        <v>0.5</v>
      </c>
      <c r="I193" s="49">
        <f t="shared" ref="I193:I211" si="9">IF(A193&lt;&gt;0,(B193-(B192-D192))/(A193-A192),"")</f>
        <v>12.3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30</v>
      </c>
      <c r="B194" s="60">
        <v>212</v>
      </c>
      <c r="C194" s="60">
        <v>3</v>
      </c>
      <c r="D194" s="60">
        <f>35+35</f>
        <v>70</v>
      </c>
      <c r="E194" s="51">
        <v>0.1</v>
      </c>
      <c r="F194" s="51">
        <v>0.45</v>
      </c>
      <c r="G194" s="51">
        <v>0.45</v>
      </c>
      <c r="H194" s="51"/>
      <c r="I194" s="49">
        <f t="shared" si="9"/>
        <v>14.5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40</v>
      </c>
      <c r="B195" s="60">
        <v>263</v>
      </c>
      <c r="C195" s="60">
        <v>4</v>
      </c>
      <c r="D195" s="60">
        <f>35+35</f>
        <v>70</v>
      </c>
      <c r="E195" s="51"/>
      <c r="F195" s="51"/>
      <c r="G195" s="51"/>
      <c r="H195" s="51"/>
      <c r="I195" s="49">
        <f t="shared" si="9"/>
        <v>12.1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50</v>
      </c>
      <c r="B196" s="60">
        <v>285</v>
      </c>
      <c r="C196" s="60">
        <v>5</v>
      </c>
      <c r="D196" s="60">
        <f>24+19</f>
        <v>43</v>
      </c>
      <c r="E196" s="51"/>
      <c r="F196" s="51"/>
      <c r="G196" s="51"/>
      <c r="H196" s="51"/>
      <c r="I196" s="49">
        <f t="shared" si="9"/>
        <v>9.1999999999999993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60</v>
      </c>
      <c r="B197" s="60">
        <v>310</v>
      </c>
      <c r="C197" s="60">
        <v>6</v>
      </c>
      <c r="D197" s="60">
        <f>16+14</f>
        <v>30</v>
      </c>
      <c r="E197" s="51"/>
      <c r="F197" s="51"/>
      <c r="G197" s="51"/>
      <c r="H197" s="51"/>
      <c r="I197" s="49">
        <f t="shared" si="9"/>
        <v>6.8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70</v>
      </c>
      <c r="B198" s="60">
        <v>329</v>
      </c>
      <c r="C198" s="60">
        <v>7</v>
      </c>
      <c r="D198" s="60">
        <f>13+13</f>
        <v>26</v>
      </c>
      <c r="E198" s="51"/>
      <c r="F198" s="51"/>
      <c r="G198" s="51"/>
      <c r="H198" s="51"/>
      <c r="I198" s="49">
        <f t="shared" si="9"/>
        <v>4.9000000000000004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80</v>
      </c>
      <c r="B199" s="50">
        <f>319+12+11</f>
        <v>342</v>
      </c>
      <c r="C199" s="50">
        <v>8</v>
      </c>
      <c r="D199" s="50">
        <f>B199</f>
        <v>342</v>
      </c>
      <c r="E199" s="51"/>
      <c r="F199" s="51"/>
      <c r="G199" s="51"/>
      <c r="H199" s="51"/>
      <c r="I199" s="49">
        <f t="shared" si="9"/>
        <v>3.9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31" sqref="C3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Hêtre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Alisier torminal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Charme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Bouleau verruqueux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Aulne glutineux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351.15781452544906</v>
      </c>
      <c r="T3" s="59">
        <f>IF('Données projet'!E9&gt;30,$R$33-$H$33,LOOKUP('Données projet'!$E$9,$A$3:$A$203,R3:R203)-LOOKUP('Données projet'!$E$9,$A$3:$A$203,$H$3:$H$203))</f>
        <v>271.54361159160169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405.59933429804329</v>
      </c>
      <c r="AO3" s="59">
        <f>IF('Données projet'!E10&gt;30,$AM$33-$H$33,LOOKUP('Données projet'!$E$10,$A$3:$A$203,AM3:AM203)-LOOKUP('Données projet'!$E$10,$A$3:$A$203,$H$3:$H$203))</f>
        <v>208.64922573363776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293.19327646293601</v>
      </c>
      <c r="BJ3" s="59">
        <f>IF('Données projet'!E11&gt;30,$BH$33-$H$33,LOOKUP('Données projet'!$E$11,$A$3:$A$203,BH3:BH203)-LOOKUP('Données projet'!$E$11,$A$3:$A$203,$H$3:$H$203))</f>
        <v>200.0769581869605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295.95249585728561</v>
      </c>
      <c r="CE3" s="59">
        <f>IF('Données projet'!E12&gt;30,$CC$33-$H$33,LOOKUP('Données projet'!$E$12,$A$3:$A$203,CC3:CC203)-LOOKUP('Données projet'!$E$12,$A$3:$A$203,$H$3:$H$203))</f>
        <v>306.85862495052709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461.10546083340631</v>
      </c>
      <c r="CZ3" s="59">
        <f>IF('Données projet'!E13&gt;30,$CX$33-$H$33,LOOKUP('Données projet'!$E$13,$A$3:$A$203,CX3:CX203)-LOOKUP('Données projet'!$E$13,$A$3:$A$203,$H$3:$H$203))</f>
        <v>233.41883071412587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296.376932094327</v>
      </c>
      <c r="DU3" s="59">
        <f>IF('Données projet'!E14&gt;30,$DS$33-$H$33,LOOKUP('Données projet'!$E$14,$A$3:$A$203,DS3:DS203)-LOOKUP('Données projet'!$E$14,$A$3:$A$203,$H$3:$H$203))</f>
        <v>350.93658329210882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231.03244099494077</v>
      </c>
      <c r="EP3" s="59">
        <f>IF('Données projet'!E15&gt;30,$EN$33-$H$33,LOOKUP('Données projet'!$E$15,$A$3:$A$203,EN3:EN203)-LOOKUP('Données projet'!$E$15,$A$3:$A$203,$H$3:$H$203))</f>
        <v>280.29723026390741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260.72987866106189</v>
      </c>
      <c r="S4" s="59">
        <f ca="1">AVERAGE(OFFSET($R$3,0,0,'Données projet'!$E$9+1,1))-AVERAGE(OFFSET($H$3,0,0,'Données projet'!$E$9+1,1))</f>
        <v>351.15781452544906</v>
      </c>
      <c r="T4" s="59">
        <f>$T$3</f>
        <v>271.54361159160169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1.6</v>
      </c>
      <c r="AI4" s="13">
        <f>IF('Données projet'!$A$62&gt;35,AI3+AH4-AQ3,IF(A4&lt;'Données projet'!$A$62,$AF$205^A4,IF(A4='Données projet'!$A$62,'Données projet'!$B$62,AI3+AH4-AQ3)))</f>
        <v>1.189207115002721</v>
      </c>
      <c r="AJ4" s="13">
        <f>AI4*VLOOKUP('Données projet'!$B$10,Paramètres!$A$1:$I$89,3,0)*VLOOKUP('Données projet'!$B$10,Paramètres!$A$1:$I$89,5,0)</f>
        <v>1.0203397046723348</v>
      </c>
      <c r="AK4" s="13">
        <f>EXP(-1.0587+0.8836*LN(AJ4)+0.284)</f>
        <v>0.46911460970544039</v>
      </c>
      <c r="AL4" s="20">
        <f t="shared" ref="AL4:AL67" si="4">(AJ4+AK4)*0.475*44/12</f>
        <v>2.594132930874625</v>
      </c>
      <c r="AM4" s="59">
        <f t="shared" ref="AM4:AM67" si="5">AL4+(AD4+AE4)*44/12</f>
        <v>260.48302181976351</v>
      </c>
      <c r="AN4" s="59">
        <f ca="1">AVERAGE(OFFSET($AM$3,0,0,'Données projet'!$E$10+1,1))-AVERAGE(OFFSET($H$3,0,0,'Données projet'!$E$10+1,1))</f>
        <v>405.59933429804329</v>
      </c>
      <c r="AO4" s="59">
        <f>$AO$3</f>
        <v>208.64922573363776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1.165946847124371</v>
      </c>
      <c r="BF4" s="13">
        <f>EXP(-1.0587+0.8836*LN(BE4)+0.284)</f>
        <v>0.52780002987456354</v>
      </c>
      <c r="BG4" s="20">
        <f t="shared" ref="BG4:BG67" si="7">(BE4+BF4)*0.475*44/12</f>
        <v>2.9499424774398109</v>
      </c>
      <c r="BH4" s="59">
        <f t="shared" ref="BH4:BH67" si="8">BG4+(AY4+AZ4)*44/12</f>
        <v>260.83883136632869</v>
      </c>
      <c r="BI4" s="59">
        <f ca="1">AVERAGE(OFFSET($BH$3,0,0,'Données projet'!$E$11+1,1))-AVERAGE(OFFSET($H$3,0,0,'Données projet'!$E$11+1,1))</f>
        <v>293.19327646293601</v>
      </c>
      <c r="BJ4" s="59">
        <f>$BJ$3</f>
        <v>200.0769581869605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5.85</v>
      </c>
      <c r="BY4" s="12">
        <f>IF('Données projet'!$A$114&gt;35,BY3+BX4-CG3,IF(A4&lt;'Données projet'!$A$114,$BV$205^A4,IF(A4='Données projet'!$A$114,'Données projet'!$B$114,BY3+BX4-CG3)))</f>
        <v>1.2688471048731957</v>
      </c>
      <c r="BZ4" s="13">
        <f>BY4*VLOOKUP('Données projet'!$B$12,Paramètres!$A$1:$I$89,3,0)*VLOOKUP('Données projet'!$B$12,Paramètres!$A$1:$I$89,5,0)</f>
        <v>0.98970074180109269</v>
      </c>
      <c r="CA4" s="13">
        <f>EXP(-1.0587+0.8836*LN(BZ4)+0.284)</f>
        <v>0.45664563134517483</v>
      </c>
      <c r="CB4" s="20">
        <f t="shared" ref="CB4:CB67" si="10">(BZ4+CA4)*0.475*44/12</f>
        <v>2.5190532665630827</v>
      </c>
      <c r="CC4" s="59">
        <f t="shared" ref="CC4:CC67" si="11">CB4+(BT4+BU4)*44/12</f>
        <v>260.40794215545196</v>
      </c>
      <c r="CD4" s="59">
        <f ca="1">AVERAGE(OFFSET($CC$3,0,0,'Données projet'!$E$12+1,1))-AVERAGE(OFFSET($H$3,0,0,'Données projet'!$E$12+1,1))</f>
        <v>295.95249585728561</v>
      </c>
      <c r="CE4" s="59">
        <f>$CE$3</f>
        <v>306.85862495052709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1.6</v>
      </c>
      <c r="CT4" s="12">
        <f>IF('Données projet'!$A$140&gt;35,CT3+CS4-DB3,IF(A4&lt;'Données projet'!$A$140,$CQ$205^A4,IF(A4='Données projet'!$A$140,'Données projet'!$B$140,CT3+CS4-DB3)))</f>
        <v>1.189207115002721</v>
      </c>
      <c r="CU4" s="17">
        <f>CT4*VLOOKUP('Données projet'!$B$13,Paramètres!$A$1:$I$89,3,0)*VLOOKUP('Données projet'!$B$13,Paramètres!$A$1:$I$89,5,0)</f>
        <v>1.1316494906365893</v>
      </c>
      <c r="CV4" s="13">
        <f>EXP(-1.0587+0.8836*LN(CU4)+0.284)</f>
        <v>0.51405777038207245</v>
      </c>
      <c r="CW4" s="20">
        <f t="shared" ref="CW4:CW67" si="13">(CU4+CV4)*0.475*44/12</f>
        <v>2.8662734796075018</v>
      </c>
      <c r="CX4" s="59">
        <f t="shared" ref="CX4:CX67" si="14">CW4+(CO4+CP4)*44/12</f>
        <v>260.75516236849637</v>
      </c>
      <c r="CY4" s="59">
        <f ca="1">AVERAGE(OFFSET($CX$3,0,0,'Données projet'!$E$13+1,1))-AVERAGE(OFFSET($H$3,0,0,'Données projet'!$E$13+1,1))</f>
        <v>461.10546083340631</v>
      </c>
      <c r="CZ4" s="59">
        <f>$CZ$3</f>
        <v>233.41883071412587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1.0310202862584663</v>
      </c>
      <c r="DQ4" s="13">
        <f>EXP(-1.0587+0.8836*LN(DP4)+0.284)</f>
        <v>0.47345092792653765</v>
      </c>
      <c r="DR4" s="20">
        <f t="shared" ref="DR4:DR67" si="16">(DP4+DQ4)*0.475*44/12</f>
        <v>2.6202873647055487</v>
      </c>
      <c r="DS4" s="59">
        <f t="shared" ref="DS4:DS67" si="17">DR4+(DJ4+DK4)*44/12</f>
        <v>260.50917625359443</v>
      </c>
      <c r="DT4" s="59">
        <f ca="1">AVERAGE(OFFSET($DS$3,0,0,'Données projet'!$E$14+1,1))-AVERAGE(OFFSET($H$3,0,0,'Données projet'!$E$14+1,1))</f>
        <v>296.376932094327</v>
      </c>
      <c r="DU4" s="59">
        <f>$DU$3</f>
        <v>350.93658329210882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0.83274715428568413</v>
      </c>
      <c r="EL4" s="13">
        <f>EXP(-1.0587+0.8836*LN(EK4)+0.284)</f>
        <v>0.39202836439738087</v>
      </c>
      <c r="EM4" s="20">
        <f t="shared" ref="EM4:EM67" si="19">(EK4+EL4)*0.475*44/12</f>
        <v>2.1331506950396717</v>
      </c>
      <c r="EN4" s="59">
        <f t="shared" ref="EN4:EN67" si="20">EM4+(EE4+EF4)*44/12</f>
        <v>260.02203958392852</v>
      </c>
      <c r="EO4" s="59">
        <f ca="1">AVERAGE(OFFSET($EN$3,0,0,'Données projet'!$E$15+1,1))-AVERAGE(OFFSET($H$3,0,0,'Données projet'!$E$15+1,1))</f>
        <v>231.03244099494077</v>
      </c>
      <c r="EP4" s="59">
        <f>$EP$3</f>
        <v>280.29723026390741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262.60472488787678</v>
      </c>
      <c r="S5" s="59">
        <f ca="1">AVERAGE(OFFSET($R$3,0,0,'Données projet'!$E$9+1,1))-AVERAGE(OFFSET($H$3,0,0,'Données projet'!$E$9+1,1))</f>
        <v>351.15781452544906</v>
      </c>
      <c r="T5" s="59">
        <f t="shared" ref="T5:T68" si="34">$T$3</f>
        <v>271.54361159160169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1.6</v>
      </c>
      <c r="AI5" s="13">
        <f>IF('Données projet'!$A$62&gt;35,AI4+AH5-AQ4,IF(A5&lt;'Données projet'!$A$62,$AF$205^A5,IF(A5='Données projet'!$A$62,'Données projet'!$B$62,AI4+AH5-AQ4)))</f>
        <v>1.4142135623730949</v>
      </c>
      <c r="AJ5" s="13">
        <f>AI5*VLOOKUP('Données projet'!$B$10,Paramètres!$A$1:$I$89,3,0)*VLOOKUP('Données projet'!$B$10,Paramètres!$A$1:$I$89,5,0)</f>
        <v>1.2133952365161156</v>
      </c>
      <c r="AK5" s="13">
        <f t="shared" ref="AK5:AK68" si="35">EXP(-1.0587+0.8836*LN(AJ5)+0.284)</f>
        <v>0.54673450619692521</v>
      </c>
      <c r="AL5" s="20">
        <f t="shared" si="4"/>
        <v>3.0655593018918794</v>
      </c>
      <c r="AM5" s="59">
        <f t="shared" si="5"/>
        <v>262.17667041300302</v>
      </c>
      <c r="AN5" s="59">
        <f ca="1">AVERAGE(OFFSET($AM$3,0,0,'Données projet'!$E$10+1,1))-AVERAGE(OFFSET($H$3,0,0,'Données projet'!$E$10+1,1))</f>
        <v>405.59933429804329</v>
      </c>
      <c r="AO5" s="59">
        <f t="shared" ref="AO5:AO68" si="36">$AO$3</f>
        <v>208.64922573363776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1.4055335507850097</v>
      </c>
      <c r="BF5" s="13">
        <f t="shared" ref="BF5:BF68" si="37">EXP(-1.0587+0.8836*LN(BE5)+0.284)</f>
        <v>0.62256480317525631</v>
      </c>
      <c r="BG5" s="20">
        <f t="shared" si="7"/>
        <v>3.5322712998141292</v>
      </c>
      <c r="BH5" s="59">
        <f t="shared" si="8"/>
        <v>262.64338241092526</v>
      </c>
      <c r="BI5" s="59">
        <f ca="1">AVERAGE(OFFSET($BH$3,0,0,'Données projet'!$E$11+1,1))-AVERAGE(OFFSET($H$3,0,0,'Données projet'!$E$11+1,1))</f>
        <v>293.19327646293601</v>
      </c>
      <c r="BJ5" s="59">
        <f t="shared" ref="BJ5:BJ68" si="38">$BJ$3</f>
        <v>200.0769581869605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5.85</v>
      </c>
      <c r="BY5" s="12">
        <f>IF('Données projet'!$A$114&gt;35,BY4+BX5-CG4,IF(A5&lt;'Données projet'!$A$114,$BV$205^A5,IF(A5='Données projet'!$A$114,'Données projet'!$B$114,BY4+BX5-CG4)))</f>
        <v>1.6099729755450907</v>
      </c>
      <c r="BZ5" s="13">
        <f>BY5*VLOOKUP('Données projet'!$B$12,Paramètres!$A$1:$I$89,3,0)*VLOOKUP('Données projet'!$B$12,Paramètres!$A$1:$I$89,5,0)</f>
        <v>1.2557789209251708</v>
      </c>
      <c r="CA5" s="13">
        <f t="shared" ref="CA5:CA68" si="39">EXP(-1.0587+0.8836*LN(BZ5)+0.284)</f>
        <v>0.56357505040869538</v>
      </c>
      <c r="CB5" s="20">
        <f t="shared" si="10"/>
        <v>3.1687081667398167</v>
      </c>
      <c r="CC5" s="59">
        <f t="shared" si="11"/>
        <v>262.27981927785095</v>
      </c>
      <c r="CD5" s="59">
        <f ca="1">AVERAGE(OFFSET($CC$3,0,0,'Données projet'!$E$12+1,1))-AVERAGE(OFFSET($H$3,0,0,'Données projet'!$E$12+1,1))</f>
        <v>295.95249585728561</v>
      </c>
      <c r="CE5" s="59">
        <f t="shared" ref="CE5:CE68" si="40">$CE$3</f>
        <v>306.85862495052709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1.6</v>
      </c>
      <c r="CT5" s="12">
        <f>IF('Données projet'!$A$140&gt;35,CT4+CS5-DB4,IF(A5&lt;'Données projet'!$A$140,$CQ$205^A5,IF(A5='Données projet'!$A$140,'Données projet'!$B$140,CT4+CS5-DB4)))</f>
        <v>1.4142135623730949</v>
      </c>
      <c r="CU5" s="17">
        <f>CT5*VLOOKUP('Données projet'!$B$13,Paramètres!$A$1:$I$89,3,0)*VLOOKUP('Données projet'!$B$13,Paramètres!$A$1:$I$89,5,0)</f>
        <v>1.3457656259542372</v>
      </c>
      <c r="CV5" s="13">
        <f t="shared" ref="CV5:CV68" si="41">EXP(-1.0587+0.8836*LN(CU5)+0.284)</f>
        <v>0.59911398074557853</v>
      </c>
      <c r="CW5" s="20">
        <f t="shared" si="13"/>
        <v>3.3873319816688454</v>
      </c>
      <c r="CX5" s="59">
        <f t="shared" si="14"/>
        <v>262.49844309278001</v>
      </c>
      <c r="CY5" s="59">
        <f ca="1">AVERAGE(OFFSET($CX$3,0,0,'Données projet'!$E$13+1,1))-AVERAGE(OFFSET($H$3,0,0,'Données projet'!$E$13+1,1))</f>
        <v>461.10546083340631</v>
      </c>
      <c r="CZ5" s="59">
        <f t="shared" ref="CZ5:CZ68" si="42">$CZ$3</f>
        <v>233.41883071412587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1.310407828743207</v>
      </c>
      <c r="DQ5" s="13">
        <f t="shared" ref="DQ5:DQ68" si="43">EXP(-1.0587+0.8836*LN(DP5)+0.284)</f>
        <v>0.58518398183877263</v>
      </c>
      <c r="DR5" s="20">
        <f t="shared" si="16"/>
        <v>3.3014890700969475</v>
      </c>
      <c r="DS5" s="59">
        <f t="shared" si="17"/>
        <v>262.41260018120806</v>
      </c>
      <c r="DT5" s="59">
        <f ca="1">AVERAGE(OFFSET($DS$3,0,0,'Données projet'!$E$14+1,1))-AVERAGE(OFFSET($H$3,0,0,'Données projet'!$E$14+1,1))</f>
        <v>296.376932094327</v>
      </c>
      <c r="DU5" s="59">
        <f t="shared" ref="DU5:DU68" si="44">$DU$3</f>
        <v>350.93658329210882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1.0584063232156671</v>
      </c>
      <c r="EL5" s="13">
        <f t="shared" ref="EL5:EL68" si="45">EXP(-1.0587+0.8836*LN(EK5)+0.284)</f>
        <v>0.48454592807852009</v>
      </c>
      <c r="EM5" s="20">
        <f t="shared" si="19"/>
        <v>2.6873085043373757</v>
      </c>
      <c r="EN5" s="59">
        <f t="shared" si="20"/>
        <v>261.79841961544849</v>
      </c>
      <c r="EO5" s="59">
        <f ca="1">AVERAGE(OFFSET($EN$3,0,0,'Données projet'!$E$15+1,1))-AVERAGE(OFFSET($H$3,0,0,'Données projet'!$E$15+1,1))</f>
        <v>231.03244099494077</v>
      </c>
      <c r="EP5" s="59">
        <f t="shared" ref="EP5:EP68" si="46">$EP$3</f>
        <v>280.29723026390741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264.63006022433916</v>
      </c>
      <c r="S6" s="59">
        <f ca="1">AVERAGE(OFFSET($R$3,0,0,'Données projet'!$E$9+1,1))-AVERAGE(OFFSET($H$3,0,0,'Données projet'!$E$9+1,1))</f>
        <v>351.15781452544906</v>
      </c>
      <c r="T6" s="59">
        <f t="shared" si="34"/>
        <v>271.54361159160169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1.6</v>
      </c>
      <c r="AI6" s="13">
        <f>IF('Données projet'!$A$62&gt;35,AI5+AH6-AQ5,IF(A6&lt;'Données projet'!$A$62,$AF$205^A6,IF(A6='Données projet'!$A$62,'Données projet'!$B$62,AI5+AH6-AQ5)))</f>
        <v>1.6817928305074288</v>
      </c>
      <c r="AJ6" s="13">
        <f>AI6*VLOOKUP('Données projet'!$B$10,Paramètres!$A$1:$I$89,3,0)*VLOOKUP('Données projet'!$B$10,Paramètres!$A$1:$I$89,5,0)</f>
        <v>1.4429782485753739</v>
      </c>
      <c r="AK6" s="13">
        <f t="shared" si="35"/>
        <v>0.6371974227238163</v>
      </c>
      <c r="AL6" s="20">
        <f t="shared" si="4"/>
        <v>3.6229726275127558</v>
      </c>
      <c r="AM6" s="59">
        <f t="shared" si="5"/>
        <v>263.95630596084607</v>
      </c>
      <c r="AN6" s="59">
        <f ca="1">AVERAGE(OFFSET($AM$3,0,0,'Données projet'!$E$10+1,1))-AVERAGE(OFFSET($H$3,0,0,'Données projet'!$E$10+1,1))</f>
        <v>405.59933429804329</v>
      </c>
      <c r="AO6" s="59">
        <f t="shared" si="36"/>
        <v>208.64922573363776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1.694352163012101</v>
      </c>
      <c r="BF6" s="13">
        <f t="shared" si="37"/>
        <v>0.73434428233124405</v>
      </c>
      <c r="BG6" s="20">
        <f t="shared" si="7"/>
        <v>4.2299796423063247</v>
      </c>
      <c r="BH6" s="59">
        <f t="shared" si="8"/>
        <v>264.56331297563963</v>
      </c>
      <c r="BI6" s="59">
        <f ca="1">AVERAGE(OFFSET($BH$3,0,0,'Données projet'!$E$11+1,1))-AVERAGE(OFFSET($H$3,0,0,'Données projet'!$E$11+1,1))</f>
        <v>293.19327646293601</v>
      </c>
      <c r="BJ6" s="59">
        <f t="shared" si="38"/>
        <v>200.0769581869605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5.85</v>
      </c>
      <c r="BY6" s="12">
        <f>IF('Données projet'!$A$114&gt;35,BY5+BX6-CG5,IF(A6&lt;'Données projet'!$A$114,$BV$205^A6,IF(A6='Données projet'!$A$114,'Données projet'!$B$114,BY5+BX6-CG5)))</f>
        <v>2.0428095489444726</v>
      </c>
      <c r="BZ6" s="13">
        <f>BY6*VLOOKUP('Données projet'!$B$12,Paramètres!$A$1:$I$89,3,0)*VLOOKUP('Données projet'!$B$12,Paramètres!$A$1:$I$89,5,0)</f>
        <v>1.5933914481766887</v>
      </c>
      <c r="CA6" s="13">
        <f t="shared" si="39"/>
        <v>0.69554336150668106</v>
      </c>
      <c r="CB6" s="20">
        <f t="shared" si="10"/>
        <v>3.9865614601985349</v>
      </c>
      <c r="CC6" s="59">
        <f t="shared" si="11"/>
        <v>264.31989479353183</v>
      </c>
      <c r="CD6" s="59">
        <f ca="1">AVERAGE(OFFSET($CC$3,0,0,'Données projet'!$E$12+1,1))-AVERAGE(OFFSET($H$3,0,0,'Données projet'!$E$12+1,1))</f>
        <v>295.95249585728561</v>
      </c>
      <c r="CE6" s="59">
        <f t="shared" si="40"/>
        <v>306.85862495052709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1.6</v>
      </c>
      <c r="CT6" s="12">
        <f>IF('Données projet'!$A$140&gt;35,CT5+CS6-DB5,IF(A6&lt;'Données projet'!$A$140,$CQ$205^A6,IF(A6='Données projet'!$A$140,'Données projet'!$B$140,CT5+CS6-DB5)))</f>
        <v>1.6817928305074288</v>
      </c>
      <c r="CU6" s="17">
        <f>CT6*VLOOKUP('Données projet'!$B$13,Paramètres!$A$1:$I$89,3,0)*VLOOKUP('Données projet'!$B$13,Paramètres!$A$1:$I$89,5,0)</f>
        <v>1.6003940575108693</v>
      </c>
      <c r="CV6" s="13">
        <f t="shared" si="41"/>
        <v>0.69824362669984286</v>
      </c>
      <c r="CW6" s="20">
        <f t="shared" si="13"/>
        <v>4.0034606333336571</v>
      </c>
      <c r="CX6" s="59">
        <f t="shared" si="14"/>
        <v>264.33679396666696</v>
      </c>
      <c r="CY6" s="59">
        <f ca="1">AVERAGE(OFFSET($CX$3,0,0,'Données projet'!$E$13+1,1))-AVERAGE(OFFSET($H$3,0,0,'Données projet'!$E$13+1,1))</f>
        <v>461.10546083340631</v>
      </c>
      <c r="CZ6" s="59">
        <f t="shared" si="42"/>
        <v>233.41883071412587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1.6655042587600553</v>
      </c>
      <c r="DQ6" s="13">
        <f t="shared" si="43"/>
        <v>0.72328571431972233</v>
      </c>
      <c r="DR6" s="20">
        <f t="shared" si="16"/>
        <v>4.1604758697806128</v>
      </c>
      <c r="DS6" s="59">
        <f t="shared" si="17"/>
        <v>264.49380920311393</v>
      </c>
      <c r="DT6" s="59">
        <f ca="1">AVERAGE(OFFSET($DS$3,0,0,'Données projet'!$E$14+1,1))-AVERAGE(OFFSET($H$3,0,0,'Données projet'!$E$14+1,1))</f>
        <v>296.376932094327</v>
      </c>
      <c r="DU6" s="59">
        <f t="shared" si="44"/>
        <v>350.93658329210882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1.3452149782292753</v>
      </c>
      <c r="EL6" s="13">
        <f t="shared" si="45"/>
        <v>0.59889737003693966</v>
      </c>
      <c r="EM6" s="20">
        <f t="shared" si="19"/>
        <v>3.3859956732303242</v>
      </c>
      <c r="EN6" s="59">
        <f t="shared" si="20"/>
        <v>263.71932900656361</v>
      </c>
      <c r="EO6" s="59">
        <f ca="1">AVERAGE(OFFSET($EN$3,0,0,'Données projet'!$E$15+1,1))-AVERAGE(OFFSET($H$3,0,0,'Données projet'!$E$15+1,1))</f>
        <v>231.03244099494077</v>
      </c>
      <c r="EP6" s="59">
        <f t="shared" si="46"/>
        <v>280.29723026390741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266.84071003350698</v>
      </c>
      <c r="S7" s="59">
        <f ca="1">AVERAGE(OFFSET($R$3,0,0,'Données projet'!$E$9+1,1))-AVERAGE(OFFSET($H$3,0,0,'Données projet'!$E$9+1,1))</f>
        <v>351.15781452544906</v>
      </c>
      <c r="T7" s="59">
        <f t="shared" si="34"/>
        <v>271.54361159160169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1.6</v>
      </c>
      <c r="AI7" s="13">
        <f>IF('Données projet'!$A$62&gt;35,AI6+AH7-AQ6,IF(A7&lt;'Données projet'!$A$62,$AF$205^A7,IF(A7='Données projet'!$A$62,'Données projet'!$B$62,AI6+AH7-AQ6)))</f>
        <v>1.9999999999999996</v>
      </c>
      <c r="AJ7" s="13">
        <f>AI7*VLOOKUP('Données projet'!$B$10,Paramètres!$A$1:$I$89,3,0)*VLOOKUP('Données projet'!$B$10,Paramètres!$A$1:$I$89,5,0)</f>
        <v>1.7159999999999997</v>
      </c>
      <c r="AK7" s="13">
        <f t="shared" si="35"/>
        <v>0.74262837066960552</v>
      </c>
      <c r="AL7" s="20">
        <f t="shared" si="4"/>
        <v>4.2821110789162296</v>
      </c>
      <c r="AM7" s="59">
        <f t="shared" si="5"/>
        <v>265.83766663447176</v>
      </c>
      <c r="AN7" s="59">
        <f ca="1">AVERAGE(OFFSET($AM$3,0,0,'Données projet'!$E$10+1,1))-AVERAGE(OFFSET($H$3,0,0,'Données projet'!$E$10+1,1))</f>
        <v>405.59933429804329</v>
      </c>
      <c r="AO7" s="59">
        <f t="shared" si="36"/>
        <v>208.64922573363776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2.042519191875845</v>
      </c>
      <c r="BF7" s="13">
        <f t="shared" si="37"/>
        <v>0.86619340226463792</v>
      </c>
      <c r="BG7" s="20">
        <f t="shared" si="7"/>
        <v>5.0660077681280073</v>
      </c>
      <c r="BH7" s="59">
        <f t="shared" si="8"/>
        <v>266.62156332368357</v>
      </c>
      <c r="BI7" s="59">
        <f ca="1">AVERAGE(OFFSET($BH$3,0,0,'Données projet'!$E$11+1,1))-AVERAGE(OFFSET($H$3,0,0,'Données projet'!$E$11+1,1))</f>
        <v>293.19327646293601</v>
      </c>
      <c r="BJ7" s="59">
        <f t="shared" si="38"/>
        <v>200.0769581869605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5.85</v>
      </c>
      <c r="BY7" s="12">
        <f>IF('Données projet'!$A$114&gt;35,BY6+BX7-CG6,IF(A7&lt;'Données projet'!$A$114,$BV$205^A7,IF(A7='Données projet'!$A$114,'Données projet'!$B$114,BY6+BX7-CG6)))</f>
        <v>2.5920129819855133</v>
      </c>
      <c r="BZ7" s="13">
        <f>BY7*VLOOKUP('Données projet'!$B$12,Paramètres!$A$1:$I$89,3,0)*VLOOKUP('Données projet'!$B$12,Paramètres!$A$1:$I$89,5,0)</f>
        <v>2.0217701259487004</v>
      </c>
      <c r="CA7" s="13">
        <f t="shared" si="39"/>
        <v>0.85841374167501538</v>
      </c>
      <c r="CB7" s="20">
        <f t="shared" si="10"/>
        <v>5.0163202361113051</v>
      </c>
      <c r="CC7" s="59">
        <f t="shared" si="11"/>
        <v>266.57187579166686</v>
      </c>
      <c r="CD7" s="59">
        <f ca="1">AVERAGE(OFFSET($CC$3,0,0,'Données projet'!$E$12+1,1))-AVERAGE(OFFSET($H$3,0,0,'Données projet'!$E$12+1,1))</f>
        <v>295.95249585728561</v>
      </c>
      <c r="CE7" s="59">
        <f t="shared" si="40"/>
        <v>306.85862495052709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1.6</v>
      </c>
      <c r="CT7" s="12">
        <f>IF('Données projet'!$A$140&gt;35,CT6+CS7-DB6,IF(A7&lt;'Données projet'!$A$140,$CQ$205^A7,IF(A7='Données projet'!$A$140,'Données projet'!$B$140,CT6+CS7-DB6)))</f>
        <v>1.9999999999999996</v>
      </c>
      <c r="CU7" s="17">
        <f>CT7*VLOOKUP('Données projet'!$B$13,Paramètres!$A$1:$I$89,3,0)*VLOOKUP('Données projet'!$B$13,Paramètres!$A$1:$I$89,5,0)</f>
        <v>1.9031999999999998</v>
      </c>
      <c r="CV7" s="13">
        <f t="shared" si="41"/>
        <v>0.81377530469280024</v>
      </c>
      <c r="CW7" s="20">
        <f t="shared" si="13"/>
        <v>4.7320653223399596</v>
      </c>
      <c r="CX7" s="59">
        <f t="shared" si="14"/>
        <v>266.28762087789551</v>
      </c>
      <c r="CY7" s="59">
        <f ca="1">AVERAGE(OFFSET($CX$3,0,0,'Données projet'!$E$13+1,1))-AVERAGE(OFFSET($H$3,0,0,'Données projet'!$E$13+1,1))</f>
        <v>461.10546083340631</v>
      </c>
      <c r="CZ7" s="59">
        <f t="shared" si="42"/>
        <v>233.41883071412587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2.116825292938223</v>
      </c>
      <c r="DQ7" s="13">
        <f t="shared" si="43"/>
        <v>0.89397905748405238</v>
      </c>
      <c r="DR7" s="20">
        <f t="shared" si="16"/>
        <v>5.2438175769854629</v>
      </c>
      <c r="DS7" s="59">
        <f t="shared" si="17"/>
        <v>266.79937313254101</v>
      </c>
      <c r="DT7" s="59">
        <f ca="1">AVERAGE(OFFSET($DS$3,0,0,'Données projet'!$E$14+1,1))-AVERAGE(OFFSET($H$3,0,0,'Données projet'!$E$14+1,1))</f>
        <v>296.376932094327</v>
      </c>
      <c r="DU7" s="59">
        <f t="shared" si="44"/>
        <v>350.93658329210882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1.7097435058347183</v>
      </c>
      <c r="EL7" s="13">
        <f t="shared" si="45"/>
        <v>0.74023542259349984</v>
      </c>
      <c r="EM7" s="20">
        <f t="shared" si="19"/>
        <v>4.2670466336791462</v>
      </c>
      <c r="EN7" s="59">
        <f t="shared" si="20"/>
        <v>265.82260218923471</v>
      </c>
      <c r="EO7" s="59">
        <f ca="1">AVERAGE(OFFSET($EN$3,0,0,'Données projet'!$E$15+1,1))-AVERAGE(OFFSET($H$3,0,0,'Données projet'!$E$15+1,1))</f>
        <v>231.03244099494077</v>
      </c>
      <c r="EP7" s="59">
        <f t="shared" si="46"/>
        <v>280.29723026390741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269.27958561684324</v>
      </c>
      <c r="S8" s="59">
        <f ca="1">AVERAGE(OFFSET($R$3,0,0,'Données projet'!$E$9+1,1))-AVERAGE(OFFSET($H$3,0,0,'Données projet'!$E$9+1,1))</f>
        <v>351.15781452544906</v>
      </c>
      <c r="T8" s="59">
        <f t="shared" si="34"/>
        <v>271.54361159160169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1.6</v>
      </c>
      <c r="AI8" s="13">
        <f>IF('Données projet'!$A$62&gt;35,AI7+AH8-AQ7,IF(A8&lt;'Données projet'!$A$62,$AF$205^A8,IF(A8='Données projet'!$A$62,'Données projet'!$B$62,AI7+AH8-AQ7)))</f>
        <v>2.3784142300054416</v>
      </c>
      <c r="AJ8" s="13">
        <f>AI8*VLOOKUP('Données projet'!$B$10,Paramètres!$A$1:$I$89,3,0)*VLOOKUP('Données projet'!$B$10,Paramètres!$A$1:$I$89,5,0)</f>
        <v>2.0406794093446692</v>
      </c>
      <c r="AK8" s="13">
        <f t="shared" si="35"/>
        <v>0.86550396667632346</v>
      </c>
      <c r="AL8" s="20">
        <f t="shared" si="4"/>
        <v>5.061602713236562</v>
      </c>
      <c r="AM8" s="59">
        <f t="shared" si="5"/>
        <v>267.83938049101431</v>
      </c>
      <c r="AN8" s="59">
        <f ca="1">AVERAGE(OFFSET($AM$3,0,0,'Données projet'!$E$10+1,1))-AVERAGE(OFFSET($H$3,0,0,'Données projet'!$E$10+1,1))</f>
        <v>405.59933429804329</v>
      </c>
      <c r="AO8" s="59">
        <f t="shared" si="36"/>
        <v>208.64922573363776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2.4622299544651152</v>
      </c>
      <c r="BF8" s="13">
        <f t="shared" si="37"/>
        <v>1.021715601495419</v>
      </c>
      <c r="BG8" s="20">
        <f t="shared" si="7"/>
        <v>6.0678718432979295</v>
      </c>
      <c r="BH8" s="59">
        <f t="shared" si="8"/>
        <v>268.84564962107572</v>
      </c>
      <c r="BI8" s="59">
        <f ca="1">AVERAGE(OFFSET($BH$3,0,0,'Données projet'!$E$11+1,1))-AVERAGE(OFFSET($H$3,0,0,'Données projet'!$E$11+1,1))</f>
        <v>293.19327646293601</v>
      </c>
      <c r="BJ8" s="59">
        <f t="shared" si="38"/>
        <v>200.0769581869605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5.85</v>
      </c>
      <c r="BY8" s="12">
        <f>IF('Données projet'!$A$114&gt;35,BY7+BX8-CG7,IF(A8&lt;'Données projet'!$A$114,$BV$205^A8,IF(A8='Données projet'!$A$114,'Données projet'!$B$114,BY7+BX8-CG7)))</f>
        <v>3.2888681679860574</v>
      </c>
      <c r="BZ8" s="13">
        <f>BY8*VLOOKUP('Données projet'!$B$12,Paramètres!$A$1:$I$89,3,0)*VLOOKUP('Données projet'!$B$12,Paramètres!$A$1:$I$89,5,0)</f>
        <v>2.5653171710291249</v>
      </c>
      <c r="CA8" s="13">
        <f t="shared" si="39"/>
        <v>1.0594223058937526</v>
      </c>
      <c r="CB8" s="20">
        <f t="shared" si="10"/>
        <v>6.3130879223073455</v>
      </c>
      <c r="CC8" s="59">
        <f t="shared" si="11"/>
        <v>269.09086570008509</v>
      </c>
      <c r="CD8" s="59">
        <f ca="1">AVERAGE(OFFSET($CC$3,0,0,'Données projet'!$E$12+1,1))-AVERAGE(OFFSET($H$3,0,0,'Données projet'!$E$12+1,1))</f>
        <v>295.95249585728561</v>
      </c>
      <c r="CE8" s="59">
        <f t="shared" si="40"/>
        <v>306.85862495052709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1.6</v>
      </c>
      <c r="CT8" s="12">
        <f>IF('Données projet'!$A$140&gt;35,CT7+CS8-DB7,IF(A8&lt;'Données projet'!$A$140,$CQ$205^A8,IF(A8='Données projet'!$A$140,'Données projet'!$B$140,CT7+CS8-DB7)))</f>
        <v>2.3784142300054416</v>
      </c>
      <c r="CU8" s="17">
        <f>CT8*VLOOKUP('Données projet'!$B$13,Paramètres!$A$1:$I$89,3,0)*VLOOKUP('Données projet'!$B$13,Paramètres!$A$1:$I$89,5,0)</f>
        <v>2.2632989812731781</v>
      </c>
      <c r="CV8" s="13">
        <f t="shared" si="41"/>
        <v>0.9484229016995176</v>
      </c>
      <c r="CW8" s="20">
        <f t="shared" si="13"/>
        <v>5.5937489461774446</v>
      </c>
      <c r="CX8" s="59">
        <f t="shared" si="14"/>
        <v>268.37152672395524</v>
      </c>
      <c r="CY8" s="59">
        <f ca="1">AVERAGE(OFFSET($CX$3,0,0,'Données projet'!$E$13+1,1))-AVERAGE(OFFSET($H$3,0,0,'Données projet'!$E$13+1,1))</f>
        <v>461.10546083340631</v>
      </c>
      <c r="CZ8" s="59">
        <f t="shared" si="42"/>
        <v>233.41883071412587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2.690446029936302</v>
      </c>
      <c r="DQ8" s="13">
        <f t="shared" si="43"/>
        <v>1.1049555374832079</v>
      </c>
      <c r="DR8" s="20">
        <f t="shared" si="16"/>
        <v>6.6103243965889789</v>
      </c>
      <c r="DS8" s="59">
        <f t="shared" si="17"/>
        <v>269.38810217436674</v>
      </c>
      <c r="DT8" s="59">
        <f ca="1">AVERAGE(OFFSET($DS$3,0,0,'Données projet'!$E$14+1,1))-AVERAGE(OFFSET($H$3,0,0,'Données projet'!$E$14+1,1))</f>
        <v>296.376932094327</v>
      </c>
      <c r="DU8" s="59">
        <f t="shared" si="44"/>
        <v>350.93658329210882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2.173052562640859</v>
      </c>
      <c r="EL8" s="13">
        <f t="shared" si="45"/>
        <v>0.91492884804015795</v>
      </c>
      <c r="EM8" s="20">
        <f t="shared" si="19"/>
        <v>5.3782342902694369</v>
      </c>
      <c r="EN8" s="59">
        <f t="shared" si="20"/>
        <v>268.15601206804723</v>
      </c>
      <c r="EO8" s="59">
        <f ca="1">AVERAGE(OFFSET($EN$3,0,0,'Données projet'!$E$15+1,1))-AVERAGE(OFFSET($H$3,0,0,'Données projet'!$E$15+1,1))</f>
        <v>231.03244099494077</v>
      </c>
      <c r="EP8" s="59">
        <f t="shared" si="46"/>
        <v>280.29723026390741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271.99956744330279</v>
      </c>
      <c r="S9" s="59">
        <f ca="1">AVERAGE(OFFSET($R$3,0,0,'Données projet'!$E$9+1,1))-AVERAGE(OFFSET($H$3,0,0,'Données projet'!$E$9+1,1))</f>
        <v>351.15781452544906</v>
      </c>
      <c r="T9" s="59">
        <f t="shared" si="34"/>
        <v>271.54361159160169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1.6</v>
      </c>
      <c r="AI9" s="13">
        <f>IF('Données projet'!$A$62&gt;35,AI8+AH9-AQ8,IF(A9&lt;'Données projet'!$A$62,$AF$205^A9,IF(A9='Données projet'!$A$62,'Données projet'!$B$62,AI8+AH9-AQ8)))</f>
        <v>2.8284271247461894</v>
      </c>
      <c r="AJ9" s="13">
        <f>AI9*VLOOKUP('Données projet'!$B$10,Paramètres!$A$1:$I$89,3,0)*VLOOKUP('Données projet'!$B$10,Paramètres!$A$1:$I$89,5,0)</f>
        <v>2.4267904730322307</v>
      </c>
      <c r="AK9" s="13">
        <f t="shared" si="35"/>
        <v>1.0087106093953995</v>
      </c>
      <c r="AL9" s="20">
        <f t="shared" si="4"/>
        <v>5.9834977185614555</v>
      </c>
      <c r="AM9" s="59">
        <f t="shared" si="5"/>
        <v>269.98349771856147</v>
      </c>
      <c r="AN9" s="59">
        <f ca="1">AVERAGE(OFFSET($AM$3,0,0,'Données projet'!$E$10+1,1))-AVERAGE(OFFSET($H$3,0,0,'Données projet'!$E$10+1,1))</f>
        <v>405.59933429804329</v>
      </c>
      <c r="AO9" s="59">
        <f t="shared" si="36"/>
        <v>208.64922573363776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2.9681857447309605</v>
      </c>
      <c r="BF9" s="13">
        <f t="shared" si="37"/>
        <v>1.2051613041728233</v>
      </c>
      <c r="BG9" s="20">
        <f t="shared" si="7"/>
        <v>7.2685794435074236</v>
      </c>
      <c r="BH9" s="59">
        <f t="shared" si="8"/>
        <v>271.26857944350741</v>
      </c>
      <c r="BI9" s="59">
        <f ca="1">AVERAGE(OFFSET($BH$3,0,0,'Données projet'!$E$11+1,1))-AVERAGE(OFFSET($H$3,0,0,'Données projet'!$E$11+1,1))</f>
        <v>293.19327646293601</v>
      </c>
      <c r="BJ9" s="59">
        <f t="shared" si="38"/>
        <v>200.0769581869605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5.85</v>
      </c>
      <c r="BY9" s="12">
        <f>IF('Données projet'!$A$114&gt;35,BY8+BX9-CG8,IF(A9&lt;'Données projet'!$A$114,$BV$205^A9,IF(A9='Données projet'!$A$114,'Données projet'!$B$114,BY8+BX9-CG8)))</f>
        <v>4.1730708532587206</v>
      </c>
      <c r="BZ9" s="13">
        <f>BY9*VLOOKUP('Données projet'!$B$12,Paramètres!$A$1:$I$89,3,0)*VLOOKUP('Données projet'!$B$12,Paramètres!$A$1:$I$89,5,0)</f>
        <v>3.2549952655418024</v>
      </c>
      <c r="CA9" s="13">
        <f t="shared" si="39"/>
        <v>1.3074995980786071</v>
      </c>
      <c r="CB9" s="20">
        <f t="shared" si="10"/>
        <v>7.9463452208055463</v>
      </c>
      <c r="CC9" s="59">
        <f t="shared" si="11"/>
        <v>271.94634522080554</v>
      </c>
      <c r="CD9" s="59">
        <f ca="1">AVERAGE(OFFSET($CC$3,0,0,'Données projet'!$E$12+1,1))-AVERAGE(OFFSET($H$3,0,0,'Données projet'!$E$12+1,1))</f>
        <v>295.95249585728561</v>
      </c>
      <c r="CE9" s="59">
        <f t="shared" si="40"/>
        <v>306.85862495052709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1.6</v>
      </c>
      <c r="CT9" s="12">
        <f>IF('Données projet'!$A$140&gt;35,CT8+CS9-DB8,IF(A9&lt;'Données projet'!$A$140,$CQ$205^A9,IF(A9='Données projet'!$A$140,'Données projet'!$B$140,CT8+CS9-DB8)))</f>
        <v>2.8284271247461894</v>
      </c>
      <c r="CU9" s="17">
        <f>CT9*VLOOKUP('Données projet'!$B$13,Paramètres!$A$1:$I$89,3,0)*VLOOKUP('Données projet'!$B$13,Paramètres!$A$1:$I$89,5,0)</f>
        <v>2.6915312519084735</v>
      </c>
      <c r="CV9" s="13">
        <f t="shared" si="41"/>
        <v>1.1053493455514676</v>
      </c>
      <c r="CW9" s="20">
        <f t="shared" si="13"/>
        <v>6.6129003739093966</v>
      </c>
      <c r="CX9" s="59">
        <f t="shared" si="14"/>
        <v>270.61290037390938</v>
      </c>
      <c r="CY9" s="59">
        <f ca="1">AVERAGE(OFFSET($CX$3,0,0,'Données projet'!$E$13+1,1))-AVERAGE(OFFSET($H$3,0,0,'Données projet'!$E$13+1,1))</f>
        <v>461.10546083340631</v>
      </c>
      <c r="CZ9" s="59">
        <f t="shared" si="42"/>
        <v>233.41883071412587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3.4195074407641517</v>
      </c>
      <c r="DQ9" s="13">
        <f t="shared" si="43"/>
        <v>1.3657218584637647</v>
      </c>
      <c r="DR9" s="20">
        <f t="shared" si="16"/>
        <v>8.3342743628219527</v>
      </c>
      <c r="DS9" s="59">
        <f t="shared" si="17"/>
        <v>272.33427436282193</v>
      </c>
      <c r="DT9" s="59">
        <f ca="1">AVERAGE(OFFSET($DS$3,0,0,'Données projet'!$E$14+1,1))-AVERAGE(OFFSET($H$3,0,0,'Données projet'!$E$14+1,1))</f>
        <v>296.376932094327</v>
      </c>
      <c r="DU9" s="59">
        <f t="shared" si="44"/>
        <v>350.93658329210882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2.7619098560018145</v>
      </c>
      <c r="EL9" s="13">
        <f t="shared" si="45"/>
        <v>1.1308494182070246</v>
      </c>
      <c r="EM9" s="20">
        <f t="shared" si="19"/>
        <v>6.7798890692470613</v>
      </c>
      <c r="EN9" s="59">
        <f t="shared" si="20"/>
        <v>270.77988906924708</v>
      </c>
      <c r="EO9" s="59">
        <f ca="1">AVERAGE(OFFSET($EN$3,0,0,'Données projet'!$E$15+1,1))-AVERAGE(OFFSET($H$3,0,0,'Données projet'!$E$15+1,1))</f>
        <v>231.03244099494077</v>
      </c>
      <c r="EP9" s="59">
        <f t="shared" si="46"/>
        <v>280.29723026390741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275.06582823164507</v>
      </c>
      <c r="S10" s="59">
        <f ca="1">AVERAGE(OFFSET($R$3,0,0,'Données projet'!$E$9+1,1))-AVERAGE(OFFSET($H$3,0,0,'Données projet'!$E$9+1,1))</f>
        <v>351.15781452544906</v>
      </c>
      <c r="T10" s="59">
        <f t="shared" si="34"/>
        <v>271.54361159160169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1.6</v>
      </c>
      <c r="AI10" s="13">
        <f>IF('Données projet'!$A$62&gt;35,AI9+AH10-AQ9,IF(A10&lt;'Données projet'!$A$62,$AF$205^A10,IF(A10='Données projet'!$A$62,'Données projet'!$B$62,AI9+AH10-AQ9)))</f>
        <v>3.3635856610148567</v>
      </c>
      <c r="AJ10" s="13">
        <f>AI10*VLOOKUP('Données projet'!$B$10,Paramètres!$A$1:$I$89,3,0)*VLOOKUP('Données projet'!$B$10,Paramètres!$A$1:$I$89,5,0)</f>
        <v>2.8859564971507474</v>
      </c>
      <c r="AK10" s="13">
        <f t="shared" si="35"/>
        <v>1.1756122821876749</v>
      </c>
      <c r="AL10" s="20">
        <f t="shared" si="4"/>
        <v>7.073898957347752</v>
      </c>
      <c r="AM10" s="59">
        <f t="shared" si="5"/>
        <v>272.29612117956998</v>
      </c>
      <c r="AN10" s="59">
        <f ca="1">AVERAGE(OFFSET($AM$3,0,0,'Données projet'!$E$10+1,1))-AVERAGE(OFFSET($H$3,0,0,'Données projet'!$E$10+1,1))</f>
        <v>405.59933429804329</v>
      </c>
      <c r="AO10" s="59">
        <f t="shared" si="36"/>
        <v>208.64922573363776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3.5781087786895851</v>
      </c>
      <c r="BF10" s="13">
        <f t="shared" si="37"/>
        <v>1.4215440842341414</v>
      </c>
      <c r="BG10" s="20">
        <f t="shared" si="7"/>
        <v>8.707728736258824</v>
      </c>
      <c r="BH10" s="59">
        <f t="shared" si="8"/>
        <v>273.92995095848107</v>
      </c>
      <c r="BI10" s="59">
        <f ca="1">AVERAGE(OFFSET($BH$3,0,0,'Données projet'!$E$11+1,1))-AVERAGE(OFFSET($H$3,0,0,'Données projet'!$E$11+1,1))</f>
        <v>293.19327646293601</v>
      </c>
      <c r="BJ10" s="59">
        <f t="shared" si="38"/>
        <v>200.0769581869605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5.85</v>
      </c>
      <c r="BY10" s="12">
        <f>IF('Données projet'!$A$114&gt;35,BY9+BX10-CG9,IF(A10&lt;'Données projet'!$A$114,$BV$205^A10,IF(A10='Données projet'!$A$114,'Données projet'!$B$114,BY9+BX10-CG9)))</f>
        <v>5.2949888705880443</v>
      </c>
      <c r="BZ10" s="13">
        <f>BY10*VLOOKUP('Données projet'!$B$12,Paramètres!$A$1:$I$89,3,0)*VLOOKUP('Données projet'!$B$12,Paramètres!$A$1:$I$89,5,0)</f>
        <v>4.1300913190586748</v>
      </c>
      <c r="CA10" s="13">
        <f t="shared" si="39"/>
        <v>1.6136673633027767</v>
      </c>
      <c r="CB10" s="20">
        <f t="shared" si="10"/>
        <v>10.003713038446195</v>
      </c>
      <c r="CC10" s="59">
        <f t="shared" si="11"/>
        <v>275.22593526066845</v>
      </c>
      <c r="CD10" s="59">
        <f ca="1">AVERAGE(OFFSET($CC$3,0,0,'Données projet'!$E$12+1,1))-AVERAGE(OFFSET($H$3,0,0,'Données projet'!$E$12+1,1))</f>
        <v>295.95249585728561</v>
      </c>
      <c r="CE10" s="59">
        <f t="shared" si="40"/>
        <v>306.85862495052709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1.6</v>
      </c>
      <c r="CT10" s="12">
        <f>IF('Données projet'!$A$140&gt;35,CT9+CS10-DB9,IF(A10&lt;'Données projet'!$A$140,$CQ$205^A10,IF(A10='Données projet'!$A$140,'Données projet'!$B$140,CT9+CS10-DB9)))</f>
        <v>3.3635856610148567</v>
      </c>
      <c r="CU10" s="17">
        <f>CT10*VLOOKUP('Données projet'!$B$13,Paramètres!$A$1:$I$89,3,0)*VLOOKUP('Données projet'!$B$13,Paramètres!$A$1:$I$89,5,0)</f>
        <v>3.2007881150217377</v>
      </c>
      <c r="CV10" s="13">
        <f t="shared" si="41"/>
        <v>1.2882409034215325</v>
      </c>
      <c r="CW10" s="20">
        <f t="shared" si="13"/>
        <v>7.8183922071220282</v>
      </c>
      <c r="CX10" s="59">
        <f t="shared" si="14"/>
        <v>273.04061442934426</v>
      </c>
      <c r="CY10" s="59">
        <f ca="1">AVERAGE(OFFSET($CX$3,0,0,'Données projet'!$E$13+1,1))-AVERAGE(OFFSET($H$3,0,0,'Données projet'!$E$13+1,1))</f>
        <v>461.10546083340631</v>
      </c>
      <c r="CZ10" s="59">
        <f t="shared" si="42"/>
        <v>233.41883071412587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4.3461310902855157</v>
      </c>
      <c r="DQ10" s="13">
        <f t="shared" si="43"/>
        <v>1.6880282793406653</v>
      </c>
      <c r="DR10" s="20">
        <f t="shared" si="16"/>
        <v>10.509494235432264</v>
      </c>
      <c r="DS10" s="59">
        <f t="shared" si="17"/>
        <v>275.7317164576545</v>
      </c>
      <c r="DT10" s="59">
        <f ca="1">AVERAGE(OFFSET($DS$3,0,0,'Données projet'!$E$14+1,1))-AVERAGE(OFFSET($H$3,0,0,'Données projet'!$E$14+1,1))</f>
        <v>296.376932094327</v>
      </c>
      <c r="DU10" s="59">
        <f t="shared" si="44"/>
        <v>350.93658329210882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3.510336649845994</v>
      </c>
      <c r="EL10" s="13">
        <f t="shared" si="45"/>
        <v>1.397726620379814</v>
      </c>
      <c r="EM10" s="20">
        <f t="shared" si="19"/>
        <v>8.5482101956432839</v>
      </c>
      <c r="EN10" s="59">
        <f t="shared" si="20"/>
        <v>273.77043241786549</v>
      </c>
      <c r="EO10" s="59">
        <f ca="1">AVERAGE(OFFSET($EN$3,0,0,'Données projet'!$E$15+1,1))-AVERAGE(OFFSET($H$3,0,0,'Données projet'!$E$15+1,1))</f>
        <v>231.03244099494077</v>
      </c>
      <c r="EP10" s="59">
        <f t="shared" si="46"/>
        <v>280.29723026390741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278.55869888669031</v>
      </c>
      <c r="S11" s="59">
        <f ca="1">AVERAGE(OFFSET($R$3,0,0,'Données projet'!$E$9+1,1))-AVERAGE(OFFSET($H$3,0,0,'Données projet'!$E$9+1,1))</f>
        <v>351.15781452544906</v>
      </c>
      <c r="T11" s="59">
        <f t="shared" si="34"/>
        <v>271.54361159160169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1.6</v>
      </c>
      <c r="AI11" s="13">
        <f>IF('Données projet'!$A$62&gt;35,AI10+AH11-AQ10,IF(A11&lt;'Données projet'!$A$62,$AF$205^A11,IF(A11='Données projet'!$A$62,'Données projet'!$B$62,AI10+AH11-AQ10)))</f>
        <v>3.9999999999999982</v>
      </c>
      <c r="AJ11" s="13">
        <f>AI11*VLOOKUP('Données projet'!$B$10,Paramètres!$A$1:$I$89,3,0)*VLOOKUP('Données projet'!$B$10,Paramètres!$A$1:$I$89,5,0)</f>
        <v>3.4319999999999991</v>
      </c>
      <c r="AK11" s="13">
        <f t="shared" si="35"/>
        <v>1.3701295744860806</v>
      </c>
      <c r="AL11" s="20">
        <f t="shared" si="4"/>
        <v>8.3637090088965884</v>
      </c>
      <c r="AM11" s="59">
        <f t="shared" si="5"/>
        <v>274.80815345334105</v>
      </c>
      <c r="AN11" s="59">
        <f ca="1">AVERAGE(OFFSET($AM$3,0,0,'Données projet'!$E$10+1,1))-AVERAGE(OFFSET($H$3,0,0,'Données projet'!$E$10+1,1))</f>
        <v>405.59933429804329</v>
      </c>
      <c r="AO11" s="59">
        <f t="shared" si="36"/>
        <v>208.64922573363776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4.3133629540748091</v>
      </c>
      <c r="BF11" s="13">
        <f t="shared" si="37"/>
        <v>1.6767776864592203</v>
      </c>
      <c r="BG11" s="20">
        <f t="shared" si="7"/>
        <v>10.432828282263435</v>
      </c>
      <c r="BH11" s="59">
        <f t="shared" si="8"/>
        <v>276.87727272670787</v>
      </c>
      <c r="BI11" s="59">
        <f ca="1">AVERAGE(OFFSET($BH$3,0,0,'Données projet'!$E$11+1,1))-AVERAGE(OFFSET($H$3,0,0,'Données projet'!$E$11+1,1))</f>
        <v>293.19327646293601</v>
      </c>
      <c r="BJ11" s="59">
        <f t="shared" si="38"/>
        <v>200.0769581869605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5.85</v>
      </c>
      <c r="BY11" s="12">
        <f>IF('Données projet'!$A$114&gt;35,BY10+BX11-CG10,IF(A11&lt;'Données projet'!$A$114,$BV$205^A11,IF(A11='Données projet'!$A$114,'Données projet'!$B$114,BY10+BX11-CG10)))</f>
        <v>6.718531298781433</v>
      </c>
      <c r="BZ11" s="13">
        <f>BY11*VLOOKUP('Données projet'!$B$12,Paramètres!$A$1:$I$89,3,0)*VLOOKUP('Données projet'!$B$12,Paramètres!$A$1:$I$89,5,0)</f>
        <v>5.2404544130495179</v>
      </c>
      <c r="CA11" s="13">
        <f t="shared" si="39"/>
        <v>1.9915282293126844</v>
      </c>
      <c r="CB11" s="20">
        <f t="shared" si="10"/>
        <v>12.59570310211417</v>
      </c>
      <c r="CC11" s="59">
        <f t="shared" si="11"/>
        <v>279.04014754655861</v>
      </c>
      <c r="CD11" s="59">
        <f ca="1">AVERAGE(OFFSET($CC$3,0,0,'Données projet'!$E$12+1,1))-AVERAGE(OFFSET($H$3,0,0,'Données projet'!$E$12+1,1))</f>
        <v>295.95249585728561</v>
      </c>
      <c r="CE11" s="59">
        <f t="shared" si="40"/>
        <v>306.85862495052709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1.6</v>
      </c>
      <c r="CT11" s="12">
        <f>IF('Données projet'!$A$140&gt;35,CT10+CS11-DB10,IF(A11&lt;'Données projet'!$A$140,$CQ$205^A11,IF(A11='Données projet'!$A$140,'Données projet'!$B$140,CT10+CS11-DB10)))</f>
        <v>3.9999999999999982</v>
      </c>
      <c r="CU11" s="17">
        <f>CT11*VLOOKUP('Données projet'!$B$13,Paramètres!$A$1:$I$89,3,0)*VLOOKUP('Données projet'!$B$13,Paramètres!$A$1:$I$89,5,0)</f>
        <v>3.8063999999999987</v>
      </c>
      <c r="CV11" s="13">
        <f t="shared" si="41"/>
        <v>1.5013937737669318</v>
      </c>
      <c r="CW11" s="20">
        <f t="shared" si="13"/>
        <v>9.2444074893107366</v>
      </c>
      <c r="CX11" s="59">
        <f t="shared" si="14"/>
        <v>275.68885193375519</v>
      </c>
      <c r="CY11" s="59">
        <f ca="1">AVERAGE(OFFSET($CX$3,0,0,'Données projet'!$E$13+1,1))-AVERAGE(OFFSET($H$3,0,0,'Données projet'!$E$13+1,1))</f>
        <v>461.10546083340631</v>
      </c>
      <c r="CZ11" s="59">
        <f t="shared" si="42"/>
        <v>233.41883071412587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5.5238527130460966</v>
      </c>
      <c r="DQ11" s="13">
        <f t="shared" si="43"/>
        <v>2.0863980862538192</v>
      </c>
      <c r="DR11" s="20">
        <f t="shared" si="16"/>
        <v>13.25452014211402</v>
      </c>
      <c r="DS11" s="59">
        <f t="shared" si="17"/>
        <v>279.69896458655847</v>
      </c>
      <c r="DT11" s="59">
        <f ca="1">AVERAGE(OFFSET($DS$3,0,0,'Données projet'!$E$14+1,1))-AVERAGE(OFFSET($H$3,0,0,'Données projet'!$E$14+1,1))</f>
        <v>296.376932094327</v>
      </c>
      <c r="DU11" s="59">
        <f t="shared" si="44"/>
        <v>350.93658329210882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4.4615733451526163</v>
      </c>
      <c r="EL11" s="13">
        <f t="shared" si="45"/>
        <v>1.7275860727911023</v>
      </c>
      <c r="EM11" s="20">
        <f t="shared" si="19"/>
        <v>10.779452652918643</v>
      </c>
      <c r="EN11" s="59">
        <f t="shared" si="20"/>
        <v>277.22389709736308</v>
      </c>
      <c r="EO11" s="59">
        <f ca="1">AVERAGE(OFFSET($EN$3,0,0,'Données projet'!$E$15+1,1))-AVERAGE(OFFSET($H$3,0,0,'Données projet'!$E$15+1,1))</f>
        <v>231.03244099494077</v>
      </c>
      <c r="EP11" s="59">
        <f t="shared" si="46"/>
        <v>280.29723026390741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282.5772044671009</v>
      </c>
      <c r="S12" s="59">
        <f ca="1">AVERAGE(OFFSET($R$3,0,0,'Données projet'!$E$9+1,1))-AVERAGE(OFFSET($H$3,0,0,'Données projet'!$E$9+1,1))</f>
        <v>351.15781452544906</v>
      </c>
      <c r="T12" s="59">
        <f t="shared" si="34"/>
        <v>271.54361159160169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1.6</v>
      </c>
      <c r="AI12" s="13">
        <f>IF('Données projet'!$A$62&gt;35,AI11+AH12-AQ11,IF(A12&lt;'Données projet'!$A$62,$AF$205^A12,IF(A12='Données projet'!$A$62,'Données projet'!$B$62,AI11+AH12-AQ11)))</f>
        <v>4.7568284600108823</v>
      </c>
      <c r="AJ12" s="13">
        <f>AI12*VLOOKUP('Données projet'!$B$10,Paramètres!$A$1:$I$89,3,0)*VLOOKUP('Données projet'!$B$10,Paramètres!$A$1:$I$89,5,0)</f>
        <v>4.0813588186893375</v>
      </c>
      <c r="AK12" s="13">
        <f t="shared" si="35"/>
        <v>1.5968317780655192</v>
      </c>
      <c r="AL12" s="20">
        <f t="shared" si="4"/>
        <v>9.8895152893480418</v>
      </c>
      <c r="AM12" s="59">
        <f t="shared" si="5"/>
        <v>277.55618195601471</v>
      </c>
      <c r="AN12" s="59">
        <f ca="1">AVERAGE(OFFSET($AM$3,0,0,'Données projet'!$E$10+1,1))-AVERAGE(OFFSET($H$3,0,0,'Données projet'!$E$10+1,1))</f>
        <v>405.59933429804329</v>
      </c>
      <c r="AO12" s="59">
        <f t="shared" si="36"/>
        <v>208.64922573363776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5.1997021679141717</v>
      </c>
      <c r="BF12" s="13">
        <f t="shared" si="37"/>
        <v>1.977837649208241</v>
      </c>
      <c r="BG12" s="20">
        <f t="shared" si="7"/>
        <v>12.500881848154869</v>
      </c>
      <c r="BH12" s="59">
        <f t="shared" si="8"/>
        <v>280.16754851482153</v>
      </c>
      <c r="BI12" s="59">
        <f ca="1">AVERAGE(OFFSET($BH$3,0,0,'Données projet'!$E$11+1,1))-AVERAGE(OFFSET($H$3,0,0,'Données projet'!$E$11+1,1))</f>
        <v>293.19327646293601</v>
      </c>
      <c r="BJ12" s="59">
        <f t="shared" si="38"/>
        <v>200.0769581869605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5.85</v>
      </c>
      <c r="BY12" s="12">
        <f>IF('Données projet'!$A$114&gt;35,BY11+BX12-CG11,IF(A12&lt;'Données projet'!$A$114,$BV$205^A12,IF(A12='Données projet'!$A$114,'Données projet'!$B$114,BY11+BX12-CG11)))</f>
        <v>8.5247889874587734</v>
      </c>
      <c r="BZ12" s="13">
        <f>BY12*VLOOKUP('Données projet'!$B$12,Paramètres!$A$1:$I$89,3,0)*VLOOKUP('Données projet'!$B$12,Paramètres!$A$1:$I$89,5,0)</f>
        <v>6.6493354102178435</v>
      </c>
      <c r="CA12" s="13">
        <f t="shared" si="39"/>
        <v>2.4578700532379361</v>
      </c>
      <c r="CB12" s="20">
        <f t="shared" si="10"/>
        <v>15.86171618218548</v>
      </c>
      <c r="CC12" s="59">
        <f t="shared" si="11"/>
        <v>283.52838284885217</v>
      </c>
      <c r="CD12" s="59">
        <f ca="1">AVERAGE(OFFSET($CC$3,0,0,'Données projet'!$E$12+1,1))-AVERAGE(OFFSET($H$3,0,0,'Données projet'!$E$12+1,1))</f>
        <v>295.95249585728561</v>
      </c>
      <c r="CE12" s="59">
        <f t="shared" si="40"/>
        <v>306.85862495052709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1.6</v>
      </c>
      <c r="CT12" s="12">
        <f>IF('Données projet'!$A$140&gt;35,CT11+CS12-DB11,IF(A12&lt;'Données projet'!$A$140,$CQ$205^A12,IF(A12='Données projet'!$A$140,'Données projet'!$B$140,CT11+CS12-DB11)))</f>
        <v>4.7568284600108823</v>
      </c>
      <c r="CU12" s="17">
        <f>CT12*VLOOKUP('Données projet'!$B$13,Paramètres!$A$1:$I$89,3,0)*VLOOKUP('Données projet'!$B$13,Paramètres!$A$1:$I$89,5,0)</f>
        <v>4.5265979625463562</v>
      </c>
      <c r="CV12" s="13">
        <f t="shared" si="41"/>
        <v>1.7498150058106832</v>
      </c>
      <c r="CW12" s="20">
        <f t="shared" si="13"/>
        <v>10.931419253221842</v>
      </c>
      <c r="CX12" s="59">
        <f t="shared" si="14"/>
        <v>278.59808591988855</v>
      </c>
      <c r="CY12" s="59">
        <f ca="1">AVERAGE(OFFSET($CX$3,0,0,'Données projet'!$E$13+1,1))-AVERAGE(OFFSET($H$3,0,0,'Données projet'!$E$13+1,1))</f>
        <v>461.10546083340631</v>
      </c>
      <c r="CZ12" s="59">
        <f t="shared" si="42"/>
        <v>233.41883071412587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7.0207152434102458</v>
      </c>
      <c r="DQ12" s="13">
        <f t="shared" si="43"/>
        <v>2.5787820189978565</v>
      </c>
      <c r="DR12" s="20">
        <f t="shared" si="16"/>
        <v>16.71912439869411</v>
      </c>
      <c r="DS12" s="59">
        <f t="shared" si="17"/>
        <v>284.38579106536082</v>
      </c>
      <c r="DT12" s="59">
        <f ca="1">AVERAGE(OFFSET($DS$3,0,0,'Données projet'!$E$14+1,1))-AVERAGE(OFFSET($H$3,0,0,'Données projet'!$E$14+1,1))</f>
        <v>296.376932094327</v>
      </c>
      <c r="DU12" s="59">
        <f t="shared" si="44"/>
        <v>350.93658329210882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5.6705776966005823</v>
      </c>
      <c r="EL12" s="13">
        <f t="shared" si="45"/>
        <v>2.1352914049034637</v>
      </c>
      <c r="EM12" s="20">
        <f t="shared" si="19"/>
        <v>13.59522201845288</v>
      </c>
      <c r="EN12" s="59">
        <f t="shared" si="20"/>
        <v>281.26188868511957</v>
      </c>
      <c r="EO12" s="59">
        <f ca="1">AVERAGE(OFFSET($EN$3,0,0,'Données projet'!$E$15+1,1))-AVERAGE(OFFSET($H$3,0,0,'Données projet'!$E$15+1,1))</f>
        <v>231.03244099494077</v>
      </c>
      <c r="EP12" s="59">
        <f t="shared" si="46"/>
        <v>280.29723026390741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287.2434272262301</v>
      </c>
      <c r="S13" s="59">
        <f ca="1">AVERAGE(OFFSET($R$3,0,0,'Données projet'!$E$9+1,1))-AVERAGE(OFFSET($H$3,0,0,'Données projet'!$E$9+1,1))</f>
        <v>351.15781452544906</v>
      </c>
      <c r="T13" s="59">
        <f t="shared" si="34"/>
        <v>271.54361159160169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1.6</v>
      </c>
      <c r="AI13" s="13">
        <f>IF('Données projet'!$A$62&gt;35,AI12+AH13-AQ12,IF(A13&lt;'Données projet'!$A$62,$AF$205^A13,IF(A13='Données projet'!$A$62,'Données projet'!$B$62,AI12+AH13-AQ12)))</f>
        <v>5.656854249492377</v>
      </c>
      <c r="AJ13" s="13">
        <f>AI13*VLOOKUP('Données projet'!$B$10,Paramètres!$A$1:$I$89,3,0)*VLOOKUP('Données projet'!$B$10,Paramètres!$A$1:$I$89,5,0)</f>
        <v>4.8535809460644597</v>
      </c>
      <c r="AK13" s="13">
        <f t="shared" si="35"/>
        <v>1.8610442215994896</v>
      </c>
      <c r="AL13" s="20">
        <f t="shared" si="4"/>
        <v>11.694638833681379</v>
      </c>
      <c r="AM13" s="59">
        <f t="shared" si="5"/>
        <v>280.58352772257024</v>
      </c>
      <c r="AN13" s="59">
        <f ca="1">AVERAGE(OFFSET($AM$3,0,0,'Données projet'!$E$10+1,1))-AVERAGE(OFFSET($H$3,0,0,'Données projet'!$E$10+1,1))</f>
        <v>405.59933429804329</v>
      </c>
      <c r="AO13" s="59">
        <f t="shared" si="36"/>
        <v>208.64922573363776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6.2681724035000874</v>
      </c>
      <c r="BF13" s="13">
        <f t="shared" si="37"/>
        <v>2.3329519459947301</v>
      </c>
      <c r="BG13" s="20">
        <f t="shared" si="7"/>
        <v>14.98029157537014</v>
      </c>
      <c r="BH13" s="59">
        <f t="shared" si="8"/>
        <v>283.86918046425899</v>
      </c>
      <c r="BI13" s="59">
        <f ca="1">AVERAGE(OFFSET($BH$3,0,0,'Données projet'!$E$11+1,1))-AVERAGE(OFFSET($H$3,0,0,'Données projet'!$E$11+1,1))</f>
        <v>293.19327646293601</v>
      </c>
      <c r="BJ13" s="59">
        <f t="shared" si="38"/>
        <v>200.0769581869605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5.85</v>
      </c>
      <c r="BY13" s="12">
        <f>IF('Données projet'!$A$114&gt;35,BY12+BX13-CG12,IF(A13&lt;'Données projet'!$A$114,$BV$205^A13,IF(A13='Données projet'!$A$114,'Données projet'!$B$114,BY12+BX13-CG12)))</f>
        <v>10.816653826391967</v>
      </c>
      <c r="BZ13" s="13">
        <f>BY13*VLOOKUP('Données projet'!$B$12,Paramètres!$A$1:$I$89,3,0)*VLOOKUP('Données projet'!$B$12,Paramètres!$A$1:$I$89,5,0)</f>
        <v>8.4369899845857343</v>
      </c>
      <c r="CA13" s="13">
        <f t="shared" si="39"/>
        <v>3.0334117838182832</v>
      </c>
      <c r="CB13" s="20">
        <f t="shared" si="10"/>
        <v>19.977616413303661</v>
      </c>
      <c r="CC13" s="59">
        <f t="shared" si="11"/>
        <v>288.86650530219254</v>
      </c>
      <c r="CD13" s="59">
        <f ca="1">AVERAGE(OFFSET($CC$3,0,0,'Données projet'!$E$12+1,1))-AVERAGE(OFFSET($H$3,0,0,'Données projet'!$E$12+1,1))</f>
        <v>295.95249585728561</v>
      </c>
      <c r="CE13" s="59">
        <f t="shared" si="40"/>
        <v>306.85862495052709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1.6</v>
      </c>
      <c r="CT13" s="12">
        <f>IF('Données projet'!$A$140&gt;35,CT12+CS13-DB12,IF(A13&lt;'Données projet'!$A$140,$CQ$205^A13,IF(A13='Données projet'!$A$140,'Données projet'!$B$140,CT12+CS13-DB12)))</f>
        <v>5.656854249492377</v>
      </c>
      <c r="CU13" s="17">
        <f>CT13*VLOOKUP('Données projet'!$B$13,Paramètres!$A$1:$I$89,3,0)*VLOOKUP('Données projet'!$B$13,Paramètres!$A$1:$I$89,5,0)</f>
        <v>5.3830625038169462</v>
      </c>
      <c r="CV13" s="13">
        <f t="shared" si="41"/>
        <v>2.039340117202022</v>
      </c>
      <c r="CW13" s="20">
        <f t="shared" si="13"/>
        <v>12.927351231608034</v>
      </c>
      <c r="CX13" s="59">
        <f t="shared" si="14"/>
        <v>281.8162401204969</v>
      </c>
      <c r="CY13" s="59">
        <f ca="1">AVERAGE(OFFSET($CX$3,0,0,'Données projet'!$E$13+1,1))-AVERAGE(OFFSET($H$3,0,0,'Données projet'!$E$13+1,1))</f>
        <v>461.10546083340631</v>
      </c>
      <c r="CZ13" s="59">
        <f t="shared" si="42"/>
        <v>233.41883071412587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8.9232000000000014</v>
      </c>
      <c r="DQ13" s="13">
        <f t="shared" si="43"/>
        <v>3.187367140202428</v>
      </c>
      <c r="DR13" s="20">
        <f t="shared" si="16"/>
        <v>21.092571102519226</v>
      </c>
      <c r="DS13" s="59">
        <f t="shared" si="17"/>
        <v>289.98145999140809</v>
      </c>
      <c r="DT13" s="59">
        <f ca="1">AVERAGE(OFFSET($DS$3,0,0,'Données projet'!$E$14+1,1))-AVERAGE(OFFSET($H$3,0,0,'Données projet'!$E$14+1,1))</f>
        <v>296.376932094327</v>
      </c>
      <c r="DU13" s="59">
        <f t="shared" si="44"/>
        <v>350.93658329210882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7.2072000000000003</v>
      </c>
      <c r="EL13" s="13">
        <f t="shared" si="45"/>
        <v>2.6392140198770462</v>
      </c>
      <c r="EM13" s="20">
        <f t="shared" si="19"/>
        <v>17.149171084619187</v>
      </c>
      <c r="EN13" s="59">
        <f t="shared" si="20"/>
        <v>286.03805997350804</v>
      </c>
      <c r="EO13" s="59">
        <f ca="1">AVERAGE(OFFSET($EN$3,0,0,'Données projet'!$E$15+1,1))-AVERAGE(OFFSET($H$3,0,0,'Données projet'!$E$15+1,1))</f>
        <v>231.03244099494077</v>
      </c>
      <c r="EP13" s="59">
        <f t="shared" si="46"/>
        <v>280.29723026390741</v>
      </c>
      <c r="EQ13" s="15">
        <f>IF(ISNA(VLOOKUP(A13,'Données projet'!$A$191:$I$211,3,0)),0,VLOOKUP(A13,'Données projet'!$A$191:$I$211,3,0))</f>
        <v>1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0.1075</v>
      </c>
      <c r="EU13" s="16">
        <f>IF(ISNA(VLOOKUP(A13,'Données projet'!$A$191:$I$211,7,0)),0%,VLOOKUP(A13,'Données projet'!$A$191:$I$211,7,0))</f>
        <v>0.25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292.70789065900522</v>
      </c>
      <c r="S14" s="59">
        <f ca="1">AVERAGE(OFFSET($R$3,0,0,'Données projet'!$E$9+1,1))-AVERAGE(OFFSET($H$3,0,0,'Données projet'!$E$9+1,1))</f>
        <v>351.15781452544906</v>
      </c>
      <c r="T14" s="59">
        <f t="shared" si="34"/>
        <v>271.54361159160169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1.6</v>
      </c>
      <c r="AI14" s="13">
        <f>IF('Données projet'!$A$62&gt;35,AI13+AH14-AQ13,IF(A14&lt;'Données projet'!$A$62,$AF$205^A14,IF(A14='Données projet'!$A$62,'Données projet'!$B$62,AI13+AH14-AQ13)))</f>
        <v>6.7271713220297125</v>
      </c>
      <c r="AJ14" s="13">
        <f>AI14*VLOOKUP('Données projet'!$B$10,Paramètres!$A$1:$I$89,3,0)*VLOOKUP('Données projet'!$B$10,Paramètres!$A$1:$I$89,5,0)</f>
        <v>5.771912994301494</v>
      </c>
      <c r="AK14" s="13">
        <f t="shared" si="35"/>
        <v>2.1689733648366443</v>
      </c>
      <c r="AL14" s="20">
        <f t="shared" si="4"/>
        <v>13.830377075498925</v>
      </c>
      <c r="AM14" s="59">
        <f t="shared" si="5"/>
        <v>283.94148818661006</v>
      </c>
      <c r="AN14" s="59">
        <f ca="1">AVERAGE(OFFSET($AM$3,0,0,'Données projet'!$E$10+1,1))-AVERAGE(OFFSET($H$3,0,0,'Données projet'!$E$10+1,1))</f>
        <v>405.59933429804329</v>
      </c>
      <c r="AO14" s="59">
        <f t="shared" si="36"/>
        <v>208.64922573363776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7.5561991843392455</v>
      </c>
      <c r="BF14" s="13">
        <f t="shared" si="37"/>
        <v>2.7518258561310041</v>
      </c>
      <c r="BG14" s="20">
        <f t="shared" si="7"/>
        <v>17.953143612152349</v>
      </c>
      <c r="BH14" s="59">
        <f t="shared" si="8"/>
        <v>288.0642547232635</v>
      </c>
      <c r="BI14" s="59">
        <f ca="1">AVERAGE(OFFSET($BH$3,0,0,'Données projet'!$E$11+1,1))-AVERAGE(OFFSET($H$3,0,0,'Données projet'!$E$11+1,1))</f>
        <v>293.19327646293601</v>
      </c>
      <c r="BJ14" s="59">
        <f t="shared" si="38"/>
        <v>200.0769581869605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5.85</v>
      </c>
      <c r="BY14" s="12">
        <f>IF('Données projet'!$A$114&gt;35,BY13+BX14-CG13,IF(A14&lt;'Données projet'!$A$114,$BV$205^A14,IF(A14='Données projet'!$A$114,'Données projet'!$B$114,BY13+BX14-CG13)))</f>
        <v>13.724679892033022</v>
      </c>
      <c r="BZ14" s="13">
        <f>BY14*VLOOKUP('Données projet'!$B$12,Paramètres!$A$1:$I$89,3,0)*VLOOKUP('Données projet'!$B$12,Paramètres!$A$1:$I$89,5,0)</f>
        <v>10.705250315785758</v>
      </c>
      <c r="CA14" s="13">
        <f t="shared" si="39"/>
        <v>3.7437239768171127</v>
      </c>
      <c r="CB14" s="20">
        <f t="shared" si="10"/>
        <v>25.165296892949996</v>
      </c>
      <c r="CC14" s="59">
        <f t="shared" si="11"/>
        <v>295.27640800406112</v>
      </c>
      <c r="CD14" s="59">
        <f ca="1">AVERAGE(OFFSET($CC$3,0,0,'Données projet'!$E$12+1,1))-AVERAGE(OFFSET($H$3,0,0,'Données projet'!$E$12+1,1))</f>
        <v>295.95249585728561</v>
      </c>
      <c r="CE14" s="59">
        <f t="shared" si="40"/>
        <v>306.85862495052709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1.6</v>
      </c>
      <c r="CT14" s="12">
        <f>IF('Données projet'!$A$140&gt;35,CT13+CS14-DB13,IF(A14&lt;'Données projet'!$A$140,$CQ$205^A14,IF(A14='Données projet'!$A$140,'Données projet'!$B$140,CT13+CS14-DB13)))</f>
        <v>6.7271713220297125</v>
      </c>
      <c r="CU14" s="17">
        <f>CT14*VLOOKUP('Données projet'!$B$13,Paramètres!$A$1:$I$89,3,0)*VLOOKUP('Données projet'!$B$13,Paramètres!$A$1:$I$89,5,0)</f>
        <v>6.4015762300434744</v>
      </c>
      <c r="CV14" s="13">
        <f t="shared" si="41"/>
        <v>2.3767701727433463</v>
      </c>
      <c r="CW14" s="20">
        <f t="shared" si="13"/>
        <v>15.288953318187046</v>
      </c>
      <c r="CX14" s="59">
        <f t="shared" si="14"/>
        <v>285.4000644292982</v>
      </c>
      <c r="CY14" s="59">
        <f ca="1">AVERAGE(OFFSET($CX$3,0,0,'Données projet'!$E$13+1,1))-AVERAGE(OFFSET($H$3,0,0,'Données projet'!$E$13+1,1))</f>
        <v>461.10546083340631</v>
      </c>
      <c r="CZ14" s="59">
        <f t="shared" si="42"/>
        <v>233.41883071412587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18.900960000000001</v>
      </c>
      <c r="DQ14" s="13">
        <f t="shared" si="43"/>
        <v>6.1866166524774453</v>
      </c>
      <c r="DR14" s="20">
        <f t="shared" si="16"/>
        <v>43.694196003064881</v>
      </c>
      <c r="DS14" s="59">
        <f t="shared" si="17"/>
        <v>313.805307114176</v>
      </c>
      <c r="DT14" s="59">
        <f ca="1">AVERAGE(OFFSET($DS$3,0,0,'Données projet'!$E$14+1,1))-AVERAGE(OFFSET($H$3,0,0,'Données projet'!$E$14+1,1))</f>
        <v>296.376932094327</v>
      </c>
      <c r="DU14" s="59">
        <f t="shared" si="44"/>
        <v>350.93658329210882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12.3</v>
      </c>
      <c r="EJ14" s="12">
        <f>IF('Données projet'!$A$192&gt;35,EJ13+EI14-ER13,IF(A14&lt;'Données projet'!$A$192,$EG$205^A14,IF(A14='Données projet'!$A$192,'Données projet'!$B$192,EJ13+EI14-ER13)))</f>
        <v>23.3</v>
      </c>
      <c r="EK14" s="17">
        <f>EJ14*VLOOKUP('Données projet'!$B$15,Paramètres!$A$1:$I$89,3,0)*VLOOKUP('Données projet'!$B$15,Paramètres!$A$1:$I$89,5,0)</f>
        <v>15.266159999999999</v>
      </c>
      <c r="EL14" s="13">
        <f t="shared" si="45"/>
        <v>5.1226622747281976</v>
      </c>
      <c r="EM14" s="20">
        <f t="shared" si="19"/>
        <v>35.510532128484947</v>
      </c>
      <c r="EN14" s="59">
        <f t="shared" si="20"/>
        <v>305.6216432395961</v>
      </c>
      <c r="EO14" s="59">
        <f ca="1">AVERAGE(OFFSET($EN$3,0,0,'Données projet'!$E$15+1,1))-AVERAGE(OFFSET($H$3,0,0,'Données projet'!$E$15+1,1))</f>
        <v>231.03244099494077</v>
      </c>
      <c r="EP14" s="59">
        <f t="shared" si="46"/>
        <v>280.29723026390741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299.15620406350808</v>
      </c>
      <c r="S15" s="59">
        <f ca="1">AVERAGE(OFFSET($R$3,0,0,'Données projet'!$E$9+1,1))-AVERAGE(OFFSET($H$3,0,0,'Données projet'!$E$9+1,1))</f>
        <v>351.15781452544906</v>
      </c>
      <c r="T15" s="59">
        <f t="shared" si="34"/>
        <v>271.54361159160169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1.6</v>
      </c>
      <c r="AI15" s="13">
        <f>IF('Données projet'!$A$62&gt;35,AI14+AH15-AQ14,IF(A15&lt;'Données projet'!$A$62,$AF$205^A15,IF(A15='Données projet'!$A$62,'Données projet'!$B$62,AI14+AH15-AQ14)))</f>
        <v>7.9999999999999947</v>
      </c>
      <c r="AJ15" s="13">
        <f>AI15*VLOOKUP('Données projet'!$B$10,Paramètres!$A$1:$I$89,3,0)*VLOOKUP('Données projet'!$B$10,Paramètres!$A$1:$I$89,5,0)</f>
        <v>6.8639999999999963</v>
      </c>
      <c r="AK15" s="13">
        <f t="shared" si="35"/>
        <v>2.5278525909113112</v>
      </c>
      <c r="AL15" s="20">
        <f t="shared" si="4"/>
        <v>16.357476595837191</v>
      </c>
      <c r="AM15" s="59">
        <f t="shared" si="5"/>
        <v>287.69080992917048</v>
      </c>
      <c r="AN15" s="59">
        <f ca="1">AVERAGE(OFFSET($AM$3,0,0,'Données projet'!$E$10+1,1))-AVERAGE(OFFSET($H$3,0,0,'Données projet'!$E$10+1,1))</f>
        <v>405.59933429804329</v>
      </c>
      <c r="AO15" s="59">
        <f t="shared" si="36"/>
        <v>208.64922573363776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9.1088984855501316</v>
      </c>
      <c r="BF15" s="13">
        <f t="shared" si="37"/>
        <v>3.2459072101643005</v>
      </c>
      <c r="BG15" s="20">
        <f t="shared" si="7"/>
        <v>21.517953253369303</v>
      </c>
      <c r="BH15" s="59">
        <f t="shared" si="8"/>
        <v>292.8512865867026</v>
      </c>
      <c r="BI15" s="59">
        <f ca="1">AVERAGE(OFFSET($BH$3,0,0,'Données projet'!$E$11+1,1))-AVERAGE(OFFSET($H$3,0,0,'Données projet'!$E$11+1,1))</f>
        <v>293.19327646293601</v>
      </c>
      <c r="BJ15" s="59">
        <f t="shared" si="38"/>
        <v>200.0769581869605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5.85</v>
      </c>
      <c r="BY15" s="12">
        <f>IF('Données projet'!$A$114&gt;35,BY14+BX15-CG14,IF(A15&lt;'Données projet'!$A$114,$BV$205^A15,IF(A15='Données projet'!$A$114,'Données projet'!$B$114,BY14+BX15-CG14)))</f>
        <v>17.414520346317467</v>
      </c>
      <c r="BZ15" s="13">
        <f>BY15*VLOOKUP('Données projet'!$B$12,Paramètres!$A$1:$I$89,3,0)*VLOOKUP('Données projet'!$B$12,Paramètres!$A$1:$I$89,5,0)</f>
        <v>13.583325870127625</v>
      </c>
      <c r="CA15" s="13">
        <f t="shared" si="39"/>
        <v>4.6203648609004491</v>
      </c>
      <c r="CB15" s="20">
        <f t="shared" si="10"/>
        <v>31.704761356540562</v>
      </c>
      <c r="CC15" s="59">
        <f t="shared" si="11"/>
        <v>303.0380946898739</v>
      </c>
      <c r="CD15" s="59">
        <f ca="1">AVERAGE(OFFSET($CC$3,0,0,'Données projet'!$E$12+1,1))-AVERAGE(OFFSET($H$3,0,0,'Données projet'!$E$12+1,1))</f>
        <v>295.95249585728561</v>
      </c>
      <c r="CE15" s="59">
        <f t="shared" si="40"/>
        <v>306.85862495052709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1.6</v>
      </c>
      <c r="CT15" s="12">
        <f>IF('Données projet'!$A$140&gt;35,CT14+CS15-DB14,IF(A15&lt;'Données projet'!$A$140,$CQ$205^A15,IF(A15='Données projet'!$A$140,'Données projet'!$B$140,CT14+CS15-DB14)))</f>
        <v>7.9999999999999947</v>
      </c>
      <c r="CU15" s="17">
        <f>CT15*VLOOKUP('Données projet'!$B$13,Paramètres!$A$1:$I$89,3,0)*VLOOKUP('Données projet'!$B$13,Paramètres!$A$1:$I$89,5,0)</f>
        <v>7.6127999999999947</v>
      </c>
      <c r="CV15" s="13">
        <f t="shared" si="41"/>
        <v>2.7700315442197656</v>
      </c>
      <c r="CW15" s="20">
        <f t="shared" si="13"/>
        <v>18.083431606182749</v>
      </c>
      <c r="CX15" s="59">
        <f t="shared" si="14"/>
        <v>289.41676493951604</v>
      </c>
      <c r="CY15" s="59">
        <f ca="1">AVERAGE(OFFSET($CX$3,0,0,'Données projet'!$E$13+1,1))-AVERAGE(OFFSET($H$3,0,0,'Données projet'!$E$13+1,1))</f>
        <v>461.10546083340631</v>
      </c>
      <c r="CZ15" s="59">
        <f t="shared" si="42"/>
        <v>233.41883071412587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28.878720000000001</v>
      </c>
      <c r="DQ15" s="13">
        <f t="shared" si="43"/>
        <v>8.9974353055654852</v>
      </c>
      <c r="DR15" s="20">
        <f t="shared" si="16"/>
        <v>65.967637157193224</v>
      </c>
      <c r="DS15" s="59">
        <f t="shared" si="17"/>
        <v>337.30097049052654</v>
      </c>
      <c r="DT15" s="59">
        <f ca="1">AVERAGE(OFFSET($DS$3,0,0,'Données projet'!$E$14+1,1))-AVERAGE(OFFSET($H$3,0,0,'Données projet'!$E$14+1,1))</f>
        <v>296.376932094327</v>
      </c>
      <c r="DU15" s="59">
        <f t="shared" si="44"/>
        <v>350.93658329210882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12.3</v>
      </c>
      <c r="EJ15" s="12">
        <f>IF('Données projet'!$A$192&gt;35,EJ14+EI15-ER14,IF(A15&lt;'Données projet'!$A$192,$EG$205^A15,IF(A15='Données projet'!$A$192,'Données projet'!$B$192,EJ14+EI15-ER14)))</f>
        <v>35.6</v>
      </c>
      <c r="EK15" s="17">
        <f>EJ15*VLOOKUP('Données projet'!$B$15,Paramètres!$A$1:$I$89,3,0)*VLOOKUP('Données projet'!$B$15,Paramètres!$A$1:$I$89,5,0)</f>
        <v>23.325120000000002</v>
      </c>
      <c r="EL15" s="13">
        <f t="shared" si="45"/>
        <v>7.4500854017956177</v>
      </c>
      <c r="EM15" s="20">
        <f t="shared" si="19"/>
        <v>53.600149408127372</v>
      </c>
      <c r="EN15" s="59">
        <f t="shared" si="20"/>
        <v>324.93348274146069</v>
      </c>
      <c r="EO15" s="59">
        <f ca="1">AVERAGE(OFFSET($EN$3,0,0,'Données projet'!$E$15+1,1))-AVERAGE(OFFSET($H$3,0,0,'Données projet'!$E$15+1,1))</f>
        <v>231.03244099494077</v>
      </c>
      <c r="EP15" s="59">
        <f t="shared" si="46"/>
        <v>280.29723026390741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306.81726343399242</v>
      </c>
      <c r="S16" s="59">
        <f ca="1">AVERAGE(OFFSET($R$3,0,0,'Données projet'!$E$9+1,1))-AVERAGE(OFFSET($H$3,0,0,'Données projet'!$E$9+1,1))</f>
        <v>351.15781452544906</v>
      </c>
      <c r="T16" s="59">
        <f t="shared" si="34"/>
        <v>271.54361159160169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1.6</v>
      </c>
      <c r="AI16" s="13">
        <f>IF('Données projet'!$A$62&gt;35,AI15+AH16-AQ15,IF(A16&lt;'Données projet'!$A$62,$AF$205^A16,IF(A16='Données projet'!$A$62,'Données projet'!$B$62,AI15+AH16-AQ15)))</f>
        <v>9.5136569200217629</v>
      </c>
      <c r="AJ16" s="13">
        <f>AI16*VLOOKUP('Données projet'!$B$10,Paramètres!$A$1:$I$89,3,0)*VLOOKUP('Données projet'!$B$10,Paramètres!$A$1:$I$89,5,0)</f>
        <v>8.1627176373786732</v>
      </c>
      <c r="AK16" s="13">
        <f t="shared" si="35"/>
        <v>2.946112121509751</v>
      </c>
      <c r="AL16" s="20">
        <f t="shared" si="4"/>
        <v>19.347878496730672</v>
      </c>
      <c r="AM16" s="59">
        <f t="shared" si="5"/>
        <v>291.90343405228623</v>
      </c>
      <c r="AN16" s="59">
        <f ca="1">AVERAGE(OFFSET($AM$3,0,0,'Données projet'!$E$10+1,1))-AVERAGE(OFFSET($H$3,0,0,'Données projet'!$E$10+1,1))</f>
        <v>405.59933429804329</v>
      </c>
      <c r="AO16" s="59">
        <f t="shared" si="36"/>
        <v>208.64922573363776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10.98065702026792</v>
      </c>
      <c r="BF16" s="13">
        <f t="shared" si="37"/>
        <v>3.8286992592655618</v>
      </c>
      <c r="BG16" s="20">
        <f t="shared" si="7"/>
        <v>25.792962186854144</v>
      </c>
      <c r="BH16" s="59">
        <f t="shared" si="8"/>
        <v>298.34851774240968</v>
      </c>
      <c r="BI16" s="59">
        <f ca="1">AVERAGE(OFFSET($BH$3,0,0,'Données projet'!$E$11+1,1))-AVERAGE(OFFSET($H$3,0,0,'Données projet'!$E$11+1,1))</f>
        <v>293.19327646293601</v>
      </c>
      <c r="BJ16" s="59">
        <f t="shared" si="38"/>
        <v>200.0769581869605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5.85</v>
      </c>
      <c r="BY16" s="12">
        <f>IF('Données projet'!$A$114&gt;35,BY15+BX16-CG15,IF(A16&lt;'Données projet'!$A$114,$BV$205^A16,IF(A16='Données projet'!$A$114,'Données projet'!$B$114,BY15+BX16-CG15)))</f>
        <v>22.096363724180279</v>
      </c>
      <c r="BZ16" s="13">
        <f>BY16*VLOOKUP('Données projet'!$B$12,Paramètres!$A$1:$I$89,3,0)*VLOOKUP('Données projet'!$B$12,Paramètres!$A$1:$I$89,5,0)</f>
        <v>17.235163704860618</v>
      </c>
      <c r="CA16" s="13">
        <f t="shared" si="39"/>
        <v>5.7022824278817001</v>
      </c>
      <c r="CB16" s="20">
        <f t="shared" si="10"/>
        <v>39.949385347859533</v>
      </c>
      <c r="CC16" s="59">
        <f t="shared" si="11"/>
        <v>312.5049409034151</v>
      </c>
      <c r="CD16" s="59">
        <f ca="1">AVERAGE(OFFSET($CC$3,0,0,'Données projet'!$E$12+1,1))-AVERAGE(OFFSET($H$3,0,0,'Données projet'!$E$12+1,1))</f>
        <v>295.95249585728561</v>
      </c>
      <c r="CE16" s="59">
        <f t="shared" si="40"/>
        <v>306.85862495052709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1.6</v>
      </c>
      <c r="CT16" s="12">
        <f>IF('Données projet'!$A$140&gt;35,CT15+CS16-DB15,IF(A16&lt;'Données projet'!$A$140,$CQ$205^A16,IF(A16='Données projet'!$A$140,'Données projet'!$B$140,CT15+CS16-DB15)))</f>
        <v>9.5136569200217629</v>
      </c>
      <c r="CU16" s="17">
        <f>CT16*VLOOKUP('Données projet'!$B$13,Paramètres!$A$1:$I$89,3,0)*VLOOKUP('Données projet'!$B$13,Paramètres!$A$1:$I$89,5,0)</f>
        <v>9.0531959250927105</v>
      </c>
      <c r="CV16" s="13">
        <f t="shared" si="41"/>
        <v>3.2283621041558384</v>
      </c>
      <c r="CW16" s="20">
        <f t="shared" si="13"/>
        <v>21.390380234274556</v>
      </c>
      <c r="CX16" s="59">
        <f t="shared" si="14"/>
        <v>293.94593578983012</v>
      </c>
      <c r="CY16" s="59">
        <f ca="1">AVERAGE(OFFSET($CX$3,0,0,'Données projet'!$E$13+1,1))-AVERAGE(OFFSET($H$3,0,0,'Données projet'!$E$13+1,1))</f>
        <v>461.10546083340631</v>
      </c>
      <c r="CZ16" s="59">
        <f t="shared" si="42"/>
        <v>233.41883071412587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38.856480000000012</v>
      </c>
      <c r="DQ16" s="13">
        <f t="shared" si="43"/>
        <v>11.695047069343518</v>
      </c>
      <c r="DR16" s="20">
        <f t="shared" si="16"/>
        <v>88.043909645773326</v>
      </c>
      <c r="DS16" s="59">
        <f t="shared" si="17"/>
        <v>360.59946520132888</v>
      </c>
      <c r="DT16" s="59">
        <f ca="1">AVERAGE(OFFSET($DS$3,0,0,'Données projet'!$E$14+1,1))-AVERAGE(OFFSET($H$3,0,0,'Données projet'!$E$14+1,1))</f>
        <v>296.376932094327</v>
      </c>
      <c r="DU16" s="59">
        <f t="shared" si="44"/>
        <v>350.93658329210882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12.3</v>
      </c>
      <c r="EJ16" s="12">
        <f>IF('Données projet'!$A$192&gt;35,EJ15+EI16-ER15,IF(A16&lt;'Données projet'!$A$192,$EG$205^A16,IF(A16='Données projet'!$A$192,'Données projet'!$B$192,EJ15+EI16-ER15)))</f>
        <v>47.900000000000006</v>
      </c>
      <c r="EK16" s="17">
        <f>EJ16*VLOOKUP('Données projet'!$B$15,Paramètres!$A$1:$I$89,3,0)*VLOOKUP('Données projet'!$B$15,Paramètres!$A$1:$I$89,5,0)</f>
        <v>31.384080000000004</v>
      </c>
      <c r="EL16" s="13">
        <f t="shared" si="45"/>
        <v>9.6837705952421604</v>
      </c>
      <c r="EM16" s="20">
        <f t="shared" si="19"/>
        <v>71.526506453380094</v>
      </c>
      <c r="EN16" s="59">
        <f t="shared" si="20"/>
        <v>344.08206200893562</v>
      </c>
      <c r="EO16" s="59">
        <f ca="1">AVERAGE(OFFSET($EN$3,0,0,'Données projet'!$E$15+1,1))-AVERAGE(OFFSET($H$3,0,0,'Données projet'!$E$15+1,1))</f>
        <v>231.03244099494077</v>
      </c>
      <c r="EP16" s="59">
        <f t="shared" si="46"/>
        <v>280.29723026390741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315.9733740744461</v>
      </c>
      <c r="S17" s="59">
        <f ca="1">AVERAGE(OFFSET($R$3,0,0,'Données projet'!$E$9+1,1))-AVERAGE(OFFSET($H$3,0,0,'Données projet'!$E$9+1,1))</f>
        <v>351.15781452544906</v>
      </c>
      <c r="T17" s="59">
        <f t="shared" si="34"/>
        <v>271.54361159160169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1.6</v>
      </c>
      <c r="AI17" s="13">
        <f>IF('Données projet'!$A$62&gt;35,AI16+AH17-AQ16,IF(A17&lt;'Données projet'!$A$62,$AF$205^A17,IF(A17='Données projet'!$A$62,'Données projet'!$B$62,AI16+AH17-AQ16)))</f>
        <v>11.313708498984752</v>
      </c>
      <c r="AJ17" s="13">
        <f>AI17*VLOOKUP('Données projet'!$B$10,Paramètres!$A$1:$I$89,3,0)*VLOOKUP('Données projet'!$B$10,Paramètres!$A$1:$I$89,5,0)</f>
        <v>9.7071618921289176</v>
      </c>
      <c r="AK17" s="13">
        <f t="shared" si="35"/>
        <v>3.433577046269785</v>
      </c>
      <c r="AL17" s="20">
        <f t="shared" si="4"/>
        <v>22.886786984377736</v>
      </c>
      <c r="AM17" s="59">
        <f t="shared" si="5"/>
        <v>296.66456476215552</v>
      </c>
      <c r="AN17" s="59">
        <f ca="1">AVERAGE(OFFSET($AM$3,0,0,'Données projet'!$E$10+1,1))-AVERAGE(OFFSET($H$3,0,0,'Données projet'!$E$10+1,1))</f>
        <v>405.59933429804329</v>
      </c>
      <c r="AO17" s="59">
        <f t="shared" si="36"/>
        <v>208.64922573363776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13.237037254068934</v>
      </c>
      <c r="BF17" s="13">
        <f t="shared" si="37"/>
        <v>4.5161297192961545</v>
      </c>
      <c r="BG17" s="20">
        <f t="shared" si="7"/>
        <v>30.920099145277529</v>
      </c>
      <c r="BH17" s="59">
        <f t="shared" si="8"/>
        <v>304.69787692305528</v>
      </c>
      <c r="BI17" s="59">
        <f ca="1">AVERAGE(OFFSET($BH$3,0,0,'Données projet'!$E$11+1,1))-AVERAGE(OFFSET($H$3,0,0,'Données projet'!$E$11+1,1))</f>
        <v>293.19327646293601</v>
      </c>
      <c r="BJ17" s="59">
        <f t="shared" si="38"/>
        <v>200.0769581869605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5.85</v>
      </c>
      <c r="BY17" s="12">
        <f>IF('Données projet'!$A$114&gt;35,BY16+BX17-CG16,IF(A17&lt;'Données projet'!$A$114,$BV$205^A17,IF(A17='Données projet'!$A$114,'Données projet'!$B$114,BY16+BX17-CG16)))</f>
        <v>28.036907139651255</v>
      </c>
      <c r="BZ17" s="13">
        <f>BY17*VLOOKUP('Données projet'!$B$12,Paramètres!$A$1:$I$89,3,0)*VLOOKUP('Données projet'!$B$12,Paramètres!$A$1:$I$89,5,0)</f>
        <v>21.868787568927981</v>
      </c>
      <c r="CA17" s="13">
        <f t="shared" si="39"/>
        <v>7.0375448403422114</v>
      </c>
      <c r="CB17" s="20">
        <f t="shared" si="10"/>
        <v>50.34519561281224</v>
      </c>
      <c r="CC17" s="59">
        <f t="shared" si="11"/>
        <v>324.12297339059</v>
      </c>
      <c r="CD17" s="59">
        <f ca="1">AVERAGE(OFFSET($CC$3,0,0,'Données projet'!$E$12+1,1))-AVERAGE(OFFSET($H$3,0,0,'Données projet'!$E$12+1,1))</f>
        <v>295.95249585728561</v>
      </c>
      <c r="CE17" s="59">
        <f t="shared" si="40"/>
        <v>306.85862495052709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1.6</v>
      </c>
      <c r="CT17" s="12">
        <f>IF('Données projet'!$A$140&gt;35,CT16+CS17-DB16,IF(A17&lt;'Données projet'!$A$140,$CQ$205^A17,IF(A17='Données projet'!$A$140,'Données projet'!$B$140,CT16+CS17-DB16)))</f>
        <v>11.313708498984752</v>
      </c>
      <c r="CU17" s="17">
        <f>CT17*VLOOKUP('Données projet'!$B$13,Paramètres!$A$1:$I$89,3,0)*VLOOKUP('Données projet'!$B$13,Paramètres!$A$1:$I$89,5,0)</f>
        <v>10.766125007633891</v>
      </c>
      <c r="CV17" s="13">
        <f t="shared" si="41"/>
        <v>3.7625282272679526</v>
      </c>
      <c r="CW17" s="20">
        <f t="shared" si="13"/>
        <v>25.304071050787371</v>
      </c>
      <c r="CX17" s="59">
        <f t="shared" si="14"/>
        <v>299.08184882856517</v>
      </c>
      <c r="CY17" s="59">
        <f ca="1">AVERAGE(OFFSET($CX$3,0,0,'Données projet'!$E$13+1,1))-AVERAGE(OFFSET($H$3,0,0,'Données projet'!$E$13+1,1))</f>
        <v>461.10546083340631</v>
      </c>
      <c r="CZ17" s="59">
        <f t="shared" si="42"/>
        <v>233.41883071412587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48.834240000000008</v>
      </c>
      <c r="DQ17" s="13">
        <f t="shared" si="43"/>
        <v>14.312284945668457</v>
      </c>
      <c r="DR17" s="20">
        <f t="shared" si="16"/>
        <v>109.98019761370591</v>
      </c>
      <c r="DS17" s="59">
        <f t="shared" si="17"/>
        <v>383.75797539148368</v>
      </c>
      <c r="DT17" s="59">
        <f ca="1">AVERAGE(OFFSET($DS$3,0,0,'Données projet'!$E$14+1,1))-AVERAGE(OFFSET($H$3,0,0,'Données projet'!$E$14+1,1))</f>
        <v>296.376932094327</v>
      </c>
      <c r="DU17" s="59">
        <f t="shared" si="44"/>
        <v>350.93658329210882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12.3</v>
      </c>
      <c r="EJ17" s="12">
        <f>IF('Données projet'!$A$192&gt;35,EJ16+EI17-ER16,IF(A17&lt;'Données projet'!$A$192,$EG$205^A17,IF(A17='Données projet'!$A$192,'Données projet'!$B$192,EJ16+EI17-ER16)))</f>
        <v>60.2</v>
      </c>
      <c r="EK17" s="17">
        <f>EJ17*VLOOKUP('Données projet'!$B$15,Paramètres!$A$1:$I$89,3,0)*VLOOKUP('Données projet'!$B$15,Paramètres!$A$1:$I$89,5,0)</f>
        <v>39.443039999999996</v>
      </c>
      <c r="EL17" s="13">
        <f t="shared" si="45"/>
        <v>11.850904343164059</v>
      </c>
      <c r="EM17" s="20">
        <f t="shared" si="19"/>
        <v>89.336953064344058</v>
      </c>
      <c r="EN17" s="59">
        <f t="shared" si="20"/>
        <v>363.11473084212184</v>
      </c>
      <c r="EO17" s="59">
        <f ca="1">AVERAGE(OFFSET($EN$3,0,0,'Données projet'!$E$15+1,1))-AVERAGE(OFFSET($H$3,0,0,'Données projet'!$E$15+1,1))</f>
        <v>231.03244099494077</v>
      </c>
      <c r="EP17" s="59">
        <f t="shared" si="46"/>
        <v>280.29723026390741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326.97274628871452</v>
      </c>
      <c r="S18" s="59">
        <f ca="1">AVERAGE(OFFSET($R$3,0,0,'Données projet'!$E$9+1,1))-AVERAGE(OFFSET($H$3,0,0,'Données projet'!$E$9+1,1))</f>
        <v>351.15781452544906</v>
      </c>
      <c r="T18" s="59">
        <f t="shared" si="34"/>
        <v>271.54361159160169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1.6</v>
      </c>
      <c r="AI18" s="13">
        <f>IF('Données projet'!$A$62&gt;35,AI17+AH18-AQ17,IF(A18&lt;'Données projet'!$A$62,$AF$205^A18,IF(A18='Données projet'!$A$62,'Données projet'!$B$62,AI17+AH18-AQ17)))</f>
        <v>13.454342644059421</v>
      </c>
      <c r="AJ18" s="13">
        <f>AI18*VLOOKUP('Données projet'!$B$10,Paramètres!$A$1:$I$89,3,0)*VLOOKUP('Données projet'!$B$10,Paramètres!$A$1:$I$89,5,0)</f>
        <v>11.543825988602984</v>
      </c>
      <c r="AK18" s="13">
        <f t="shared" si="35"/>
        <v>4.0016981182064377</v>
      </c>
      <c r="AL18" s="20">
        <f t="shared" si="4"/>
        <v>27.075121152693075</v>
      </c>
      <c r="AM18" s="59">
        <f t="shared" si="5"/>
        <v>302.0751211526931</v>
      </c>
      <c r="AN18" s="59">
        <f ca="1">AVERAGE(OFFSET($AM$3,0,0,'Données projet'!$E$10+1,1))-AVERAGE(OFFSET($H$3,0,0,'Données projet'!$E$10+1,1))</f>
        <v>405.59933429804329</v>
      </c>
      <c r="AO18" s="59">
        <f t="shared" si="36"/>
        <v>208.64922573363776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15.957073874741019</v>
      </c>
      <c r="BF18" s="13">
        <f t="shared" si="37"/>
        <v>5.3269860755326848</v>
      </c>
      <c r="BG18" s="20">
        <f t="shared" si="7"/>
        <v>37.069737746726702</v>
      </c>
      <c r="BH18" s="59">
        <f t="shared" si="8"/>
        <v>312.06973774672667</v>
      </c>
      <c r="BI18" s="59">
        <f ca="1">AVERAGE(OFFSET($BH$3,0,0,'Données projet'!$E$11+1,1))-AVERAGE(OFFSET($H$3,0,0,'Données projet'!$E$11+1,1))</f>
        <v>293.19327646293601</v>
      </c>
      <c r="BJ18" s="59">
        <f t="shared" si="38"/>
        <v>200.0769581869605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5.85</v>
      </c>
      <c r="BY18" s="12">
        <f>IF('Données projet'!$A$114&gt;35,BY17+BX18-CG17,IF(A18&lt;'Données projet'!$A$114,$BV$205^A18,IF(A18='Données projet'!$A$114,'Données projet'!$B$114,BY17+BX18-CG17)))</f>
        <v>35.574548453745123</v>
      </c>
      <c r="BZ18" s="13">
        <f>BY18*VLOOKUP('Données projet'!$B$12,Paramètres!$A$1:$I$89,3,0)*VLOOKUP('Données projet'!$B$12,Paramètres!$A$1:$I$89,5,0)</f>
        <v>27.748147793921198</v>
      </c>
      <c r="CA18" s="13">
        <f t="shared" si="39"/>
        <v>8.6854760363431716</v>
      </c>
      <c r="CB18" s="20">
        <f t="shared" si="10"/>
        <v>63.455228171043764</v>
      </c>
      <c r="CC18" s="59">
        <f t="shared" si="11"/>
        <v>338.45522817104376</v>
      </c>
      <c r="CD18" s="59">
        <f ca="1">AVERAGE(OFFSET($CC$3,0,0,'Données projet'!$E$12+1,1))-AVERAGE(OFFSET($H$3,0,0,'Données projet'!$E$12+1,1))</f>
        <v>295.95249585728561</v>
      </c>
      <c r="CE18" s="59">
        <f t="shared" si="40"/>
        <v>306.85862495052709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1.6</v>
      </c>
      <c r="CT18" s="12">
        <f>IF('Données projet'!$A$140&gt;35,CT17+CS18-DB17,IF(A18&lt;'Données projet'!$A$140,$CQ$205^A18,IF(A18='Données projet'!$A$140,'Données projet'!$B$140,CT17+CS18-DB17)))</f>
        <v>13.454342644059421</v>
      </c>
      <c r="CU18" s="17">
        <f>CT18*VLOOKUP('Données projet'!$B$13,Paramètres!$A$1:$I$89,3,0)*VLOOKUP('Données projet'!$B$13,Paramètres!$A$1:$I$89,5,0)</f>
        <v>12.803152460086945</v>
      </c>
      <c r="CV18" s="13">
        <f t="shared" si="41"/>
        <v>4.3850776970664018</v>
      </c>
      <c r="CW18" s="20">
        <f t="shared" si="13"/>
        <v>29.936167523708747</v>
      </c>
      <c r="CX18" s="59">
        <f t="shared" si="14"/>
        <v>304.93616752370872</v>
      </c>
      <c r="CY18" s="59">
        <f ca="1">AVERAGE(OFFSET($CX$3,0,0,'Données projet'!$E$13+1,1))-AVERAGE(OFFSET($H$3,0,0,'Données projet'!$E$13+1,1))</f>
        <v>461.10546083340631</v>
      </c>
      <c r="CZ18" s="59">
        <f t="shared" si="42"/>
        <v>233.41883071412587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58.812000000000005</v>
      </c>
      <c r="DQ18" s="13">
        <f t="shared" si="43"/>
        <v>16.86755663452599</v>
      </c>
      <c r="DR18" s="20">
        <f t="shared" si="16"/>
        <v>131.8085611384661</v>
      </c>
      <c r="DS18" s="59">
        <f t="shared" si="17"/>
        <v>406.80856113846608</v>
      </c>
      <c r="DT18" s="59">
        <f ca="1">AVERAGE(OFFSET($DS$3,0,0,'Données projet'!$E$14+1,1))-AVERAGE(OFFSET($H$3,0,0,'Données projet'!$E$14+1,1))</f>
        <v>296.376932094327</v>
      </c>
      <c r="DU18" s="59">
        <f t="shared" si="44"/>
        <v>350.93658329210882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12.3</v>
      </c>
      <c r="EJ18" s="12">
        <f>IF('Données projet'!$A$192&gt;35,EJ17+EI18-ER17,IF(A18&lt;'Données projet'!$A$192,$EG$205^A18,IF(A18='Données projet'!$A$192,'Données projet'!$B$192,EJ17+EI18-ER17)))</f>
        <v>72.5</v>
      </c>
      <c r="EK18" s="17">
        <f>EJ18*VLOOKUP('Données projet'!$B$15,Paramètres!$A$1:$I$89,3,0)*VLOOKUP('Données projet'!$B$15,Paramètres!$A$1:$I$89,5,0)</f>
        <v>47.502000000000002</v>
      </c>
      <c r="EL18" s="13">
        <f t="shared" si="45"/>
        <v>13.966728648675163</v>
      </c>
      <c r="EM18" s="20">
        <f t="shared" si="19"/>
        <v>107.05803572977591</v>
      </c>
      <c r="EN18" s="59">
        <f t="shared" si="20"/>
        <v>382.0580357297759</v>
      </c>
      <c r="EO18" s="59">
        <f ca="1">AVERAGE(OFFSET($EN$3,0,0,'Données projet'!$E$15+1,1))-AVERAGE(OFFSET($H$3,0,0,'Données projet'!$E$15+1,1))</f>
        <v>231.03244099494077</v>
      </c>
      <c r="EP18" s="59">
        <f t="shared" si="46"/>
        <v>280.29723026390741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340.24492173474681</v>
      </c>
      <c r="S19" s="59">
        <f ca="1">AVERAGE(OFFSET($R$3,0,0,'Données projet'!$E$9+1,1))-AVERAGE(OFFSET($H$3,0,0,'Données projet'!$E$9+1,1))</f>
        <v>351.15781452544906</v>
      </c>
      <c r="T19" s="59">
        <f t="shared" si="34"/>
        <v>271.54361159160169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1.6</v>
      </c>
      <c r="AI19" s="13">
        <f>IF('Données projet'!$A$62&gt;35,AI18+AH19-AQ18,IF(A19&lt;'Données projet'!$A$62,$AF$205^A19,IF(A19='Données projet'!$A$62,'Données projet'!$B$62,AI18+AH19-AQ18)))</f>
        <v>15.999999999999986</v>
      </c>
      <c r="AJ19" s="13">
        <f>AI19*VLOOKUP('Données projet'!$B$10,Paramètres!$A$1:$I$89,3,0)*VLOOKUP('Données projet'!$B$10,Paramètres!$A$1:$I$89,5,0)</f>
        <v>13.727999999999991</v>
      </c>
      <c r="AK19" s="13">
        <f t="shared" si="35"/>
        <v>4.6638207366437268</v>
      </c>
      <c r="AL19" s="20">
        <f t="shared" si="4"/>
        <v>32.032421116321139</v>
      </c>
      <c r="AM19" s="59">
        <f t="shared" si="5"/>
        <v>308.25464333854336</v>
      </c>
      <c r="AN19" s="59">
        <f ca="1">AVERAGE(OFFSET($AM$3,0,0,'Données projet'!$E$10+1,1))-AVERAGE(OFFSET($H$3,0,0,'Données projet'!$E$10+1,1))</f>
        <v>405.59933429804329</v>
      </c>
      <c r="AO19" s="59">
        <f t="shared" si="36"/>
        <v>208.64922573363776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19.236042156311996</v>
      </c>
      <c r="BF19" s="13">
        <f t="shared" si="37"/>
        <v>6.2834290449348904</v>
      </c>
      <c r="BG19" s="20">
        <f t="shared" si="7"/>
        <v>44.446412342171662</v>
      </c>
      <c r="BH19" s="59">
        <f t="shared" si="8"/>
        <v>320.66863456439387</v>
      </c>
      <c r="BI19" s="59">
        <f ca="1">AVERAGE(OFFSET($BH$3,0,0,'Données projet'!$E$11+1,1))-AVERAGE(OFFSET($H$3,0,0,'Données projet'!$E$11+1,1))</f>
        <v>293.19327646293601</v>
      </c>
      <c r="BJ19" s="59">
        <f t="shared" si="38"/>
        <v>200.0769581869605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5.85</v>
      </c>
      <c r="BY19" s="12">
        <f>IF('Données projet'!$A$114&gt;35,BY18+BX19-CG18,IF(A19&lt;'Données projet'!$A$114,$BV$205^A19,IF(A19='Données projet'!$A$114,'Données projet'!$B$114,BY18+BX19-CG18)))</f>
        <v>45.138662812705725</v>
      </c>
      <c r="BZ19" s="13">
        <f>BY19*VLOOKUP('Données projet'!$B$12,Paramètres!$A$1:$I$89,3,0)*VLOOKUP('Données projet'!$B$12,Paramètres!$A$1:$I$89,5,0)</f>
        <v>35.208156993910464</v>
      </c>
      <c r="CA19" s="13">
        <f t="shared" si="39"/>
        <v>10.71929141331386</v>
      </c>
      <c r="CB19" s="20">
        <f t="shared" si="10"/>
        <v>79.990305975915703</v>
      </c>
      <c r="CC19" s="59">
        <f t="shared" si="11"/>
        <v>356.21252819813793</v>
      </c>
      <c r="CD19" s="59">
        <f ca="1">AVERAGE(OFFSET($CC$3,0,0,'Données projet'!$E$12+1,1))-AVERAGE(OFFSET($H$3,0,0,'Données projet'!$E$12+1,1))</f>
        <v>295.95249585728561</v>
      </c>
      <c r="CE19" s="59">
        <f t="shared" si="40"/>
        <v>306.85862495052709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1.6</v>
      </c>
      <c r="CT19" s="12">
        <f>IF('Données projet'!$A$140&gt;35,CT18+CS19-DB18,IF(A19&lt;'Données projet'!$A$140,$CQ$205^A19,IF(A19='Données projet'!$A$140,'Données projet'!$B$140,CT18+CS19-DB18)))</f>
        <v>15.999999999999986</v>
      </c>
      <c r="CU19" s="17">
        <f>CT19*VLOOKUP('Données projet'!$B$13,Paramètres!$A$1:$I$89,3,0)*VLOOKUP('Données projet'!$B$13,Paramètres!$A$1:$I$89,5,0)</f>
        <v>15.225599999999986</v>
      </c>
      <c r="CV19" s="13">
        <f t="shared" si="41"/>
        <v>5.1106344584879499</v>
      </c>
      <c r="CW19" s="20">
        <f t="shared" si="13"/>
        <v>35.418941681866485</v>
      </c>
      <c r="CX19" s="59">
        <f t="shared" si="14"/>
        <v>311.64116390408873</v>
      </c>
      <c r="CY19" s="59">
        <f ca="1">AVERAGE(OFFSET($CX$3,0,0,'Données projet'!$E$13+1,1))-AVERAGE(OFFSET($H$3,0,0,'Données projet'!$E$13+1,1))</f>
        <v>461.10546083340631</v>
      </c>
      <c r="CZ19" s="59">
        <f t="shared" si="42"/>
        <v>233.41883071412587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68.789760000000001</v>
      </c>
      <c r="DQ19" s="13">
        <f t="shared" si="43"/>
        <v>19.372607944380292</v>
      </c>
      <c r="DR19" s="20">
        <f t="shared" si="16"/>
        <v>153.54945750312902</v>
      </c>
      <c r="DS19" s="59">
        <f t="shared" si="17"/>
        <v>429.77167972535125</v>
      </c>
      <c r="DT19" s="59">
        <f ca="1">AVERAGE(OFFSET($DS$3,0,0,'Données projet'!$E$14+1,1))-AVERAGE(OFFSET($H$3,0,0,'Données projet'!$E$14+1,1))</f>
        <v>296.376932094327</v>
      </c>
      <c r="DU19" s="59">
        <f t="shared" si="44"/>
        <v>350.93658329210882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12.3</v>
      </c>
      <c r="EJ19" s="12">
        <f>IF('Données projet'!$A$192&gt;35,EJ18+EI19-ER18,IF(A19&lt;'Données projet'!$A$192,$EG$205^A19,IF(A19='Données projet'!$A$192,'Données projet'!$B$192,EJ18+EI19-ER18)))</f>
        <v>84.8</v>
      </c>
      <c r="EK19" s="17">
        <f>EJ19*VLOOKUP('Données projet'!$B$15,Paramètres!$A$1:$I$89,3,0)*VLOOKUP('Données projet'!$B$15,Paramètres!$A$1:$I$89,5,0)</f>
        <v>55.560960000000001</v>
      </c>
      <c r="EL19" s="13">
        <f t="shared" si="45"/>
        <v>16.040969313984593</v>
      </c>
      <c r="EM19" s="20">
        <f t="shared" si="19"/>
        <v>124.70669355518986</v>
      </c>
      <c r="EN19" s="59">
        <f t="shared" si="20"/>
        <v>400.9289157774121</v>
      </c>
      <c r="EO19" s="59">
        <f ca="1">AVERAGE(OFFSET($EN$3,0,0,'Données projet'!$E$15+1,1))-AVERAGE(OFFSET($H$3,0,0,'Données projet'!$E$15+1,1))</f>
        <v>231.03244099494077</v>
      </c>
      <c r="EP19" s="59">
        <f t="shared" si="46"/>
        <v>280.29723026390741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356.31981931185817</v>
      </c>
      <c r="S20" s="59">
        <f ca="1">AVERAGE(OFFSET($R$3,0,0,'Données projet'!$E$9+1,1))-AVERAGE(OFFSET($H$3,0,0,'Données projet'!$E$9+1,1))</f>
        <v>351.15781452544906</v>
      </c>
      <c r="T20" s="59">
        <f t="shared" si="34"/>
        <v>271.54361159160169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1.6</v>
      </c>
      <c r="AI20" s="13">
        <f>IF('Données projet'!$A$62&gt;35,AI19+AH20-AQ19,IF(A20&lt;'Données projet'!$A$62,$AF$205^A20,IF(A20='Données projet'!$A$62,'Données projet'!$B$62,AI19+AH20-AQ19)))</f>
        <v>19.027313840043519</v>
      </c>
      <c r="AJ20" s="13">
        <f>AI20*VLOOKUP('Données projet'!$B$10,Paramètres!$A$1:$I$89,3,0)*VLOOKUP('Données projet'!$B$10,Paramètres!$A$1:$I$89,5,0)</f>
        <v>16.325435274757343</v>
      </c>
      <c r="AK20" s="13">
        <f t="shared" si="35"/>
        <v>5.4354984361731269</v>
      </c>
      <c r="AL20" s="20">
        <f t="shared" si="4"/>
        <v>37.90029287987057</v>
      </c>
      <c r="AM20" s="59">
        <f t="shared" si="5"/>
        <v>315.34473732431502</v>
      </c>
      <c r="AN20" s="59">
        <f ca="1">AVERAGE(OFFSET($AM$3,0,0,'Données projet'!$E$10+1,1))-AVERAGE(OFFSET($H$3,0,0,'Données projet'!$E$10+1,1))</f>
        <v>405.59933429804329</v>
      </c>
      <c r="AO20" s="59">
        <f t="shared" si="36"/>
        <v>208.64922573363776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23.188795185384055</v>
      </c>
      <c r="BF20" s="13">
        <f t="shared" si="37"/>
        <v>7.4115982288884323</v>
      </c>
      <c r="BG20" s="20">
        <f t="shared" si="7"/>
        <v>53.29568519652458</v>
      </c>
      <c r="BH20" s="59">
        <f t="shared" si="8"/>
        <v>330.74012964096903</v>
      </c>
      <c r="BI20" s="59">
        <f ca="1">AVERAGE(OFFSET($BH$3,0,0,'Données projet'!$E$11+1,1))-AVERAGE(OFFSET($H$3,0,0,'Données projet'!$E$11+1,1))</f>
        <v>293.19327646293601</v>
      </c>
      <c r="BJ20" s="59">
        <f t="shared" si="38"/>
        <v>200.0769581869605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5.85</v>
      </c>
      <c r="BY20" s="12">
        <f>IF('Données projet'!$A$114&gt;35,BY19+BX20-CG19,IF(A20&lt;'Données projet'!$A$114,$BV$205^A20,IF(A20='Données projet'!$A$114,'Données projet'!$B$114,BY19+BX20-CG19)))</f>
        <v>57.274061627749042</v>
      </c>
      <c r="BZ20" s="13">
        <f>BY20*VLOOKUP('Données projet'!$B$12,Paramètres!$A$1:$I$89,3,0)*VLOOKUP('Données projet'!$B$12,Paramètres!$A$1:$I$89,5,0)</f>
        <v>44.673768069644254</v>
      </c>
      <c r="CA20" s="13">
        <f t="shared" si="39"/>
        <v>13.229350691055696</v>
      </c>
      <c r="CB20" s="20">
        <f t="shared" si="10"/>
        <v>100.84793184155241</v>
      </c>
      <c r="CC20" s="59">
        <f t="shared" si="11"/>
        <v>378.29237628599685</v>
      </c>
      <c r="CD20" s="59">
        <f ca="1">AVERAGE(OFFSET($CC$3,0,0,'Données projet'!$E$12+1,1))-AVERAGE(OFFSET($H$3,0,0,'Données projet'!$E$12+1,1))</f>
        <v>295.95249585728561</v>
      </c>
      <c r="CE20" s="59">
        <f t="shared" si="40"/>
        <v>306.85862495052709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1.6</v>
      </c>
      <c r="CT20" s="12">
        <f>IF('Données projet'!$A$140&gt;35,CT19+CS20-DB19,IF(A20&lt;'Données projet'!$A$140,$CQ$205^A20,IF(A20='Données projet'!$A$140,'Données projet'!$B$140,CT19+CS20-DB19)))</f>
        <v>19.027313840043519</v>
      </c>
      <c r="CU20" s="17">
        <f>CT20*VLOOKUP('Données projet'!$B$13,Paramètres!$A$1:$I$89,3,0)*VLOOKUP('Données projet'!$B$13,Paramètres!$A$1:$I$89,5,0)</f>
        <v>18.106391850185414</v>
      </c>
      <c r="CV20" s="13">
        <f t="shared" si="41"/>
        <v>5.9562421404203727</v>
      </c>
      <c r="CW20" s="20">
        <f t="shared" si="13"/>
        <v>41.909087533638413</v>
      </c>
      <c r="CX20" s="59">
        <f t="shared" si="14"/>
        <v>319.35353197808286</v>
      </c>
      <c r="CY20" s="59">
        <f ca="1">AVERAGE(OFFSET($CX$3,0,0,'Données projet'!$E$13+1,1))-AVERAGE(OFFSET($H$3,0,0,'Données projet'!$E$13+1,1))</f>
        <v>461.10546083340631</v>
      </c>
      <c r="CZ20" s="59">
        <f t="shared" si="42"/>
        <v>233.41883071412587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78.767520000000005</v>
      </c>
      <c r="DQ20" s="13">
        <f t="shared" si="43"/>
        <v>21.835564602345425</v>
      </c>
      <c r="DR20" s="20">
        <f t="shared" si="16"/>
        <v>175.21703901575162</v>
      </c>
      <c r="DS20" s="59">
        <f t="shared" si="17"/>
        <v>452.66148346019611</v>
      </c>
      <c r="DT20" s="59">
        <f ca="1">AVERAGE(OFFSET($DS$3,0,0,'Données projet'!$E$14+1,1))-AVERAGE(OFFSET($H$3,0,0,'Données projet'!$E$14+1,1))</f>
        <v>296.376932094327</v>
      </c>
      <c r="DU20" s="59">
        <f t="shared" si="44"/>
        <v>350.93658329210882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12.3</v>
      </c>
      <c r="EJ20" s="12">
        <f>IF('Données projet'!$A$192&gt;35,EJ19+EI20-ER19,IF(A20&lt;'Données projet'!$A$192,$EG$205^A20,IF(A20='Données projet'!$A$192,'Données projet'!$B$192,EJ19+EI20-ER19)))</f>
        <v>97.1</v>
      </c>
      <c r="EK20" s="17">
        <f>EJ20*VLOOKUP('Données projet'!$B$15,Paramètres!$A$1:$I$89,3,0)*VLOOKUP('Données projet'!$B$15,Paramètres!$A$1:$I$89,5,0)</f>
        <v>63.619919999999993</v>
      </c>
      <c r="EL20" s="13">
        <f t="shared" si="45"/>
        <v>18.080354629865784</v>
      </c>
      <c r="EM20" s="20">
        <f t="shared" si="19"/>
        <v>142.29464498034955</v>
      </c>
      <c r="EN20" s="59">
        <f t="shared" si="20"/>
        <v>419.73908942479397</v>
      </c>
      <c r="EO20" s="59">
        <f ca="1">AVERAGE(OFFSET($EN$3,0,0,'Données projet'!$E$15+1,1))-AVERAGE(OFFSET($H$3,0,0,'Données projet'!$E$15+1,1))</f>
        <v>231.03244099494077</v>
      </c>
      <c r="EP20" s="59">
        <f t="shared" si="46"/>
        <v>280.29723026390741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375.85125169782572</v>
      </c>
      <c r="S21" s="59">
        <f ca="1">AVERAGE(OFFSET($R$3,0,0,'Données projet'!$E$9+1,1))-AVERAGE(OFFSET($H$3,0,0,'Données projet'!$E$9+1,1))</f>
        <v>351.15781452544906</v>
      </c>
      <c r="T21" s="59">
        <f t="shared" si="34"/>
        <v>271.54361159160169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1.6</v>
      </c>
      <c r="AI21" s="13">
        <f>IF('Données projet'!$A$62&gt;35,AI20+AH21-AQ20,IF(A21&lt;'Données projet'!$A$62,$AF$205^A21,IF(A21='Données projet'!$A$62,'Données projet'!$B$62,AI20+AH21-AQ20)))</f>
        <v>22.627416997969497</v>
      </c>
      <c r="AJ21" s="13">
        <f>AI21*VLOOKUP('Données projet'!$B$10,Paramètres!$A$1:$I$89,3,0)*VLOOKUP('Données projet'!$B$10,Paramètres!$A$1:$I$89,5,0)</f>
        <v>19.414323784257832</v>
      </c>
      <c r="AK21" s="13">
        <f t="shared" si="35"/>
        <v>6.3348582456241713</v>
      </c>
      <c r="AL21" s="20">
        <f t="shared" si="4"/>
        <v>44.846492035377821</v>
      </c>
      <c r="AM21" s="59">
        <f t="shared" si="5"/>
        <v>323.51315870204451</v>
      </c>
      <c r="AN21" s="59">
        <f ca="1">AVERAGE(OFFSET($AM$3,0,0,'Données projet'!$E$10+1,1))-AVERAGE(OFFSET($H$3,0,0,'Données projet'!$E$10+1,1))</f>
        <v>405.59933429804329</v>
      </c>
      <c r="AO21" s="59">
        <f t="shared" si="36"/>
        <v>208.64922573363776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27.953786843477392</v>
      </c>
      <c r="BF21" s="13">
        <f t="shared" si="37"/>
        <v>8.7423265089215931</v>
      </c>
      <c r="BG21" s="20">
        <f t="shared" si="7"/>
        <v>63.912397422094891</v>
      </c>
      <c r="BH21" s="59">
        <f t="shared" si="8"/>
        <v>342.57906408876158</v>
      </c>
      <c r="BI21" s="59">
        <f ca="1">AVERAGE(OFFSET($BH$3,0,0,'Données projet'!$E$11+1,1))-AVERAGE(OFFSET($H$3,0,0,'Données projet'!$E$11+1,1))</f>
        <v>293.19327646293601</v>
      </c>
      <c r="BJ21" s="59">
        <f t="shared" si="38"/>
        <v>200.0769581869605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5.85</v>
      </c>
      <c r="BY21" s="12">
        <f>IF('Données projet'!$A$114&gt;35,BY20+BX21-CG20,IF(A21&lt;'Données projet'!$A$114,$BV$205^A21,IF(A21='Données projet'!$A$114,'Données projet'!$B$114,BY20+BX21-CG20)))</f>
        <v>72.672027280698373</v>
      </c>
      <c r="BZ21" s="13">
        <f>BY21*VLOOKUP('Données projet'!$B$12,Paramètres!$A$1:$I$89,3,0)*VLOOKUP('Données projet'!$B$12,Paramètres!$A$1:$I$89,5,0)</f>
        <v>56.684181278944735</v>
      </c>
      <c r="CA21" s="13">
        <f t="shared" si="39"/>
        <v>16.327172474251263</v>
      </c>
      <c r="CB21" s="20">
        <f t="shared" si="10"/>
        <v>127.16144112014972</v>
      </c>
      <c r="CC21" s="59">
        <f t="shared" si="11"/>
        <v>405.82810778681642</v>
      </c>
      <c r="CD21" s="59">
        <f ca="1">AVERAGE(OFFSET($CC$3,0,0,'Données projet'!$E$12+1,1))-AVERAGE(OFFSET($H$3,0,0,'Données projet'!$E$12+1,1))</f>
        <v>295.95249585728561</v>
      </c>
      <c r="CE21" s="59">
        <f t="shared" si="40"/>
        <v>306.85862495052709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1.6</v>
      </c>
      <c r="CT21" s="12">
        <f>IF('Données projet'!$A$140&gt;35,CT20+CS21-DB20,IF(A21&lt;'Données projet'!$A$140,$CQ$205^A21,IF(A21='Données projet'!$A$140,'Données projet'!$B$140,CT20+CS21-DB20)))</f>
        <v>22.627416997969497</v>
      </c>
      <c r="CU21" s="17">
        <f>CT21*VLOOKUP('Données projet'!$B$13,Paramètres!$A$1:$I$89,3,0)*VLOOKUP('Données projet'!$B$13,Paramètres!$A$1:$I$89,5,0)</f>
        <v>21.532250015267774</v>
      </c>
      <c r="CV21" s="13">
        <f t="shared" si="41"/>
        <v>6.9417644176053512</v>
      </c>
      <c r="CW21" s="20">
        <f t="shared" si="13"/>
        <v>49.592241803920693</v>
      </c>
      <c r="CX21" s="59">
        <f t="shared" si="14"/>
        <v>328.25890847058736</v>
      </c>
      <c r="CY21" s="59">
        <f ca="1">AVERAGE(OFFSET($CX$3,0,0,'Données projet'!$E$13+1,1))-AVERAGE(OFFSET($H$3,0,0,'Données projet'!$E$13+1,1))</f>
        <v>461.10546083340631</v>
      </c>
      <c r="CZ21" s="59">
        <f t="shared" si="42"/>
        <v>233.41883071412587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88.745279999999994</v>
      </c>
      <c r="DQ21" s="13">
        <f t="shared" si="43"/>
        <v>24.262369928218718</v>
      </c>
      <c r="DR21" s="20">
        <f t="shared" si="16"/>
        <v>196.82165695831426</v>
      </c>
      <c r="DS21" s="59">
        <f t="shared" si="17"/>
        <v>475.48832362498092</v>
      </c>
      <c r="DT21" s="59">
        <f ca="1">AVERAGE(OFFSET($DS$3,0,0,'Données projet'!$E$14+1,1))-AVERAGE(OFFSET($H$3,0,0,'Données projet'!$E$14+1,1))</f>
        <v>296.376932094327</v>
      </c>
      <c r="DU21" s="59">
        <f t="shared" si="44"/>
        <v>350.93658329210882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12.3</v>
      </c>
      <c r="EJ21" s="12">
        <f>IF('Données projet'!$A$192&gt;35,EJ20+EI21-ER20,IF(A21&lt;'Données projet'!$A$192,$EG$205^A21,IF(A21='Données projet'!$A$192,'Données projet'!$B$192,EJ20+EI21-ER20)))</f>
        <v>109.39999999999999</v>
      </c>
      <c r="EK21" s="17">
        <f>EJ21*VLOOKUP('Données projet'!$B$15,Paramètres!$A$1:$I$89,3,0)*VLOOKUP('Données projet'!$B$15,Paramètres!$A$1:$I$89,5,0)</f>
        <v>71.678879999999992</v>
      </c>
      <c r="EL21" s="13">
        <f t="shared" si="45"/>
        <v>20.089805803146781</v>
      </c>
      <c r="EM21" s="20">
        <f t="shared" si="19"/>
        <v>159.83046110714733</v>
      </c>
      <c r="EN21" s="59">
        <f t="shared" si="20"/>
        <v>438.49712777381399</v>
      </c>
      <c r="EO21" s="59">
        <f ca="1">AVERAGE(OFFSET($EN$3,0,0,'Données projet'!$E$15+1,1))-AVERAGE(OFFSET($H$3,0,0,'Données projet'!$E$15+1,1))</f>
        <v>231.03244099494077</v>
      </c>
      <c r="EP21" s="59">
        <f t="shared" si="46"/>
        <v>280.29723026390741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399.64596418363215</v>
      </c>
      <c r="S22" s="59">
        <f ca="1">AVERAGE(OFFSET($R$3,0,0,'Données projet'!$E$9+1,1))-AVERAGE(OFFSET($H$3,0,0,'Données projet'!$E$9+1,1))</f>
        <v>351.15781452544906</v>
      </c>
      <c r="T22" s="59">
        <f t="shared" si="34"/>
        <v>271.54361159160169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1.6</v>
      </c>
      <c r="AI22" s="13">
        <f>IF('Données projet'!$A$62&gt;35,AI21+AH22-AQ21,IF(A22&lt;'Données projet'!$A$62,$AF$205^A22,IF(A22='Données projet'!$A$62,'Données projet'!$B$62,AI21+AH22-AQ21)))</f>
        <v>26.908685288118836</v>
      </c>
      <c r="AJ22" s="13">
        <f>AI22*VLOOKUP('Données projet'!$B$10,Paramètres!$A$1:$I$89,3,0)*VLOOKUP('Données projet'!$B$10,Paramètres!$A$1:$I$89,5,0)</f>
        <v>23.087651977205965</v>
      </c>
      <c r="AK22" s="13">
        <f t="shared" si="35"/>
        <v>7.3830264994807839</v>
      </c>
      <c r="AL22" s="20">
        <f t="shared" si="4"/>
        <v>53.069765013562751</v>
      </c>
      <c r="AM22" s="59">
        <f t="shared" si="5"/>
        <v>332.9586539024516</v>
      </c>
      <c r="AN22" s="59">
        <f ca="1">AVERAGE(OFFSET($AM$3,0,0,'Données projet'!$E$10+1,1))-AVERAGE(OFFSET($H$3,0,0,'Données projet'!$E$10+1,1))</f>
        <v>405.59933429804329</v>
      </c>
      <c r="AO22" s="59">
        <f t="shared" si="36"/>
        <v>208.64922573363776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33.697921459200977</v>
      </c>
      <c r="BF22" s="13">
        <f t="shared" si="37"/>
        <v>10.31198270984201</v>
      </c>
      <c r="BG22" s="20">
        <f t="shared" si="7"/>
        <v>76.650583094416518</v>
      </c>
      <c r="BH22" s="59">
        <f t="shared" si="8"/>
        <v>356.53947198330536</v>
      </c>
      <c r="BI22" s="59">
        <f ca="1">AVERAGE(OFFSET($BH$3,0,0,'Données projet'!$E$11+1,1))-AVERAGE(OFFSET($H$3,0,0,'Données projet'!$E$11+1,1))</f>
        <v>293.19327646293601</v>
      </c>
      <c r="BJ22" s="59">
        <f t="shared" si="38"/>
        <v>200.0769581869605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5.85</v>
      </c>
      <c r="BY22" s="12">
        <f>IF('Données projet'!$A$114&gt;35,BY21+BX22-CG21,IF(A22&lt;'Données projet'!$A$114,$BV$205^A22,IF(A22='Données projet'!$A$114,'Données projet'!$B$114,BY21+BX22-CG21)))</f>
        <v>92.209691420380025</v>
      </c>
      <c r="BZ22" s="13">
        <f>BY22*VLOOKUP('Données projet'!$B$12,Paramètres!$A$1:$I$89,3,0)*VLOOKUP('Données projet'!$B$12,Paramètres!$A$1:$I$89,5,0)</f>
        <v>71.923559307896426</v>
      </c>
      <c r="CA22" s="13">
        <f t="shared" si="39"/>
        <v>20.150388876166009</v>
      </c>
      <c r="CB22" s="20">
        <f t="shared" si="10"/>
        <v>160.36212642057541</v>
      </c>
      <c r="CC22" s="59">
        <f t="shared" si="11"/>
        <v>440.25101530946426</v>
      </c>
      <c r="CD22" s="59">
        <f ca="1">AVERAGE(OFFSET($CC$3,0,0,'Données projet'!$E$12+1,1))-AVERAGE(OFFSET($H$3,0,0,'Données projet'!$E$12+1,1))</f>
        <v>295.95249585728561</v>
      </c>
      <c r="CE22" s="59">
        <f t="shared" si="40"/>
        <v>306.85862495052709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1.6</v>
      </c>
      <c r="CT22" s="12">
        <f>IF('Données projet'!$A$140&gt;35,CT21+CS22-DB21,IF(A22&lt;'Données projet'!$A$140,$CQ$205^A22,IF(A22='Données projet'!$A$140,'Données projet'!$B$140,CT21+CS22-DB21)))</f>
        <v>26.908685288118836</v>
      </c>
      <c r="CU22" s="17">
        <f>CT22*VLOOKUP('Données projet'!$B$13,Paramètres!$A$1:$I$89,3,0)*VLOOKUP('Données projet'!$B$13,Paramètres!$A$1:$I$89,5,0)</f>
        <v>25.606304920173887</v>
      </c>
      <c r="CV22" s="13">
        <f t="shared" si="41"/>
        <v>8.0903516165866964</v>
      </c>
      <c r="CW22" s="20">
        <f t="shared" si="13"/>
        <v>58.688343468191341</v>
      </c>
      <c r="CX22" s="59">
        <f t="shared" si="14"/>
        <v>338.57723235708022</v>
      </c>
      <c r="CY22" s="59">
        <f ca="1">AVERAGE(OFFSET($CX$3,0,0,'Données projet'!$E$13+1,1))-AVERAGE(OFFSET($H$3,0,0,'Données projet'!$E$13+1,1))</f>
        <v>461.10546083340631</v>
      </c>
      <c r="CZ22" s="59">
        <f t="shared" si="42"/>
        <v>233.41883071412587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98.723039999999997</v>
      </c>
      <c r="DQ22" s="13">
        <f t="shared" si="43"/>
        <v>26.65755226341626</v>
      </c>
      <c r="DR22" s="20">
        <f t="shared" si="16"/>
        <v>218.37119819211662</v>
      </c>
      <c r="DS22" s="59">
        <f t="shared" si="17"/>
        <v>498.26008708100551</v>
      </c>
      <c r="DT22" s="59">
        <f ca="1">AVERAGE(OFFSET($DS$3,0,0,'Données projet'!$E$14+1,1))-AVERAGE(OFFSET($H$3,0,0,'Données projet'!$E$14+1,1))</f>
        <v>296.376932094327</v>
      </c>
      <c r="DU22" s="59">
        <f t="shared" si="44"/>
        <v>350.93658329210882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12.3</v>
      </c>
      <c r="EJ22" s="12">
        <f>IF('Données projet'!$A$192&gt;35,EJ21+EI22-ER21,IF(A22&lt;'Données projet'!$A$192,$EG$205^A22,IF(A22='Données projet'!$A$192,'Données projet'!$B$192,EJ21+EI22-ER21)))</f>
        <v>121.69999999999999</v>
      </c>
      <c r="EK22" s="17">
        <f>EJ22*VLOOKUP('Données projet'!$B$15,Paramètres!$A$1:$I$89,3,0)*VLOOKUP('Données projet'!$B$15,Paramètres!$A$1:$I$89,5,0)</f>
        <v>79.737839999999991</v>
      </c>
      <c r="EL22" s="13">
        <f t="shared" si="45"/>
        <v>22.073072405692521</v>
      </c>
      <c r="EM22" s="20">
        <f t="shared" si="19"/>
        <v>177.32067243991443</v>
      </c>
      <c r="EN22" s="59">
        <f t="shared" si="20"/>
        <v>457.20956132880326</v>
      </c>
      <c r="EO22" s="59">
        <f ca="1">AVERAGE(OFFSET($EN$3,0,0,'Données projet'!$E$15+1,1))-AVERAGE(OFFSET($H$3,0,0,'Données projet'!$E$15+1,1))</f>
        <v>231.03244099494077</v>
      </c>
      <c r="EP22" s="59">
        <f t="shared" si="46"/>
        <v>280.29723026390741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428.69949531545831</v>
      </c>
      <c r="S23" s="59">
        <f ca="1">AVERAGE(OFFSET($R$3,0,0,'Données projet'!$E$9+1,1))-AVERAGE(OFFSET($H$3,0,0,'Données projet'!$E$9+1,1))</f>
        <v>351.15781452544906</v>
      </c>
      <c r="T23" s="59">
        <f t="shared" si="34"/>
        <v>271.54361159160169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0.64260789775653271</v>
      </c>
      <c r="AB23" s="21">
        <f>EXP(-LN(2)/2)*AB22+(1-EXP(-LN(2)/2))/(LN(2)/2)*V23*Y23*VLOOKUP('Données projet'!$B$9,Paramètres!$A$1:$I$89,3,0)*0.475*44/12</f>
        <v>1.2805547285024328</v>
      </c>
      <c r="AC23" s="22">
        <f t="shared" si="3"/>
        <v>1.9231626262589656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32</v>
      </c>
      <c r="AG23" s="12">
        <f>VLOOKUP(A23,'Données projet'!$A$61:$I$81,9,0)</f>
        <v>1.6</v>
      </c>
      <c r="AH23" s="12">
        <f t="array" ref="AH23">INDEX(AG:AG,MIN(IF(ISNUMBER(AG23:AG219),ROW(AG23:AG219),"")))</f>
        <v>1.6</v>
      </c>
      <c r="AI23" s="13">
        <f>IF('Données projet'!$A$62&gt;35,AI22+AH23-AQ22,IF(A23&lt;'Données projet'!$A$62,$AF$205^A23,IF(A23='Données projet'!$A$62,'Données projet'!$B$62,AI22+AH23-AQ22)))</f>
        <v>32</v>
      </c>
      <c r="AJ23" s="13">
        <f>AI23*VLOOKUP('Données projet'!$B$10,Paramètres!$A$1:$I$89,3,0)*VLOOKUP('Données projet'!$B$10,Paramètres!$A$1:$I$89,5,0)</f>
        <v>27.456000000000003</v>
      </c>
      <c r="AK23" s="13">
        <f t="shared" si="35"/>
        <v>8.604625104229898</v>
      </c>
      <c r="AL23" s="20">
        <f t="shared" si="4"/>
        <v>62.805588723200408</v>
      </c>
      <c r="AM23" s="59">
        <f t="shared" si="5"/>
        <v>343.91669983431154</v>
      </c>
      <c r="AN23" s="59">
        <f ca="1">AVERAGE(OFFSET($AM$3,0,0,'Données projet'!$E$10+1,1))-AVERAGE(OFFSET($H$3,0,0,'Données projet'!$E$10+1,1))</f>
        <v>405.59933429804329</v>
      </c>
      <c r="AO23" s="59">
        <f t="shared" si="36"/>
        <v>208.64922573363776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40.622399999999999</v>
      </c>
      <c r="BF23" s="13">
        <f t="shared" si="37"/>
        <v>12.163465560290264</v>
      </c>
      <c r="BG23" s="20">
        <f t="shared" si="7"/>
        <v>91.935382517505545</v>
      </c>
      <c r="BH23" s="59">
        <f t="shared" si="8"/>
        <v>373.0464936286167</v>
      </c>
      <c r="BI23" s="59">
        <f ca="1">AVERAGE(OFFSET($BH$3,0,0,'Données projet'!$E$11+1,1))-AVERAGE(OFFSET($H$3,0,0,'Données projet'!$E$11+1,1))</f>
        <v>293.19327646293601</v>
      </c>
      <c r="BJ23" s="59">
        <f t="shared" si="38"/>
        <v>200.0769581869605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117</v>
      </c>
      <c r="BW23" s="12">
        <f>VLOOKUP(A23,'Données projet'!$A$113:$I$133,9,0)</f>
        <v>5.85</v>
      </c>
      <c r="BX23" s="12">
        <f t="array" ref="BX23">INDEX(BW:BW,MIN(IF(ISNUMBER(BW23:BW219),ROW(BW23:BW219),"")))</f>
        <v>5.85</v>
      </c>
      <c r="BY23" s="12">
        <f>IF('Données projet'!$A$114&gt;35,BY22+BX23-CG22,IF(A23&lt;'Données projet'!$A$114,$BV$205^A23,IF(A23='Données projet'!$A$114,'Données projet'!$B$114,BY22+BX23-CG22)))</f>
        <v>117</v>
      </c>
      <c r="BZ23" s="13">
        <f>BY23*VLOOKUP('Données projet'!$B$12,Paramètres!$A$1:$I$89,3,0)*VLOOKUP('Données projet'!$B$12,Paramètres!$A$1:$I$89,5,0)</f>
        <v>91.26</v>
      </c>
      <c r="CA23" s="13">
        <f t="shared" si="39"/>
        <v>24.868860330902777</v>
      </c>
      <c r="CB23" s="20">
        <f t="shared" si="10"/>
        <v>202.25776507632233</v>
      </c>
      <c r="CC23" s="59">
        <f t="shared" si="11"/>
        <v>483.36887618743344</v>
      </c>
      <c r="CD23" s="59">
        <f ca="1">AVERAGE(OFFSET($CC$3,0,0,'Données projet'!$E$12+1,1))-AVERAGE(OFFSET($H$3,0,0,'Données projet'!$E$12+1,1))</f>
        <v>295.95249585728561</v>
      </c>
      <c r="CE23" s="59">
        <f t="shared" si="40"/>
        <v>306.85862495052709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2.4928754654348251</v>
      </c>
      <c r="CM23" s="21">
        <f>EXP(-LN(2)/2)*CM22+(1-EXP(-LN(2)/2))/(LN(2)/2)*CG23*CJ23*VLOOKUP('Données projet'!$B$12,Paramètres!$A$1:$I$89,3,0)*0.475*44/12</f>
        <v>4.9676692053973701</v>
      </c>
      <c r="CN23" s="22">
        <f t="shared" si="12"/>
        <v>7.4605446708321956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32</v>
      </c>
      <c r="CR23" s="12">
        <f>VLOOKUP(A23,'Données projet'!$A$139:$I$159,9,0)</f>
        <v>1.6</v>
      </c>
      <c r="CS23" s="12">
        <f t="array" ref="CS23">INDEX(CR:CR,MIN(IF(ISNUMBER(CR23:CR219),ROW(CR23:CR219),"")))</f>
        <v>1.6</v>
      </c>
      <c r="CT23" s="12">
        <f>IF('Données projet'!$A$140&gt;35,CT22+CS23-DB22,IF(A23&lt;'Données projet'!$A$140,$CQ$205^A23,IF(A23='Données projet'!$A$140,'Données projet'!$B$140,CT22+CS23-DB22)))</f>
        <v>32</v>
      </c>
      <c r="CU23" s="17">
        <f>CT23*VLOOKUP('Données projet'!$B$13,Paramètres!$A$1:$I$89,3,0)*VLOOKUP('Données projet'!$B$13,Paramètres!$A$1:$I$89,5,0)</f>
        <v>30.4512</v>
      </c>
      <c r="CV23" s="13">
        <f t="shared" si="41"/>
        <v>9.4289845264708934</v>
      </c>
      <c r="CW23" s="20">
        <f t="shared" si="13"/>
        <v>69.457988050270131</v>
      </c>
      <c r="CX23" s="59">
        <f t="shared" si="14"/>
        <v>350.56909916138125</v>
      </c>
      <c r="CY23" s="59">
        <f ca="1">AVERAGE(OFFSET($CX$3,0,0,'Données projet'!$E$13+1,1))-AVERAGE(OFFSET($H$3,0,0,'Données projet'!$E$13+1,1))</f>
        <v>461.10546083340631</v>
      </c>
      <c r="CZ23" s="59">
        <f t="shared" si="42"/>
        <v>233.41883071412587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108.70080000000002</v>
      </c>
      <c r="DQ23" s="13">
        <f t="shared" si="43"/>
        <v>29.02467157581999</v>
      </c>
      <c r="DR23" s="20">
        <f t="shared" si="16"/>
        <v>239.87186299455311</v>
      </c>
      <c r="DS23" s="59">
        <f t="shared" si="17"/>
        <v>520.9829741056642</v>
      </c>
      <c r="DT23" s="59">
        <f ca="1">AVERAGE(OFFSET($DS$3,0,0,'Données projet'!$E$14+1,1))-AVERAGE(OFFSET($H$3,0,0,'Données projet'!$E$14+1,1))</f>
        <v>296.376932094327</v>
      </c>
      <c r="DU23" s="59">
        <f t="shared" si="44"/>
        <v>350.93658329210882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6.4334652752406898</v>
      </c>
      <c r="EC23" s="21">
        <f>EXP(-LN(2)/2)*EC22+(1-EXP(-LN(2)/2))/(LN(2)/2)*DW23*DZ23*VLOOKUP('Données projet'!$B$14,Paramètres!$A$1:$I$89,3,0)*0.475*44/12</f>
        <v>12.820266304892172</v>
      </c>
      <c r="ED23" s="22">
        <f t="shared" si="18"/>
        <v>19.253731580132861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134</v>
      </c>
      <c r="EH23" s="12">
        <f>VLOOKUP(A23,'Données projet'!$A$191:$I$211,9,0)</f>
        <v>12.3</v>
      </c>
      <c r="EI23" s="12">
        <f t="array" ref="EI23">INDEX(EH:EH,MIN(IF(ISNUMBER(EH23:EH219),ROW(EH23:EH219),"")))</f>
        <v>12.3</v>
      </c>
      <c r="EJ23" s="12">
        <f>IF('Données projet'!$A$192&gt;35,EJ22+EI23-ER22,IF(A23&lt;'Données projet'!$A$192,$EG$205^A23,IF(A23='Données projet'!$A$192,'Données projet'!$B$192,EJ22+EI23-ER22)))</f>
        <v>134</v>
      </c>
      <c r="EK23" s="17">
        <f>EJ23*VLOOKUP('Données projet'!$B$15,Paramètres!$A$1:$I$89,3,0)*VLOOKUP('Données projet'!$B$15,Paramètres!$A$1:$I$89,5,0)</f>
        <v>87.796800000000005</v>
      </c>
      <c r="EL23" s="13">
        <f t="shared" si="45"/>
        <v>24.033102173590827</v>
      </c>
      <c r="EM23" s="20">
        <f t="shared" si="19"/>
        <v>194.77041295233732</v>
      </c>
      <c r="EN23" s="59">
        <f t="shared" si="20"/>
        <v>475.88152406344847</v>
      </c>
      <c r="EO23" s="59">
        <f ca="1">AVERAGE(OFFSET($EN$3,0,0,'Données projet'!$E$15+1,1))-AVERAGE(OFFSET($H$3,0,0,'Données projet'!$E$15+1,1))</f>
        <v>231.03244099494077</v>
      </c>
      <c r="EP23" s="59">
        <f t="shared" si="46"/>
        <v>280.29723026390741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67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0.1075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5.1962604146174804</v>
      </c>
      <c r="EX23" s="21">
        <f>EXP(-LN(2)/2)*EX22+(1-EXP(-LN(2)/2))/(LN(2)/2)*ER23*EU23*VLOOKUP('Données projet'!$B$15,Paramètres!$A$1:$I$89,3,0)*0.475*44/12</f>
        <v>10.354830477028292</v>
      </c>
      <c r="EY23" s="22">
        <f t="shared" si="21"/>
        <v>15.551090891645773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68.040959999999998</v>
      </c>
      <c r="P24" s="13">
        <f t="shared" si="33"/>
        <v>19.186158107165539</v>
      </c>
      <c r="Q24" s="20">
        <f t="shared" si="2"/>
        <v>151.92056403664665</v>
      </c>
      <c r="R24" s="59">
        <f t="shared" si="0"/>
        <v>434.25389736998</v>
      </c>
      <c r="S24" s="59">
        <f ca="1">AVERAGE(OFFSET($R$3,0,0,'Données projet'!$E$9+1,1))-AVERAGE(OFFSET($H$3,0,0,'Données projet'!$E$9+1,1))</f>
        <v>351.15781452544906</v>
      </c>
      <c r="T24" s="59">
        <f t="shared" si="34"/>
        <v>271.54361159160169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0.62503575099909969</v>
      </c>
      <c r="AB24" s="21">
        <f>EXP(-LN(2)/2)*AB23+(1-EXP(-LN(2)/2))/(LN(2)/2)*V24*Y24*VLOOKUP('Données projet'!$B$9,Paramètres!$A$1:$I$89,3,0)*0.475*44/12</f>
        <v>0.90548893220456861</v>
      </c>
      <c r="AC24" s="22">
        <f t="shared" si="3"/>
        <v>1.5305246832036683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</v>
      </c>
      <c r="AI24" s="13">
        <f>IF('Données projet'!$A$62&gt;35,AI23+AH24-AQ23,IF(A24&lt;'Données projet'!$A$62,$AF$205^A24,IF(A24='Données projet'!$A$62,'Données projet'!$B$62,AI23+AH24-AQ23)))</f>
        <v>41.1</v>
      </c>
      <c r="AJ24" s="13">
        <f>AI24*VLOOKUP('Données projet'!$B$10,Paramètres!$A$1:$I$89,3,0)*VLOOKUP('Données projet'!$B$10,Paramètres!$A$1:$I$89,5,0)</f>
        <v>35.26380000000001</v>
      </c>
      <c r="AK24" s="13">
        <f t="shared" si="35"/>
        <v>10.73425890938838</v>
      </c>
      <c r="AL24" s="20">
        <f t="shared" si="4"/>
        <v>80.113285933851444</v>
      </c>
      <c r="AM24" s="59">
        <f t="shared" si="5"/>
        <v>362.44661926718476</v>
      </c>
      <c r="AN24" s="59">
        <f ca="1">AVERAGE(OFFSET($AM$3,0,0,'Données projet'!$E$10+1,1))-AVERAGE(OFFSET($H$3,0,0,'Données projet'!$E$10+1,1))</f>
        <v>405.59933429804329</v>
      </c>
      <c r="AO24" s="59">
        <f t="shared" si="36"/>
        <v>208.64922573363776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48.3</v>
      </c>
      <c r="BE24" s="13">
        <f>BD24*VLOOKUP('Données projet'!$B$11,Paramètres!$A$1:$I$89,3,0)*VLOOKUP('Données projet'!$B$11,Paramètres!$A$1:$I$89,5,0)</f>
        <v>46.715759999999996</v>
      </c>
      <c r="BF24" s="13">
        <f t="shared" si="37"/>
        <v>13.762265804187708</v>
      </c>
      <c r="BG24" s="20">
        <f t="shared" si="7"/>
        <v>105.33256160896025</v>
      </c>
      <c r="BH24" s="59">
        <f t="shared" si="8"/>
        <v>387.66589494229356</v>
      </c>
      <c r="BI24" s="59">
        <f ca="1">AVERAGE(OFFSET($BH$3,0,0,'Données projet'!$E$11+1,1))-AVERAGE(OFFSET($H$3,0,0,'Données projet'!$E$11+1,1))</f>
        <v>293.19327646293601</v>
      </c>
      <c r="BJ24" s="59">
        <f t="shared" si="38"/>
        <v>200.0769581869605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10.4</v>
      </c>
      <c r="BY24" s="12">
        <f>IF('Données projet'!$A$114&gt;35,BY23+BX24-CG23,IF(A24&lt;'Données projet'!$A$114,$BV$205^A24,IF(A24='Données projet'!$A$114,'Données projet'!$B$114,BY23+BX24-CG23)))</f>
        <v>100.4</v>
      </c>
      <c r="BZ24" s="13">
        <f>BY24*VLOOKUP('Données projet'!$B$12,Paramètres!$A$1:$I$89,3,0)*VLOOKUP('Données projet'!$B$12,Paramètres!$A$1:$I$89,5,0)</f>
        <v>78.312000000000012</v>
      </c>
      <c r="CA24" s="13">
        <f t="shared" si="39"/>
        <v>21.723948494283775</v>
      </c>
      <c r="CB24" s="20">
        <f t="shared" si="10"/>
        <v>174.22927696087757</v>
      </c>
      <c r="CC24" s="59">
        <f t="shared" si="11"/>
        <v>456.56261029421091</v>
      </c>
      <c r="CD24" s="59">
        <f ca="1">AVERAGE(OFFSET($CC$3,0,0,'Données projet'!$E$12+1,1))-AVERAGE(OFFSET($H$3,0,0,'Données projet'!$E$12+1,1))</f>
        <v>295.95249585728561</v>
      </c>
      <c r="CE24" s="59">
        <f t="shared" si="40"/>
        <v>306.85862495052709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2.4247076547378867</v>
      </c>
      <c r="CM24" s="21">
        <f>EXP(-LN(2)/2)*CM23+(1-EXP(-LN(2)/2))/(LN(2)/2)*CG24*CJ24*VLOOKUP('Données projet'!$B$12,Paramètres!$A$1:$I$89,3,0)*0.475*44/12</f>
        <v>3.5126725818280686</v>
      </c>
      <c r="CN24" s="22">
        <f t="shared" si="12"/>
        <v>5.9373802365659554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9.1</v>
      </c>
      <c r="CT24" s="12">
        <f>IF('Données projet'!$A$140&gt;35,CT23+CS24-DB23,IF(A24&lt;'Données projet'!$A$140,$CQ$205^A24,IF(A24='Données projet'!$A$140,'Données projet'!$B$140,CT23+CS24-DB23)))</f>
        <v>41.1</v>
      </c>
      <c r="CU24" s="17">
        <f>CT24*VLOOKUP('Données projet'!$B$13,Paramètres!$A$1:$I$89,3,0)*VLOOKUP('Données projet'!$B$13,Paramètres!$A$1:$I$89,5,0)</f>
        <v>39.110760000000006</v>
      </c>
      <c r="CV24" s="13">
        <f t="shared" si="41"/>
        <v>11.762646243588296</v>
      </c>
      <c r="CW24" s="20">
        <f t="shared" si="13"/>
        <v>88.604515874249628</v>
      </c>
      <c r="CX24" s="59">
        <f t="shared" si="14"/>
        <v>370.93784920758293</v>
      </c>
      <c r="CY24" s="59">
        <f ca="1">AVERAGE(OFFSET($CX$3,0,0,'Données projet'!$E$13+1,1))-AVERAGE(OFFSET($H$3,0,0,'Données projet'!$E$13+1,1))</f>
        <v>461.10546083340631</v>
      </c>
      <c r="CZ24" s="59">
        <f t="shared" si="42"/>
        <v>233.41883071412587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66.112800000000007</v>
      </c>
      <c r="DQ24" s="13">
        <f t="shared" si="43"/>
        <v>18.704942500096539</v>
      </c>
      <c r="DR24" s="20">
        <f t="shared" si="16"/>
        <v>147.72423485433481</v>
      </c>
      <c r="DS24" s="59">
        <f t="shared" si="17"/>
        <v>430.05756818766815</v>
      </c>
      <c r="DT24" s="59">
        <f ca="1">AVERAGE(OFFSET($DS$3,0,0,'Données projet'!$E$14+1,1))-AVERAGE(OFFSET($H$3,0,0,'Données projet'!$E$14+1,1))</f>
        <v>296.376932094327</v>
      </c>
      <c r="DU24" s="59">
        <f t="shared" si="44"/>
        <v>350.93658329210882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6.257541828967998</v>
      </c>
      <c r="EC24" s="21">
        <f>EXP(-LN(2)/2)*EC23+(1-EXP(-LN(2)/2))/(LN(2)/2)*DW24*DZ24*VLOOKUP('Données projet'!$B$14,Paramètres!$A$1:$I$89,3,0)*0.475*44/12</f>
        <v>9.0652972408066574</v>
      </c>
      <c r="ED24" s="22">
        <f t="shared" si="18"/>
        <v>15.322839069774655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14.5</v>
      </c>
      <c r="EJ24" s="12">
        <f>IF('Données projet'!$A$192&gt;35,EJ23+EI24-ER23,IF(A24&lt;'Données projet'!$A$192,$EG$205^A24,IF(A24='Données projet'!$A$192,'Données projet'!$B$192,EJ23+EI24-ER23)))</f>
        <v>81.5</v>
      </c>
      <c r="EK24" s="17">
        <f>EJ24*VLOOKUP('Données projet'!$B$15,Paramètres!$A$1:$I$89,3,0)*VLOOKUP('Données projet'!$B$15,Paramètres!$A$1:$I$89,5,0)</f>
        <v>53.398799999999994</v>
      </c>
      <c r="EL24" s="13">
        <f t="shared" si="45"/>
        <v>15.488126819338918</v>
      </c>
      <c r="EM24" s="20">
        <f t="shared" si="19"/>
        <v>119.97806421034859</v>
      </c>
      <c r="EN24" s="59">
        <f t="shared" si="20"/>
        <v>402.31139754368189</v>
      </c>
      <c r="EO24" s="59">
        <f ca="1">AVERAGE(OFFSET($EN$3,0,0,'Données projet'!$E$15+1,1))-AVERAGE(OFFSET($H$3,0,0,'Données projet'!$E$15+1,1))</f>
        <v>231.03244099494077</v>
      </c>
      <c r="EP24" s="59">
        <f t="shared" si="46"/>
        <v>280.29723026390741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5.0541684003203065</v>
      </c>
      <c r="EX24" s="21">
        <f>EXP(-LN(2)/2)*EX23+(1-EXP(-LN(2)/2))/(LN(2)/2)*ER24*EU24*VLOOKUP('Données projet'!$B$15,Paramètres!$A$1:$I$89,3,0)*0.475*44/12</f>
        <v>7.321970848343839</v>
      </c>
      <c r="EY24" s="22">
        <f t="shared" si="21"/>
        <v>12.376139248664145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75.460319999999996</v>
      </c>
      <c r="P25" s="13">
        <f t="shared" si="33"/>
        <v>21.023463123249066</v>
      </c>
      <c r="Q25" s="20">
        <f t="shared" si="2"/>
        <v>168.04258893965877</v>
      </c>
      <c r="R25" s="59">
        <f t="shared" si="0"/>
        <v>451.59814449521434</v>
      </c>
      <c r="S25" s="59">
        <f ca="1">AVERAGE(OFFSET($R$3,0,0,'Données projet'!$E$9+1,1))-AVERAGE(OFFSET($H$3,0,0,'Données projet'!$E$9+1,1))</f>
        <v>351.15781452544906</v>
      </c>
      <c r="T25" s="59">
        <f t="shared" si="34"/>
        <v>271.54361159160169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0.60794411551882765</v>
      </c>
      <c r="AB25" s="21">
        <f>EXP(-LN(2)/2)*AB24+(1-EXP(-LN(2)/2))/(LN(2)/2)*V25*Y25*VLOOKUP('Données projet'!$B$9,Paramètres!$A$1:$I$89,3,0)*0.475*44/12</f>
        <v>0.64027736425121651</v>
      </c>
      <c r="AC25" s="22">
        <f t="shared" si="3"/>
        <v>1.2482214797700442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</v>
      </c>
      <c r="AI25" s="13">
        <f>IF('Données projet'!$A$62&gt;35,AI24+AH25-AQ24,IF(A25&lt;'Données projet'!$A$62,$AF$205^A25,IF(A25='Données projet'!$A$62,'Données projet'!$B$62,AI24+AH25-AQ24)))</f>
        <v>50.2</v>
      </c>
      <c r="AJ25" s="13">
        <f>AI25*VLOOKUP('Données projet'!$B$10,Paramètres!$A$1:$I$89,3,0)*VLOOKUP('Données projet'!$B$10,Paramètres!$A$1:$I$89,5,0)</f>
        <v>43.071600000000004</v>
      </c>
      <c r="AK25" s="13">
        <f t="shared" si="35"/>
        <v>12.809236283910437</v>
      </c>
      <c r="AL25" s="20">
        <f t="shared" si="4"/>
        <v>97.325789861144017</v>
      </c>
      <c r="AM25" s="59">
        <f t="shared" si="5"/>
        <v>380.88134541669956</v>
      </c>
      <c r="AN25" s="59">
        <f ca="1">AVERAGE(OFFSET($AM$3,0,0,'Données projet'!$E$10+1,1))-AVERAGE(OFFSET($H$3,0,0,'Données projet'!$E$10+1,1))</f>
        <v>405.59933429804329</v>
      </c>
      <c r="AO25" s="59">
        <f t="shared" si="36"/>
        <v>208.64922573363776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54.599999999999994</v>
      </c>
      <c r="BE25" s="13">
        <f>BD25*VLOOKUP('Données projet'!$B$11,Paramètres!$A$1:$I$89,3,0)*VLOOKUP('Données projet'!$B$11,Paramètres!$A$1:$I$89,5,0)</f>
        <v>52.80912</v>
      </c>
      <c r="BF25" s="13">
        <f t="shared" si="37"/>
        <v>15.336903179103643</v>
      </c>
      <c r="BG25" s="20">
        <f t="shared" si="7"/>
        <v>118.68765703693884</v>
      </c>
      <c r="BH25" s="59">
        <f t="shared" si="8"/>
        <v>402.24321259249439</v>
      </c>
      <c r="BI25" s="59">
        <f ca="1">AVERAGE(OFFSET($BH$3,0,0,'Données projet'!$E$11+1,1))-AVERAGE(OFFSET($H$3,0,0,'Données projet'!$E$11+1,1))</f>
        <v>293.19327646293601</v>
      </c>
      <c r="BJ25" s="59">
        <f t="shared" si="38"/>
        <v>200.0769581869605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10.4</v>
      </c>
      <c r="BY25" s="12">
        <f>IF('Données projet'!$A$114&gt;35,BY24+BX25-CG24,IF(A25&lt;'Données projet'!$A$114,$BV$205^A25,IF(A25='Données projet'!$A$114,'Données projet'!$B$114,BY24+BX25-CG24)))</f>
        <v>110.80000000000001</v>
      </c>
      <c r="BZ25" s="13">
        <f>BY25*VLOOKUP('Données projet'!$B$12,Paramètres!$A$1:$I$89,3,0)*VLOOKUP('Données projet'!$B$12,Paramètres!$A$1:$I$89,5,0)</f>
        <v>86.424000000000007</v>
      </c>
      <c r="CA25" s="13">
        <f t="shared" si="39"/>
        <v>23.700755391849651</v>
      </c>
      <c r="CB25" s="20">
        <f t="shared" si="10"/>
        <v>191.80061564080484</v>
      </c>
      <c r="CC25" s="59">
        <f t="shared" si="11"/>
        <v>475.35617119636038</v>
      </c>
      <c r="CD25" s="59">
        <f ca="1">AVERAGE(OFFSET($CC$3,0,0,'Données projet'!$E$12+1,1))-AVERAGE(OFFSET($H$3,0,0,'Données projet'!$E$12+1,1))</f>
        <v>295.95249585728561</v>
      </c>
      <c r="CE25" s="59">
        <f t="shared" si="40"/>
        <v>306.85862495052709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2.3584038964092455</v>
      </c>
      <c r="CM25" s="21">
        <f>EXP(-LN(2)/2)*CM24+(1-EXP(-LN(2)/2))/(LN(2)/2)*CG25*CJ25*VLOOKUP('Données projet'!$B$12,Paramètres!$A$1:$I$89,3,0)*0.475*44/12</f>
        <v>2.4838346026986851</v>
      </c>
      <c r="CN25" s="22">
        <f t="shared" si="12"/>
        <v>4.8422384991079301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9.1</v>
      </c>
      <c r="CT25" s="12">
        <f>IF('Données projet'!$A$140&gt;35,CT24+CS25-DB24,IF(A25&lt;'Données projet'!$A$140,$CQ$205^A25,IF(A25='Données projet'!$A$140,'Données projet'!$B$140,CT24+CS25-DB24)))</f>
        <v>50.2</v>
      </c>
      <c r="CU25" s="17">
        <f>CT25*VLOOKUP('Données projet'!$B$13,Paramètres!$A$1:$I$89,3,0)*VLOOKUP('Données projet'!$B$13,Paramètres!$A$1:$I$89,5,0)</f>
        <v>47.770319999999998</v>
      </c>
      <c r="CV25" s="13">
        <f t="shared" si="41"/>
        <v>14.036415213200682</v>
      </c>
      <c r="CW25" s="20">
        <f t="shared" si="13"/>
        <v>107.64673049632451</v>
      </c>
      <c r="CX25" s="59">
        <f t="shared" si="14"/>
        <v>391.20228605188004</v>
      </c>
      <c r="CY25" s="59">
        <f ca="1">AVERAGE(OFFSET($CX$3,0,0,'Données projet'!$E$13+1,1))-AVERAGE(OFFSET($H$3,0,0,'Données projet'!$E$13+1,1))</f>
        <v>461.10546083340631</v>
      </c>
      <c r="CZ25" s="59">
        <f t="shared" si="42"/>
        <v>233.41883071412587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77.875200000000007</v>
      </c>
      <c r="DQ25" s="13">
        <f t="shared" si="43"/>
        <v>21.616848354491538</v>
      </c>
      <c r="DR25" s="20">
        <f t="shared" si="16"/>
        <v>173.28198421740612</v>
      </c>
      <c r="DS25" s="59">
        <f t="shared" si="17"/>
        <v>456.83753977296169</v>
      </c>
      <c r="DT25" s="59">
        <f ca="1">AVERAGE(OFFSET($DS$3,0,0,'Données projet'!$E$14+1,1))-AVERAGE(OFFSET($H$3,0,0,'Données projet'!$E$14+1,1))</f>
        <v>296.376932094327</v>
      </c>
      <c r="DU25" s="59">
        <f t="shared" si="44"/>
        <v>350.93658329210882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6.0864290185850454</v>
      </c>
      <c r="EC25" s="21">
        <f>EXP(-LN(2)/2)*EC24+(1-EXP(-LN(2)/2))/(LN(2)/2)*DW25*DZ25*VLOOKUP('Données projet'!$B$14,Paramètres!$A$1:$I$89,3,0)*0.475*44/12</f>
        <v>6.4101331524460869</v>
      </c>
      <c r="ED25" s="22">
        <f t="shared" si="18"/>
        <v>12.496562171031133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14.5</v>
      </c>
      <c r="EJ25" s="12">
        <f>IF('Données projet'!$A$192&gt;35,EJ24+EI25-ER24,IF(A25&lt;'Données projet'!$A$192,$EG$205^A25,IF(A25='Données projet'!$A$192,'Données projet'!$B$192,EJ24+EI25-ER24)))</f>
        <v>96</v>
      </c>
      <c r="EK25" s="17">
        <f>EJ25*VLOOKUP('Données projet'!$B$15,Paramètres!$A$1:$I$89,3,0)*VLOOKUP('Données projet'!$B$15,Paramètres!$A$1:$I$89,5,0)</f>
        <v>62.8992</v>
      </c>
      <c r="EL25" s="13">
        <f t="shared" si="45"/>
        <v>17.899252496876414</v>
      </c>
      <c r="EM25" s="20">
        <f t="shared" si="19"/>
        <v>140.72397143205976</v>
      </c>
      <c r="EN25" s="59">
        <f t="shared" si="20"/>
        <v>424.27952698761533</v>
      </c>
      <c r="EO25" s="59">
        <f ca="1">AVERAGE(OFFSET($EN$3,0,0,'Données projet'!$E$15+1,1))-AVERAGE(OFFSET($H$3,0,0,'Données projet'!$E$15+1,1))</f>
        <v>231.03244099494077</v>
      </c>
      <c r="EP25" s="59">
        <f t="shared" si="46"/>
        <v>280.29723026390741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4.9159618996263825</v>
      </c>
      <c r="EX25" s="21">
        <f>EXP(-LN(2)/2)*EX24+(1-EXP(-LN(2)/2))/(LN(2)/2)*ER25*EU25*VLOOKUP('Données projet'!$B$15,Paramètres!$A$1:$I$89,3,0)*0.475*44/12</f>
        <v>5.177415238514147</v>
      </c>
      <c r="EY25" s="22">
        <f t="shared" si="21"/>
        <v>10.093377138140529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82.879680000000008</v>
      </c>
      <c r="P26" s="13">
        <f t="shared" si="33"/>
        <v>22.83982519050506</v>
      </c>
      <c r="Q26" s="20">
        <f t="shared" si="2"/>
        <v>184.12813820679631</v>
      </c>
      <c r="R26" s="59">
        <f t="shared" si="0"/>
        <v>468.90591598457411</v>
      </c>
      <c r="S26" s="59">
        <f ca="1">AVERAGE(OFFSET($R$3,0,0,'Données projet'!$E$9+1,1))-AVERAGE(OFFSET($H$3,0,0,'Données projet'!$E$9+1,1))</f>
        <v>351.15781452544906</v>
      </c>
      <c r="T26" s="59">
        <f t="shared" si="34"/>
        <v>271.54361159160169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0.5913198517095738</v>
      </c>
      <c r="AB26" s="21">
        <f>EXP(-LN(2)/2)*AB25+(1-EXP(-LN(2)/2))/(LN(2)/2)*V26*Y26*VLOOKUP('Données projet'!$B$9,Paramètres!$A$1:$I$89,3,0)*0.475*44/12</f>
        <v>0.45274446610228436</v>
      </c>
      <c r="AC26" s="22">
        <f t="shared" si="3"/>
        <v>1.0440643178118583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</v>
      </c>
      <c r="AI26" s="13">
        <f>IF('Données projet'!$A$62&gt;35,AI25+AH26-AQ25,IF(A26&lt;'Données projet'!$A$62,$AF$205^A26,IF(A26='Données projet'!$A$62,'Données projet'!$B$62,AI25+AH26-AQ25)))</f>
        <v>59.300000000000004</v>
      </c>
      <c r="AJ26" s="13">
        <f>AI26*VLOOKUP('Données projet'!$B$10,Paramètres!$A$1:$I$89,3,0)*VLOOKUP('Données projet'!$B$10,Paramètres!$A$1:$I$89,5,0)</f>
        <v>50.879400000000004</v>
      </c>
      <c r="AK26" s="13">
        <f t="shared" si="35"/>
        <v>14.840637582309409</v>
      </c>
      <c r="AL26" s="20">
        <f t="shared" si="4"/>
        <v>114.4623987891889</v>
      </c>
      <c r="AM26" s="59">
        <f t="shared" si="5"/>
        <v>399.24017656696668</v>
      </c>
      <c r="AN26" s="59">
        <f ca="1">AVERAGE(OFFSET($AM$3,0,0,'Données projet'!$E$10+1,1))-AVERAGE(OFFSET($H$3,0,0,'Données projet'!$E$10+1,1))</f>
        <v>405.59933429804329</v>
      </c>
      <c r="AO26" s="59">
        <f t="shared" si="36"/>
        <v>208.64922573363776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60.899999999999991</v>
      </c>
      <c r="BE26" s="13">
        <f>BD26*VLOOKUP('Données projet'!$B$11,Paramètres!$A$1:$I$89,3,0)*VLOOKUP('Données projet'!$B$11,Paramètres!$A$1:$I$89,5,0)</f>
        <v>58.902479999999997</v>
      </c>
      <c r="BF26" s="13">
        <f t="shared" si="37"/>
        <v>16.890484079616659</v>
      </c>
      <c r="BG26" s="20">
        <f t="shared" si="7"/>
        <v>132.00607910533233</v>
      </c>
      <c r="BH26" s="59">
        <f t="shared" si="8"/>
        <v>416.7838568831101</v>
      </c>
      <c r="BI26" s="59">
        <f ca="1">AVERAGE(OFFSET($BH$3,0,0,'Données projet'!$E$11+1,1))-AVERAGE(OFFSET($H$3,0,0,'Données projet'!$E$11+1,1))</f>
        <v>293.19327646293601</v>
      </c>
      <c r="BJ26" s="59">
        <f t="shared" si="38"/>
        <v>200.0769581869605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10.4</v>
      </c>
      <c r="BY26" s="12">
        <f>IF('Données projet'!$A$114&gt;35,BY25+BX26-CG25,IF(A26&lt;'Données projet'!$A$114,$BV$205^A26,IF(A26='Données projet'!$A$114,'Données projet'!$B$114,BY25+BX26-CG25)))</f>
        <v>121.20000000000002</v>
      </c>
      <c r="BZ26" s="13">
        <f>BY26*VLOOKUP('Données projet'!$B$12,Paramètres!$A$1:$I$89,3,0)*VLOOKUP('Données projet'!$B$12,Paramètres!$A$1:$I$89,5,0)</f>
        <v>94.536000000000016</v>
      </c>
      <c r="CA26" s="13">
        <f t="shared" si="39"/>
        <v>25.656048664271697</v>
      </c>
      <c r="CB26" s="20">
        <f t="shared" si="10"/>
        <v>209.3344847569399</v>
      </c>
      <c r="CC26" s="59">
        <f t="shared" si="11"/>
        <v>494.11226253471767</v>
      </c>
      <c r="CD26" s="59">
        <f ca="1">AVERAGE(OFFSET($CC$3,0,0,'Données projet'!$E$12+1,1))-AVERAGE(OFFSET($H$3,0,0,'Données projet'!$E$12+1,1))</f>
        <v>295.95249585728561</v>
      </c>
      <c r="CE26" s="59">
        <f t="shared" si="40"/>
        <v>306.85862495052709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2.2939132178388641</v>
      </c>
      <c r="CM26" s="21">
        <f>EXP(-LN(2)/2)*CM25+(1-EXP(-LN(2)/2))/(LN(2)/2)*CG26*CJ26*VLOOKUP('Données projet'!$B$12,Paramètres!$A$1:$I$89,3,0)*0.475*44/12</f>
        <v>1.7563362909140343</v>
      </c>
      <c r="CN26" s="22">
        <f t="shared" si="12"/>
        <v>4.0502495087528985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9.1</v>
      </c>
      <c r="CT26" s="12">
        <f>IF('Données projet'!$A$140&gt;35,CT25+CS26-DB25,IF(A26&lt;'Données projet'!$A$140,$CQ$205^A26,IF(A26='Données projet'!$A$140,'Données projet'!$B$140,CT25+CS26-DB25)))</f>
        <v>59.300000000000004</v>
      </c>
      <c r="CU26" s="17">
        <f>CT26*VLOOKUP('Données projet'!$B$13,Paramètres!$A$1:$I$89,3,0)*VLOOKUP('Données projet'!$B$13,Paramètres!$A$1:$I$89,5,0)</f>
        <v>56.429880000000004</v>
      </c>
      <c r="CV26" s="13">
        <f t="shared" si="41"/>
        <v>16.262433334576013</v>
      </c>
      <c r="CW26" s="20">
        <f t="shared" si="13"/>
        <v>126.60577905771989</v>
      </c>
      <c r="CX26" s="59">
        <f t="shared" si="14"/>
        <v>411.38355683549764</v>
      </c>
      <c r="CY26" s="59">
        <f ca="1">AVERAGE(OFFSET($CX$3,0,0,'Données projet'!$E$13+1,1))-AVERAGE(OFFSET($H$3,0,0,'Données projet'!$E$13+1,1))</f>
        <v>461.10546083340631</v>
      </c>
      <c r="CZ26" s="59">
        <f t="shared" si="42"/>
        <v>233.41883071412587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89.637600000000006</v>
      </c>
      <c r="DQ26" s="13">
        <f t="shared" si="43"/>
        <v>24.477802326855134</v>
      </c>
      <c r="DR26" s="20">
        <f t="shared" si="16"/>
        <v>198.75099238593933</v>
      </c>
      <c r="DS26" s="59">
        <f t="shared" si="17"/>
        <v>483.52877016371713</v>
      </c>
      <c r="DT26" s="59">
        <f ca="1">AVERAGE(OFFSET($DS$3,0,0,'Données projet'!$E$14+1,1))-AVERAGE(OFFSET($H$3,0,0,'Données projet'!$E$14+1,1))</f>
        <v>296.376932094327</v>
      </c>
      <c r="DU26" s="59">
        <f t="shared" si="44"/>
        <v>350.93658329210882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5.9199952970004457</v>
      </c>
      <c r="EC26" s="21">
        <f>EXP(-LN(2)/2)*EC25+(1-EXP(-LN(2)/2))/(LN(2)/2)*DW26*DZ26*VLOOKUP('Données projet'!$B$14,Paramètres!$A$1:$I$89,3,0)*0.475*44/12</f>
        <v>4.5326486204033296</v>
      </c>
      <c r="ED26" s="22">
        <f t="shared" si="18"/>
        <v>10.452643917403776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14.5</v>
      </c>
      <c r="EJ26" s="12">
        <f>IF('Données projet'!$A$192&gt;35,EJ25+EI26-ER25,IF(A26&lt;'Données projet'!$A$192,$EG$205^A26,IF(A26='Données projet'!$A$192,'Données projet'!$B$192,EJ25+EI26-ER25)))</f>
        <v>110.5</v>
      </c>
      <c r="EK26" s="17">
        <f>EJ26*VLOOKUP('Données projet'!$B$15,Paramètres!$A$1:$I$89,3,0)*VLOOKUP('Données projet'!$B$15,Paramètres!$A$1:$I$89,5,0)</f>
        <v>72.399599999999992</v>
      </c>
      <c r="EL26" s="13">
        <f t="shared" si="45"/>
        <v>20.268188832715463</v>
      </c>
      <c r="EM26" s="20">
        <f t="shared" si="19"/>
        <v>161.3963988836461</v>
      </c>
      <c r="EN26" s="59">
        <f t="shared" si="20"/>
        <v>446.17417666142387</v>
      </c>
      <c r="EO26" s="59">
        <f ca="1">AVERAGE(OFFSET($EN$3,0,0,'Données projet'!$E$15+1,1))-AVERAGE(OFFSET($H$3,0,0,'Données projet'!$E$15+1,1))</f>
        <v>231.03244099494077</v>
      </c>
      <c r="EP26" s="59">
        <f t="shared" si="46"/>
        <v>280.29723026390741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4.7815346629618984</v>
      </c>
      <c r="EX26" s="21">
        <f>EXP(-LN(2)/2)*EX25+(1-EXP(-LN(2)/2))/(LN(2)/2)*ER26*EU26*VLOOKUP('Données projet'!$B$15,Paramètres!$A$1:$I$89,3,0)*0.475*44/12</f>
        <v>3.66098542417192</v>
      </c>
      <c r="EY26" s="22">
        <f t="shared" si="21"/>
        <v>8.4425200871338184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90.299040000000005</v>
      </c>
      <c r="P27" s="13">
        <f t="shared" si="33"/>
        <v>24.637332311507059</v>
      </c>
      <c r="Q27" s="20">
        <f t="shared" si="2"/>
        <v>200.18084844254145</v>
      </c>
      <c r="R27" s="59">
        <f t="shared" si="0"/>
        <v>486.18084844254145</v>
      </c>
      <c r="S27" s="59">
        <f ca="1">AVERAGE(OFFSET($R$3,0,0,'Données projet'!$E$9+1,1))-AVERAGE(OFFSET($H$3,0,0,'Données projet'!$E$9+1,1))</f>
        <v>351.15781452544906</v>
      </c>
      <c r="T27" s="59">
        <f t="shared" si="34"/>
        <v>271.54361159160169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0.57515017926841594</v>
      </c>
      <c r="AB27" s="21">
        <f>EXP(-LN(2)/2)*AB26+(1-EXP(-LN(2)/2))/(LN(2)/2)*V27*Y27*VLOOKUP('Données projet'!$B$9,Paramètres!$A$1:$I$89,3,0)*0.475*44/12</f>
        <v>0.32013868212560831</v>
      </c>
      <c r="AC27" s="22">
        <f t="shared" si="3"/>
        <v>0.89528886139402419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</v>
      </c>
      <c r="AI27" s="13">
        <f>IF('Données projet'!$A$62&gt;35,AI26+AH27-AQ26,IF(A27&lt;'Données projet'!$A$62,$AF$205^A27,IF(A27='Données projet'!$A$62,'Données projet'!$B$62,AI26+AH27-AQ26)))</f>
        <v>68.400000000000006</v>
      </c>
      <c r="AJ27" s="13">
        <f>AI27*VLOOKUP('Données projet'!$B$10,Paramètres!$A$1:$I$89,3,0)*VLOOKUP('Données projet'!$B$10,Paramètres!$A$1:$I$89,5,0)</f>
        <v>58.687200000000011</v>
      </c>
      <c r="AK27" s="13">
        <f t="shared" si="35"/>
        <v>16.835925833077539</v>
      </c>
      <c r="AL27" s="20">
        <f t="shared" si="4"/>
        <v>131.53611082594341</v>
      </c>
      <c r="AM27" s="59">
        <f t="shared" si="5"/>
        <v>417.53611082594341</v>
      </c>
      <c r="AN27" s="59">
        <f ca="1">AVERAGE(OFFSET($AM$3,0,0,'Données projet'!$E$10+1,1))-AVERAGE(OFFSET($H$3,0,0,'Données projet'!$E$10+1,1))</f>
        <v>405.59933429804329</v>
      </c>
      <c r="AO27" s="59">
        <f t="shared" si="36"/>
        <v>208.64922573363776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64.995839999999987</v>
      </c>
      <c r="BF27" s="13">
        <f t="shared" si="37"/>
        <v>18.425434860828894</v>
      </c>
      <c r="BG27" s="20">
        <f t="shared" si="7"/>
        <v>145.29205371594364</v>
      </c>
      <c r="BH27" s="59">
        <f t="shared" si="8"/>
        <v>431.29205371594367</v>
      </c>
      <c r="BI27" s="59">
        <f ca="1">AVERAGE(OFFSET($BH$3,0,0,'Données projet'!$E$11+1,1))-AVERAGE(OFFSET($H$3,0,0,'Données projet'!$E$11+1,1))</f>
        <v>293.19327646293601</v>
      </c>
      <c r="BJ27" s="59">
        <f t="shared" si="38"/>
        <v>200.0769581869605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10.4</v>
      </c>
      <c r="BY27" s="12">
        <f>IF('Données projet'!$A$114&gt;35,BY26+BX27-CG26,IF(A27&lt;'Données projet'!$A$114,$BV$205^A27,IF(A27='Données projet'!$A$114,'Données projet'!$B$114,BY26+BX27-CG26)))</f>
        <v>131.60000000000002</v>
      </c>
      <c r="BZ27" s="13">
        <f>BY27*VLOOKUP('Données projet'!$B$12,Paramètres!$A$1:$I$89,3,0)*VLOOKUP('Données projet'!$B$12,Paramètres!$A$1:$I$89,5,0)</f>
        <v>102.64800000000002</v>
      </c>
      <c r="CA27" s="13">
        <f t="shared" si="39"/>
        <v>27.591884256813071</v>
      </c>
      <c r="CB27" s="20">
        <f t="shared" si="10"/>
        <v>226.83446508061613</v>
      </c>
      <c r="CC27" s="59">
        <f t="shared" si="11"/>
        <v>512.83446508061616</v>
      </c>
      <c r="CD27" s="59">
        <f ca="1">AVERAGE(OFFSET($CC$3,0,0,'Données projet'!$E$12+1,1))-AVERAGE(OFFSET($H$3,0,0,'Données projet'!$E$12+1,1))</f>
        <v>295.95249585728561</v>
      </c>
      <c r="CE27" s="59">
        <f t="shared" si="40"/>
        <v>306.85862495052709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2.2311860402654071</v>
      </c>
      <c r="CM27" s="21">
        <f>EXP(-LN(2)/2)*CM26+(1-EXP(-LN(2)/2))/(LN(2)/2)*CG27*CJ27*VLOOKUP('Données projet'!$B$12,Paramètres!$A$1:$I$89,3,0)*0.475*44/12</f>
        <v>1.2419173013493425</v>
      </c>
      <c r="CN27" s="22">
        <f t="shared" si="12"/>
        <v>3.4731033416147499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9.1</v>
      </c>
      <c r="CT27" s="12">
        <f>IF('Données projet'!$A$140&gt;35,CT26+CS27-DB26,IF(A27&lt;'Données projet'!$A$140,$CQ$205^A27,IF(A27='Données projet'!$A$140,'Données projet'!$B$140,CT26+CS27-DB26)))</f>
        <v>68.400000000000006</v>
      </c>
      <c r="CU27" s="17">
        <f>CT27*VLOOKUP('Données projet'!$B$13,Paramètres!$A$1:$I$89,3,0)*VLOOKUP('Données projet'!$B$13,Paramètres!$A$1:$I$89,5,0)</f>
        <v>65.08944000000001</v>
      </c>
      <c r="CV27" s="13">
        <f t="shared" si="41"/>
        <v>18.448878625852387</v>
      </c>
      <c r="CW27" s="20">
        <f t="shared" si="13"/>
        <v>145.49590494002624</v>
      </c>
      <c r="CX27" s="59">
        <f t="shared" si="14"/>
        <v>431.49590494002621</v>
      </c>
      <c r="CY27" s="59">
        <f ca="1">AVERAGE(OFFSET($CX$3,0,0,'Données projet'!$E$13+1,1))-AVERAGE(OFFSET($H$3,0,0,'Données projet'!$E$13+1,1))</f>
        <v>461.10546083340631</v>
      </c>
      <c r="CZ27" s="59">
        <f t="shared" si="42"/>
        <v>233.41883071412587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101.4</v>
      </c>
      <c r="DQ27" s="13">
        <f t="shared" si="43"/>
        <v>27.295257887453797</v>
      </c>
      <c r="DR27" s="20">
        <f t="shared" si="16"/>
        <v>224.14424082064872</v>
      </c>
      <c r="DS27" s="59">
        <f t="shared" si="17"/>
        <v>510.14424082064875</v>
      </c>
      <c r="DT27" s="59">
        <f ca="1">AVERAGE(OFFSET($DS$3,0,0,'Données projet'!$E$14+1,1))-AVERAGE(OFFSET($H$3,0,0,'Données projet'!$E$14+1,1))</f>
        <v>296.376932094327</v>
      </c>
      <c r="DU27" s="59">
        <f t="shared" si="44"/>
        <v>350.93658329210882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5.7581127142849464</v>
      </c>
      <c r="EC27" s="21">
        <f>EXP(-LN(2)/2)*EC26+(1-EXP(-LN(2)/2))/(LN(2)/2)*DW27*DZ27*VLOOKUP('Données projet'!$B$14,Paramètres!$A$1:$I$89,3,0)*0.475*44/12</f>
        <v>3.2050665762230439</v>
      </c>
      <c r="ED27" s="22">
        <f t="shared" si="18"/>
        <v>8.9631792905079912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14.5</v>
      </c>
      <c r="EJ27" s="12">
        <f>IF('Données projet'!$A$192&gt;35,EJ26+EI27-ER26,IF(A27&lt;'Données projet'!$A$192,$EG$205^A27,IF(A27='Données projet'!$A$192,'Données projet'!$B$192,EJ26+EI27-ER26)))</f>
        <v>125</v>
      </c>
      <c r="EK27" s="17">
        <f>EJ27*VLOOKUP('Données projet'!$B$15,Paramètres!$A$1:$I$89,3,0)*VLOOKUP('Données projet'!$B$15,Paramètres!$A$1:$I$89,5,0)</f>
        <v>81.900000000000006</v>
      </c>
      <c r="EL27" s="13">
        <f t="shared" si="45"/>
        <v>22.601107473346342</v>
      </c>
      <c r="EM27" s="20">
        <f t="shared" si="19"/>
        <v>182.0060955160782</v>
      </c>
      <c r="EN27" s="59">
        <f t="shared" si="20"/>
        <v>468.00609551607818</v>
      </c>
      <c r="EO27" s="59">
        <f ca="1">AVERAGE(OFFSET($EN$3,0,0,'Données projet'!$E$15+1,1))-AVERAGE(OFFSET($H$3,0,0,'Données projet'!$E$15+1,1))</f>
        <v>231.03244099494077</v>
      </c>
      <c r="EP27" s="59">
        <f t="shared" si="46"/>
        <v>280.29723026390741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4.6507833461532258</v>
      </c>
      <c r="EX27" s="21">
        <f>EXP(-LN(2)/2)*EX26+(1-EXP(-LN(2)/2))/(LN(2)/2)*ER27*EU27*VLOOKUP('Données projet'!$B$15,Paramètres!$A$1:$I$89,3,0)*0.475*44/12</f>
        <v>2.5887076192570739</v>
      </c>
      <c r="EY27" s="22">
        <f t="shared" si="21"/>
        <v>7.2394909654102992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97.718400000000003</v>
      </c>
      <c r="P28" s="13">
        <f t="shared" si="33"/>
        <v>26.417709819192194</v>
      </c>
      <c r="Q28" s="20">
        <f t="shared" si="2"/>
        <v>216.20372460175975</v>
      </c>
      <c r="R28" s="59">
        <f t="shared" si="0"/>
        <v>503.42594682398197</v>
      </c>
      <c r="S28" s="59">
        <f ca="1">AVERAGE(OFFSET($R$3,0,0,'Données projet'!$E$9+1,1))-AVERAGE(OFFSET($H$3,0,0,'Données projet'!$E$9+1,1))</f>
        <v>351.15781452544906</v>
      </c>
      <c r="T28" s="59">
        <f t="shared" si="34"/>
        <v>271.54361159160169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0.55942266737048774</v>
      </c>
      <c r="AB28" s="21">
        <f>EXP(-LN(2)/2)*AB27+(1-EXP(-LN(2)/2))/(LN(2)/2)*V28*Y28*VLOOKUP('Données projet'!$B$9,Paramètres!$A$1:$I$89,3,0)*0.475*44/12</f>
        <v>0.22637223305114224</v>
      </c>
      <c r="AC28" s="22">
        <f t="shared" si="3"/>
        <v>0.78579490042163003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</v>
      </c>
      <c r="AI28" s="13">
        <f>IF('Données projet'!$A$62&gt;35,AI27+AH28-AQ27,IF(A28&lt;'Données projet'!$A$62,$AF$205^A28,IF(A28='Données projet'!$A$62,'Données projet'!$B$62,AI27+AH28-AQ27)))</f>
        <v>77.5</v>
      </c>
      <c r="AJ28" s="13">
        <f>AI28*VLOOKUP('Données projet'!$B$10,Paramètres!$A$1:$I$89,3,0)*VLOOKUP('Données projet'!$B$10,Paramètres!$A$1:$I$89,5,0)</f>
        <v>66.495000000000005</v>
      </c>
      <c r="AK28" s="13">
        <f t="shared" si="35"/>
        <v>18.800457457131827</v>
      </c>
      <c r="AL28" s="20">
        <f t="shared" si="4"/>
        <v>148.55625507117125</v>
      </c>
      <c r="AM28" s="59">
        <f t="shared" si="5"/>
        <v>435.77847729339351</v>
      </c>
      <c r="AN28" s="59">
        <f ca="1">AVERAGE(OFFSET($AM$3,0,0,'Données projet'!$E$10+1,1))-AVERAGE(OFFSET($H$3,0,0,'Données projet'!$E$10+1,1))</f>
        <v>405.59933429804329</v>
      </c>
      <c r="AO28" s="59">
        <f t="shared" si="36"/>
        <v>208.64922573363776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73.499999999999986</v>
      </c>
      <c r="BE28" s="13">
        <f>BD28*VLOOKUP('Données projet'!$B$11,Paramètres!$A$1:$I$89,3,0)*VLOOKUP('Données projet'!$B$11,Paramètres!$A$1:$I$89,5,0)</f>
        <v>71.089199999999991</v>
      </c>
      <c r="BF28" s="13">
        <f t="shared" si="37"/>
        <v>19.943700775772243</v>
      </c>
      <c r="BG28" s="20">
        <f t="shared" si="7"/>
        <v>158.54896885113661</v>
      </c>
      <c r="BH28" s="59">
        <f t="shared" si="8"/>
        <v>445.77119107335886</v>
      </c>
      <c r="BI28" s="59">
        <f ca="1">AVERAGE(OFFSET($BH$3,0,0,'Données projet'!$E$11+1,1))-AVERAGE(OFFSET($H$3,0,0,'Données projet'!$E$11+1,1))</f>
        <v>293.19327646293601</v>
      </c>
      <c r="BJ28" s="59">
        <f t="shared" si="38"/>
        <v>200.0769581869605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10.4</v>
      </c>
      <c r="BY28" s="12">
        <f>IF('Données projet'!$A$114&gt;35,BY27+BX28-CG27,IF(A28&lt;'Données projet'!$A$114,$BV$205^A28,IF(A28='Données projet'!$A$114,'Données projet'!$B$114,BY27+BX28-CG27)))</f>
        <v>142.00000000000003</v>
      </c>
      <c r="BZ28" s="13">
        <f>BY28*VLOOKUP('Données projet'!$B$12,Paramètres!$A$1:$I$89,3,0)*VLOOKUP('Données projet'!$B$12,Paramètres!$A$1:$I$89,5,0)</f>
        <v>110.76000000000002</v>
      </c>
      <c r="CA28" s="13">
        <f t="shared" si="39"/>
        <v>29.509974682362952</v>
      </c>
      <c r="CB28" s="20">
        <f t="shared" si="10"/>
        <v>244.30353923844885</v>
      </c>
      <c r="CC28" s="59">
        <f t="shared" si="11"/>
        <v>531.52576146067111</v>
      </c>
      <c r="CD28" s="59">
        <f ca="1">AVERAGE(OFFSET($CC$3,0,0,'Données projet'!$E$12+1,1))-AVERAGE(OFFSET($H$3,0,0,'Données projet'!$E$12+1,1))</f>
        <v>295.95249585728561</v>
      </c>
      <c r="CE28" s="59">
        <f t="shared" si="40"/>
        <v>306.85862495052709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2.1701741406613753</v>
      </c>
      <c r="CM28" s="21">
        <f>EXP(-LN(2)/2)*CM27+(1-EXP(-LN(2)/2))/(LN(2)/2)*CG28*CJ28*VLOOKUP('Données projet'!$B$12,Paramètres!$A$1:$I$89,3,0)*0.475*44/12</f>
        <v>0.87816814545701716</v>
      </c>
      <c r="CN28" s="22">
        <f t="shared" si="12"/>
        <v>3.0483422861183924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9.1</v>
      </c>
      <c r="CT28" s="12">
        <f>IF('Données projet'!$A$140&gt;35,CT27+CS28-DB27,IF(A28&lt;'Données projet'!$A$140,$CQ$205^A28,IF(A28='Données projet'!$A$140,'Données projet'!$B$140,CT27+CS28-DB27)))</f>
        <v>77.5</v>
      </c>
      <c r="CU28" s="17">
        <f>CT28*VLOOKUP('Données projet'!$B$13,Paramètres!$A$1:$I$89,3,0)*VLOOKUP('Données projet'!$B$13,Paramètres!$A$1:$I$89,5,0)</f>
        <v>73.748999999999995</v>
      </c>
      <c r="CV28" s="13">
        <f t="shared" si="41"/>
        <v>20.601620675690747</v>
      </c>
      <c r="CW28" s="20">
        <f t="shared" si="13"/>
        <v>164.32733101016137</v>
      </c>
      <c r="CX28" s="59">
        <f t="shared" si="14"/>
        <v>451.54955323238357</v>
      </c>
      <c r="CY28" s="59">
        <f ca="1">AVERAGE(OFFSET($CX$3,0,0,'Données projet'!$E$13+1,1))-AVERAGE(OFFSET($H$3,0,0,'Données projet'!$E$13+1,1))</f>
        <v>461.10546083340631</v>
      </c>
      <c r="CZ28" s="59">
        <f t="shared" si="42"/>
        <v>233.41883071412587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113.16240000000002</v>
      </c>
      <c r="DQ28" s="13">
        <f t="shared" si="43"/>
        <v>30.074837140704965</v>
      </c>
      <c r="DR28" s="20">
        <f t="shared" si="16"/>
        <v>249.47152135339448</v>
      </c>
      <c r="DS28" s="59">
        <f t="shared" si="17"/>
        <v>536.69374357561674</v>
      </c>
      <c r="DT28" s="59">
        <f ca="1">AVERAGE(OFFSET($DS$3,0,0,'Données projet'!$E$14+1,1))-AVERAGE(OFFSET($H$3,0,0,'Données projet'!$E$14+1,1))</f>
        <v>296.376932094327</v>
      </c>
      <c r="DU28" s="59">
        <f t="shared" si="44"/>
        <v>350.93658329210882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5.6006568193068373</v>
      </c>
      <c r="EC28" s="21">
        <f>EXP(-LN(2)/2)*EC27+(1-EXP(-LN(2)/2))/(LN(2)/2)*DW28*DZ28*VLOOKUP('Données projet'!$B$14,Paramètres!$A$1:$I$89,3,0)*0.475*44/12</f>
        <v>2.2663243102016652</v>
      </c>
      <c r="ED28" s="22">
        <f t="shared" si="18"/>
        <v>7.8669811295085026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14.5</v>
      </c>
      <c r="EJ28" s="12">
        <f>IF('Données projet'!$A$192&gt;35,EJ27+EI28-ER27,IF(A28&lt;'Données projet'!$A$192,$EG$205^A28,IF(A28='Données projet'!$A$192,'Données projet'!$B$192,EJ27+EI28-ER27)))</f>
        <v>139.5</v>
      </c>
      <c r="EK28" s="17">
        <f>EJ28*VLOOKUP('Données projet'!$B$15,Paramètres!$A$1:$I$89,3,0)*VLOOKUP('Données projet'!$B$15,Paramètres!$A$1:$I$89,5,0)</f>
        <v>91.400399999999991</v>
      </c>
      <c r="EL28" s="13">
        <f t="shared" si="45"/>
        <v>24.902663651802118</v>
      </c>
      <c r="EM28" s="20">
        <f t="shared" si="19"/>
        <v>202.56116919355532</v>
      </c>
      <c r="EN28" s="59">
        <f t="shared" si="20"/>
        <v>489.78339141577754</v>
      </c>
      <c r="EO28" s="59">
        <f ca="1">AVERAGE(OFFSET($EN$3,0,0,'Données projet'!$E$15+1,1))-AVERAGE(OFFSET($H$3,0,0,'Données projet'!$E$15+1,1))</f>
        <v>231.03244099494077</v>
      </c>
      <c r="EP28" s="59">
        <f t="shared" si="46"/>
        <v>280.29723026390741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4.5236074309785987</v>
      </c>
      <c r="EX28" s="21">
        <f>EXP(-LN(2)/2)*EX27+(1-EXP(-LN(2)/2))/(LN(2)/2)*ER28*EU28*VLOOKUP('Données projet'!$B$15,Paramètres!$A$1:$I$89,3,0)*0.475*44/12</f>
        <v>1.8304927120859602</v>
      </c>
      <c r="EY28" s="22">
        <f t="shared" si="21"/>
        <v>6.3541001430645592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105.13776</v>
      </c>
      <c r="P29" s="13">
        <f t="shared" si="33"/>
        <v>28.182406176030653</v>
      </c>
      <c r="Q29" s="20">
        <f t="shared" si="2"/>
        <v>232.19928942325339</v>
      </c>
      <c r="R29" s="59">
        <f t="shared" si="0"/>
        <v>520.64373386769785</v>
      </c>
      <c r="S29" s="59">
        <f ca="1">AVERAGE(OFFSET($R$3,0,0,'Données projet'!$E$9+1,1))-AVERAGE(OFFSET($H$3,0,0,'Données projet'!$E$9+1,1))</f>
        <v>351.15781452544906</v>
      </c>
      <c r="T29" s="59">
        <f t="shared" si="34"/>
        <v>271.54361159160169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0.54412522511248229</v>
      </c>
      <c r="AB29" s="21">
        <f>EXP(-LN(2)/2)*AB28+(1-EXP(-LN(2)/2))/(LN(2)/2)*V29*Y29*VLOOKUP('Données projet'!$B$9,Paramètres!$A$1:$I$89,3,0)*0.475*44/12</f>
        <v>0.16006934106280418</v>
      </c>
      <c r="AC29" s="22">
        <f t="shared" si="3"/>
        <v>0.70419456617528642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</v>
      </c>
      <c r="AI29" s="13">
        <f>IF('Données projet'!$A$62&gt;35,AI28+AH29-AQ28,IF(A29&lt;'Données projet'!$A$62,$AF$205^A29,IF(A29='Données projet'!$A$62,'Données projet'!$B$62,AI28+AH29-AQ28)))</f>
        <v>86.6</v>
      </c>
      <c r="AJ29" s="13">
        <f>AI29*VLOOKUP('Données projet'!$B$10,Paramètres!$A$1:$I$89,3,0)*VLOOKUP('Données projet'!$B$10,Paramètres!$A$1:$I$89,5,0)</f>
        <v>74.302800000000005</v>
      </c>
      <c r="AK29" s="13">
        <f t="shared" si="35"/>
        <v>20.73825650366803</v>
      </c>
      <c r="AL29" s="20">
        <f t="shared" si="4"/>
        <v>165.52984007722179</v>
      </c>
      <c r="AM29" s="59">
        <f t="shared" si="5"/>
        <v>453.97428452166628</v>
      </c>
      <c r="AN29" s="59">
        <f ca="1">AVERAGE(OFFSET($AM$3,0,0,'Données projet'!$E$10+1,1))-AVERAGE(OFFSET($H$3,0,0,'Données projet'!$E$10+1,1))</f>
        <v>405.59933429804329</v>
      </c>
      <c r="AO29" s="59">
        <f t="shared" si="36"/>
        <v>208.64922573363776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79.799999999999983</v>
      </c>
      <c r="BE29" s="13">
        <f>BD29*VLOOKUP('Données projet'!$B$11,Paramètres!$A$1:$I$89,3,0)*VLOOKUP('Données projet'!$B$11,Paramètres!$A$1:$I$89,5,0)</f>
        <v>77.182559999999995</v>
      </c>
      <c r="BF29" s="13">
        <f t="shared" si="37"/>
        <v>21.446874557671695</v>
      </c>
      <c r="BG29" s="20">
        <f t="shared" si="7"/>
        <v>171.77959852127819</v>
      </c>
      <c r="BH29" s="59">
        <f t="shared" si="8"/>
        <v>460.22404296572267</v>
      </c>
      <c r="BI29" s="59">
        <f ca="1">AVERAGE(OFFSET($BH$3,0,0,'Données projet'!$E$11+1,1))-AVERAGE(OFFSET($H$3,0,0,'Données projet'!$E$11+1,1))</f>
        <v>293.19327646293601</v>
      </c>
      <c r="BJ29" s="59">
        <f t="shared" si="38"/>
        <v>200.0769581869605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10.4</v>
      </c>
      <c r="BY29" s="12">
        <f>IF('Données projet'!$A$114&gt;35,BY28+BX29-CG28,IF(A29&lt;'Données projet'!$A$114,$BV$205^A29,IF(A29='Données projet'!$A$114,'Données projet'!$B$114,BY28+BX29-CG28)))</f>
        <v>152.40000000000003</v>
      </c>
      <c r="BZ29" s="13">
        <f>BY29*VLOOKUP('Données projet'!$B$12,Paramètres!$A$1:$I$89,3,0)*VLOOKUP('Données projet'!$B$12,Paramètres!$A$1:$I$89,5,0)</f>
        <v>118.87200000000003</v>
      </c>
      <c r="CA29" s="13">
        <f t="shared" si="39"/>
        <v>31.411767382096244</v>
      </c>
      <c r="CB29" s="20">
        <f t="shared" si="10"/>
        <v>261.74422819048431</v>
      </c>
      <c r="CC29" s="59">
        <f t="shared" si="11"/>
        <v>550.18867263492871</v>
      </c>
      <c r="CD29" s="59">
        <f ca="1">AVERAGE(OFFSET($CC$3,0,0,'Données projet'!$E$12+1,1))-AVERAGE(OFFSET($H$3,0,0,'Données projet'!$E$12+1,1))</f>
        <v>295.95249585728561</v>
      </c>
      <c r="CE29" s="59">
        <f t="shared" si="40"/>
        <v>306.85862495052709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2.1108306146604918</v>
      </c>
      <c r="CM29" s="21">
        <f>EXP(-LN(2)/2)*CM28+(1-EXP(-LN(2)/2))/(LN(2)/2)*CG29*CJ29*VLOOKUP('Données projet'!$B$12,Paramètres!$A$1:$I$89,3,0)*0.475*44/12</f>
        <v>0.62095865067467126</v>
      </c>
      <c r="CN29" s="22">
        <f t="shared" si="12"/>
        <v>2.7317892653351632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</v>
      </c>
      <c r="CT29" s="12">
        <f>IF('Données projet'!$A$140&gt;35,CT28+CS29-DB28,IF(A29&lt;'Données projet'!$A$140,$CQ$205^A29,IF(A29='Données projet'!$A$140,'Données projet'!$B$140,CT28+CS29-DB28)))</f>
        <v>86.6</v>
      </c>
      <c r="CU29" s="17">
        <f>CT29*VLOOKUP('Données projet'!$B$13,Paramètres!$A$1:$I$89,3,0)*VLOOKUP('Données projet'!$B$13,Paramètres!$A$1:$I$89,5,0)</f>
        <v>82.408559999999994</v>
      </c>
      <c r="CV29" s="13">
        <f t="shared" si="41"/>
        <v>22.725069054193366</v>
      </c>
      <c r="CW29" s="20">
        <f t="shared" si="13"/>
        <v>183.10773726938677</v>
      </c>
      <c r="CX29" s="59">
        <f t="shared" si="14"/>
        <v>471.55218171383126</v>
      </c>
      <c r="CY29" s="59">
        <f ca="1">AVERAGE(OFFSET($CX$3,0,0,'Données projet'!$E$13+1,1))-AVERAGE(OFFSET($H$3,0,0,'Données projet'!$E$13+1,1))</f>
        <v>461.10546083340631</v>
      </c>
      <c r="CZ29" s="59">
        <f t="shared" si="42"/>
        <v>233.41883071412587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124.9248</v>
      </c>
      <c r="DQ29" s="13">
        <f t="shared" si="43"/>
        <v>32.820925500842712</v>
      </c>
      <c r="DR29" s="20">
        <f t="shared" si="16"/>
        <v>274.74047191396772</v>
      </c>
      <c r="DS29" s="59">
        <f t="shared" si="17"/>
        <v>563.18491635841224</v>
      </c>
      <c r="DT29" s="59">
        <f ca="1">AVERAGE(OFFSET($DS$3,0,0,'Données projet'!$E$14+1,1))-AVERAGE(OFFSET($H$3,0,0,'Données projet'!$E$14+1,1))</f>
        <v>296.376932094327</v>
      </c>
      <c r="DU29" s="59">
        <f t="shared" si="44"/>
        <v>350.93658329210882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5.4475065640571501</v>
      </c>
      <c r="EC29" s="21">
        <f>EXP(-LN(2)/2)*EC28+(1-EXP(-LN(2)/2))/(LN(2)/2)*DW29*DZ29*VLOOKUP('Données projet'!$B$14,Paramètres!$A$1:$I$89,3,0)*0.475*44/12</f>
        <v>1.6025332881115222</v>
      </c>
      <c r="ED29" s="22">
        <f t="shared" si="18"/>
        <v>7.0500398521686725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14.5</v>
      </c>
      <c r="EJ29" s="12">
        <f>IF('Données projet'!$A$192&gt;35,EJ28+EI29-ER28,IF(A29&lt;'Données projet'!$A$192,$EG$205^A29,IF(A29='Données projet'!$A$192,'Données projet'!$B$192,EJ28+EI29-ER28)))</f>
        <v>154</v>
      </c>
      <c r="EK29" s="17">
        <f>EJ29*VLOOKUP('Données projet'!$B$15,Paramètres!$A$1:$I$89,3,0)*VLOOKUP('Données projet'!$B$15,Paramètres!$A$1:$I$89,5,0)</f>
        <v>100.90079999999999</v>
      </c>
      <c r="EL29" s="13">
        <f t="shared" si="45"/>
        <v>27.176488592921537</v>
      </c>
      <c r="EM29" s="20">
        <f t="shared" si="19"/>
        <v>223.06794429933834</v>
      </c>
      <c r="EN29" s="59">
        <f t="shared" si="20"/>
        <v>511.51238874378282</v>
      </c>
      <c r="EO29" s="59">
        <f ca="1">AVERAGE(OFFSET($EN$3,0,0,'Données projet'!$E$15+1,1))-AVERAGE(OFFSET($H$3,0,0,'Données projet'!$E$15+1,1))</f>
        <v>231.03244099494077</v>
      </c>
      <c r="EP29" s="59">
        <f t="shared" si="46"/>
        <v>280.29723026390741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4.3999091478923127</v>
      </c>
      <c r="EX29" s="21">
        <f>EXP(-LN(2)/2)*EX28+(1-EXP(-LN(2)/2))/(LN(2)/2)*ER29*EU29*VLOOKUP('Données projet'!$B$15,Paramètres!$A$1:$I$89,3,0)*0.475*44/12</f>
        <v>1.2943538096285372</v>
      </c>
      <c r="EY29" s="22">
        <f t="shared" si="21"/>
        <v>5.6942629575208503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112.55712000000001</v>
      </c>
      <c r="P30" s="13">
        <f t="shared" si="33"/>
        <v>29.932653834140599</v>
      </c>
      <c r="Q30" s="20">
        <f t="shared" si="2"/>
        <v>248.16968942779488</v>
      </c>
      <c r="R30" s="59">
        <f t="shared" si="0"/>
        <v>537.83635609446151</v>
      </c>
      <c r="S30" s="59">
        <f ca="1">AVERAGE(OFFSET($R$3,0,0,'Données projet'!$E$9+1,1))-AVERAGE(OFFSET($H$3,0,0,'Données projet'!$E$9+1,1))</f>
        <v>351.15781452544906</v>
      </c>
      <c r="T30" s="59">
        <f t="shared" si="34"/>
        <v>271.54361159160169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0.52924609221747954</v>
      </c>
      <c r="AB30" s="21">
        <f>EXP(-LN(2)/2)*AB29+(1-EXP(-LN(2)/2))/(LN(2)/2)*V30*Y30*VLOOKUP('Données projet'!$B$9,Paramètres!$A$1:$I$89,3,0)*0.475*44/12</f>
        <v>0.11318611652557113</v>
      </c>
      <c r="AC30" s="22">
        <f t="shared" si="3"/>
        <v>0.64243220874305063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</v>
      </c>
      <c r="AI30" s="13">
        <f>IF('Données projet'!$A$62&gt;35,AI29+AH30-AQ29,IF(A30&lt;'Données projet'!$A$62,$AF$205^A30,IF(A30='Données projet'!$A$62,'Données projet'!$B$62,AI29+AH30-AQ29)))</f>
        <v>95.699999999999989</v>
      </c>
      <c r="AJ30" s="13">
        <f>AI30*VLOOKUP('Données projet'!$B$10,Paramètres!$A$1:$I$89,3,0)*VLOOKUP('Données projet'!$B$10,Paramètres!$A$1:$I$89,5,0)</f>
        <v>82.110600000000005</v>
      </c>
      <c r="AK30" s="13">
        <f t="shared" si="35"/>
        <v>22.652452094615242</v>
      </c>
      <c r="AL30" s="20">
        <f t="shared" si="4"/>
        <v>182.46231573145488</v>
      </c>
      <c r="AM30" s="59">
        <f t="shared" si="5"/>
        <v>472.12898239812159</v>
      </c>
      <c r="AN30" s="59">
        <f ca="1">AVERAGE(OFFSET($AM$3,0,0,'Données projet'!$E$10+1,1))-AVERAGE(OFFSET($H$3,0,0,'Données projet'!$E$10+1,1))</f>
        <v>405.59933429804329</v>
      </c>
      <c r="AO30" s="59">
        <f t="shared" si="36"/>
        <v>208.64922573363776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86.09999999999998</v>
      </c>
      <c r="BE30" s="13">
        <f>BD30*VLOOKUP('Données projet'!$B$11,Paramètres!$A$1:$I$89,3,0)*VLOOKUP('Données projet'!$B$11,Paramètres!$A$1:$I$89,5,0)</f>
        <v>83.275919999999985</v>
      </c>
      <c r="BF30" s="13">
        <f t="shared" si="37"/>
        <v>22.936283153895268</v>
      </c>
      <c r="BG30" s="20">
        <f t="shared" si="7"/>
        <v>184.98625382636752</v>
      </c>
      <c r="BH30" s="59">
        <f t="shared" si="8"/>
        <v>474.65292049303423</v>
      </c>
      <c r="BI30" s="59">
        <f ca="1">AVERAGE(OFFSET($BH$3,0,0,'Données projet'!$E$11+1,1))-AVERAGE(OFFSET($H$3,0,0,'Données projet'!$E$11+1,1))</f>
        <v>293.19327646293601</v>
      </c>
      <c r="BJ30" s="59">
        <f t="shared" si="38"/>
        <v>200.0769581869605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10.4</v>
      </c>
      <c r="BY30" s="12">
        <f>IF('Données projet'!$A$114&gt;35,BY29+BX30-CG29,IF(A30&lt;'Données projet'!$A$114,$BV$205^A30,IF(A30='Données projet'!$A$114,'Données projet'!$B$114,BY29+BX30-CG29)))</f>
        <v>162.80000000000004</v>
      </c>
      <c r="BZ30" s="13">
        <f>BY30*VLOOKUP('Données projet'!$B$12,Paramètres!$A$1:$I$89,3,0)*VLOOKUP('Données projet'!$B$12,Paramètres!$A$1:$I$89,5,0)</f>
        <v>126.98400000000004</v>
      </c>
      <c r="CA30" s="13">
        <f t="shared" si="39"/>
        <v>33.298501064557207</v>
      </c>
      <c r="CB30" s="20">
        <f t="shared" si="10"/>
        <v>279.15868935410384</v>
      </c>
      <c r="CC30" s="59">
        <f t="shared" si="11"/>
        <v>568.82535602077053</v>
      </c>
      <c r="CD30" s="59">
        <f ca="1">AVERAGE(OFFSET($CC$3,0,0,'Données projet'!$E$12+1,1))-AVERAGE(OFFSET($H$3,0,0,'Données projet'!$E$12+1,1))</f>
        <v>295.95249585728561</v>
      </c>
      <c r="CE30" s="59">
        <f t="shared" si="40"/>
        <v>306.85862495052709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2.053109840498843</v>
      </c>
      <c r="CM30" s="21">
        <f>EXP(-LN(2)/2)*CM29+(1-EXP(-LN(2)/2))/(LN(2)/2)*CG30*CJ30*VLOOKUP('Données projet'!$B$12,Paramètres!$A$1:$I$89,3,0)*0.475*44/12</f>
        <v>0.43908407272850858</v>
      </c>
      <c r="CN30" s="22">
        <f t="shared" si="12"/>
        <v>2.4921939132273518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</v>
      </c>
      <c r="CT30" s="12">
        <f>IF('Données projet'!$A$140&gt;35,CT29+CS30-DB29,IF(A30&lt;'Données projet'!$A$140,$CQ$205^A30,IF(A30='Données projet'!$A$140,'Données projet'!$B$140,CT29+CS30-DB29)))</f>
        <v>95.699999999999989</v>
      </c>
      <c r="CU30" s="17">
        <f>CT30*VLOOKUP('Données projet'!$B$13,Paramètres!$A$1:$I$89,3,0)*VLOOKUP('Données projet'!$B$13,Paramètres!$A$1:$I$89,5,0)</f>
        <v>91.068119999999993</v>
      </c>
      <c r="CV30" s="13">
        <f t="shared" si="41"/>
        <v>24.822652666384386</v>
      </c>
      <c r="CW30" s="20">
        <f t="shared" si="13"/>
        <v>201.84309572728614</v>
      </c>
      <c r="CX30" s="59">
        <f t="shared" si="14"/>
        <v>491.50976239395283</v>
      </c>
      <c r="CY30" s="59">
        <f ca="1">AVERAGE(OFFSET($CX$3,0,0,'Données projet'!$E$13+1,1))-AVERAGE(OFFSET($H$3,0,0,'Données projet'!$E$13+1,1))</f>
        <v>461.10546083340631</v>
      </c>
      <c r="CZ30" s="59">
        <f t="shared" si="42"/>
        <v>233.41883071412587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136.68720000000002</v>
      </c>
      <c r="DQ30" s="13">
        <f t="shared" si="43"/>
        <v>35.537035051911175</v>
      </c>
      <c r="DR30" s="20">
        <f t="shared" si="16"/>
        <v>299.95720938207864</v>
      </c>
      <c r="DS30" s="59">
        <f t="shared" si="17"/>
        <v>589.62387604874539</v>
      </c>
      <c r="DT30" s="59">
        <f ca="1">AVERAGE(OFFSET($DS$3,0,0,'Données projet'!$E$14+1,1))-AVERAGE(OFFSET($H$3,0,0,'Données projet'!$E$14+1,1))</f>
        <v>296.376932094327</v>
      </c>
      <c r="DU30" s="59">
        <f t="shared" si="44"/>
        <v>350.93658329210882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5.2985442105910874</v>
      </c>
      <c r="EC30" s="21">
        <f>EXP(-LN(2)/2)*EC29+(1-EXP(-LN(2)/2))/(LN(2)/2)*DW30*DZ30*VLOOKUP('Données projet'!$B$14,Paramètres!$A$1:$I$89,3,0)*0.475*44/12</f>
        <v>1.1331621551008326</v>
      </c>
      <c r="ED30" s="22">
        <f t="shared" si="18"/>
        <v>6.4317063656919196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14.5</v>
      </c>
      <c r="EJ30" s="12">
        <f>IF('Données projet'!$A$192&gt;35,EJ29+EI30-ER29,IF(A30&lt;'Données projet'!$A$192,$EG$205^A30,IF(A30='Données projet'!$A$192,'Données projet'!$B$192,EJ29+EI30-ER29)))</f>
        <v>168.5</v>
      </c>
      <c r="EK30" s="17">
        <f>EJ30*VLOOKUP('Données projet'!$B$15,Paramètres!$A$1:$I$89,3,0)*VLOOKUP('Données projet'!$B$15,Paramètres!$A$1:$I$89,5,0)</f>
        <v>110.4012</v>
      </c>
      <c r="EL30" s="13">
        <f t="shared" si="45"/>
        <v>29.425490383862538</v>
      </c>
      <c r="EM30" s="20">
        <f t="shared" si="19"/>
        <v>243.53148575189388</v>
      </c>
      <c r="EN30" s="59">
        <f t="shared" si="20"/>
        <v>533.19815241856054</v>
      </c>
      <c r="EO30" s="59">
        <f ca="1">AVERAGE(OFFSET($EN$3,0,0,'Données projet'!$E$15+1,1))-AVERAGE(OFFSET($H$3,0,0,'Données projet'!$E$15+1,1))</f>
        <v>231.03244099494077</v>
      </c>
      <c r="EP30" s="59">
        <f t="shared" si="46"/>
        <v>280.29723026390741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4.2795934008620318</v>
      </c>
      <c r="EX30" s="21">
        <f>EXP(-LN(2)/2)*EX29+(1-EXP(-LN(2)/2))/(LN(2)/2)*ER30*EU30*VLOOKUP('Données projet'!$B$15,Paramètres!$A$1:$I$89,3,0)*0.475*44/12</f>
        <v>0.91524635604298032</v>
      </c>
      <c r="EY30" s="22">
        <f t="shared" si="21"/>
        <v>5.1948397569050124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119.97648000000001</v>
      </c>
      <c r="P31" s="13">
        <f t="shared" si="33"/>
        <v>31.669513577784763</v>
      </c>
      <c r="Q31" s="20">
        <f t="shared" si="2"/>
        <v>264.1167721479751</v>
      </c>
      <c r="R31" s="59">
        <f t="shared" si="0"/>
        <v>555.00566103686401</v>
      </c>
      <c r="S31" s="59">
        <f ca="1">AVERAGE(OFFSET($R$3,0,0,'Données projet'!$E$9+1,1))-AVERAGE(OFFSET($H$3,0,0,'Données projet'!$E$9+1,1))</f>
        <v>351.15781452544906</v>
      </c>
      <c r="T31" s="59">
        <f t="shared" si="34"/>
        <v>271.54361159160169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0.51477382999395016</v>
      </c>
      <c r="AB31" s="21">
        <f>EXP(-LN(2)/2)*AB30+(1-EXP(-LN(2)/2))/(LN(2)/2)*V31*Y31*VLOOKUP('Données projet'!$B$9,Paramètres!$A$1:$I$89,3,0)*0.475*44/12</f>
        <v>8.0034670531402105E-2</v>
      </c>
      <c r="AC31" s="22">
        <f t="shared" si="3"/>
        <v>0.59480850052535228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</v>
      </c>
      <c r="AI31" s="13">
        <f>IF('Données projet'!$A$62&gt;35,AI30+AH31-AQ30,IF(A31&lt;'Données projet'!$A$62,$AF$205^A31,IF(A31='Données projet'!$A$62,'Données projet'!$B$62,AI30+AH31-AQ30)))</f>
        <v>104.79999999999998</v>
      </c>
      <c r="AJ31" s="13">
        <f>AI31*VLOOKUP('Données projet'!$B$10,Paramètres!$A$1:$I$89,3,0)*VLOOKUP('Données projet'!$B$10,Paramètres!$A$1:$I$89,5,0)</f>
        <v>89.918399999999991</v>
      </c>
      <c r="AK31" s="13">
        <f t="shared" si="35"/>
        <v>24.545544000010828</v>
      </c>
      <c r="AL31" s="20">
        <f t="shared" si="4"/>
        <v>199.35803580001888</v>
      </c>
      <c r="AM31" s="59">
        <f t="shared" si="5"/>
        <v>490.24692468890771</v>
      </c>
      <c r="AN31" s="59">
        <f ca="1">AVERAGE(OFFSET($AM$3,0,0,'Données projet'!$E$10+1,1))-AVERAGE(OFFSET($H$3,0,0,'Données projet'!$E$10+1,1))</f>
        <v>405.59933429804329</v>
      </c>
      <c r="AO31" s="59">
        <f t="shared" si="36"/>
        <v>208.64922573363776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92.399999999999977</v>
      </c>
      <c r="BE31" s="13">
        <f>BD31*VLOOKUP('Données projet'!$B$11,Paramètres!$A$1:$I$89,3,0)*VLOOKUP('Données projet'!$B$11,Paramètres!$A$1:$I$89,5,0)</f>
        <v>89.369279999999975</v>
      </c>
      <c r="BF31" s="13">
        <f t="shared" si="37"/>
        <v>24.413048312949282</v>
      </c>
      <c r="BG31" s="20">
        <f t="shared" si="7"/>
        <v>198.17088847838662</v>
      </c>
      <c r="BH31" s="59">
        <f t="shared" si="8"/>
        <v>489.0597773672755</v>
      </c>
      <c r="BI31" s="59">
        <f ca="1">AVERAGE(OFFSET($BH$3,0,0,'Données projet'!$E$11+1,1))-AVERAGE(OFFSET($H$3,0,0,'Données projet'!$E$11+1,1))</f>
        <v>293.19327646293601</v>
      </c>
      <c r="BJ31" s="59">
        <f t="shared" si="38"/>
        <v>200.0769581869605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10.4</v>
      </c>
      <c r="BY31" s="12">
        <f>IF('Données projet'!$A$114&gt;35,BY30+BX31-CG30,IF(A31&lt;'Données projet'!$A$114,$BV$205^A31,IF(A31='Données projet'!$A$114,'Données projet'!$B$114,BY30+BX31-CG30)))</f>
        <v>173.20000000000005</v>
      </c>
      <c r="BZ31" s="13">
        <f>BY31*VLOOKUP('Données projet'!$B$12,Paramètres!$A$1:$I$89,3,0)*VLOOKUP('Données projet'!$B$12,Paramètres!$A$1:$I$89,5,0)</f>
        <v>135.09600000000003</v>
      </c>
      <c r="CA31" s="13">
        <f t="shared" si="39"/>
        <v>35.171247228284784</v>
      </c>
      <c r="CB31" s="20">
        <f t="shared" si="10"/>
        <v>296.54878892259609</v>
      </c>
      <c r="CC31" s="59">
        <f t="shared" si="11"/>
        <v>587.43767781148495</v>
      </c>
      <c r="CD31" s="59">
        <f ca="1">AVERAGE(OFFSET($CC$3,0,0,'Données projet'!$E$12+1,1))-AVERAGE(OFFSET($H$3,0,0,'Données projet'!$E$12+1,1))</f>
        <v>295.95249585728561</v>
      </c>
      <c r="CE31" s="59">
        <f t="shared" si="40"/>
        <v>306.85862495052709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1.9969674439420482</v>
      </c>
      <c r="CM31" s="21">
        <f>EXP(-LN(2)/2)*CM30+(1-EXP(-LN(2)/2))/(LN(2)/2)*CG31*CJ31*VLOOKUP('Données projet'!$B$12,Paramètres!$A$1:$I$89,3,0)*0.475*44/12</f>
        <v>0.31047932533733563</v>
      </c>
      <c r="CN31" s="22">
        <f t="shared" si="12"/>
        <v>2.3074467692793839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</v>
      </c>
      <c r="CT31" s="12">
        <f>IF('Données projet'!$A$140&gt;35,CT30+CS31-DB30,IF(A31&lt;'Données projet'!$A$140,$CQ$205^A31,IF(A31='Données projet'!$A$140,'Données projet'!$B$140,CT30+CS31-DB30)))</f>
        <v>104.79999999999998</v>
      </c>
      <c r="CU31" s="17">
        <f>CT31*VLOOKUP('Données projet'!$B$13,Paramètres!$A$1:$I$89,3,0)*VLOOKUP('Données projet'!$B$13,Paramètres!$A$1:$I$89,5,0)</f>
        <v>99.727679999999992</v>
      </c>
      <c r="CV31" s="13">
        <f t="shared" si="41"/>
        <v>26.897110770827268</v>
      </c>
      <c r="CW31" s="20">
        <f t="shared" si="13"/>
        <v>220.5381772591908</v>
      </c>
      <c r="CX31" s="59">
        <f t="shared" si="14"/>
        <v>511.42706614807969</v>
      </c>
      <c r="CY31" s="59">
        <f ca="1">AVERAGE(OFFSET($CX$3,0,0,'Données projet'!$E$13+1,1))-AVERAGE(OFFSET($H$3,0,0,'Données projet'!$E$13+1,1))</f>
        <v>461.10546083340631</v>
      </c>
      <c r="CZ31" s="59">
        <f t="shared" si="42"/>
        <v>233.41883071412587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148.4496</v>
      </c>
      <c r="DQ31" s="13">
        <f t="shared" si="43"/>
        <v>38.226038889407498</v>
      </c>
      <c r="DR31" s="20">
        <f t="shared" si="16"/>
        <v>325.1267377323847</v>
      </c>
      <c r="DS31" s="59">
        <f t="shared" si="17"/>
        <v>616.01562662127355</v>
      </c>
      <c r="DT31" s="59">
        <f ca="1">AVERAGE(OFFSET($DS$3,0,0,'Données projet'!$E$14+1,1))-AVERAGE(OFFSET($H$3,0,0,'Données projet'!$E$14+1,1))</f>
        <v>296.376932094327</v>
      </c>
      <c r="DU31" s="59">
        <f t="shared" si="44"/>
        <v>350.93658329210882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5.1536552405141443</v>
      </c>
      <c r="EC31" s="21">
        <f>EXP(-LN(2)/2)*EC30+(1-EXP(-LN(2)/2))/(LN(2)/2)*DW31*DZ31*VLOOKUP('Données projet'!$B$14,Paramètres!$A$1:$I$89,3,0)*0.475*44/12</f>
        <v>0.80126664405576109</v>
      </c>
      <c r="ED31" s="22">
        <f t="shared" si="18"/>
        <v>5.954921884569905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14.5</v>
      </c>
      <c r="EJ31" s="12">
        <f>IF('Données projet'!$A$192&gt;35,EJ30+EI31-ER30,IF(A31&lt;'Données projet'!$A$192,$EG$205^A31,IF(A31='Données projet'!$A$192,'Données projet'!$B$192,EJ30+EI31-ER30)))</f>
        <v>183</v>
      </c>
      <c r="EK31" s="17">
        <f>EJ31*VLOOKUP('Données projet'!$B$15,Paramètres!$A$1:$I$89,3,0)*VLOOKUP('Données projet'!$B$15,Paramètres!$A$1:$I$89,5,0)</f>
        <v>119.9016</v>
      </c>
      <c r="EL31" s="13">
        <f t="shared" si="45"/>
        <v>31.652048014425535</v>
      </c>
      <c r="EM31" s="20">
        <f t="shared" si="19"/>
        <v>263.95593695845781</v>
      </c>
      <c r="EN31" s="59">
        <f t="shared" si="20"/>
        <v>554.84482584734667</v>
      </c>
      <c r="EO31" s="59">
        <f ca="1">AVERAGE(OFFSET($EN$3,0,0,'Données projet'!$E$15+1,1))-AVERAGE(OFFSET($H$3,0,0,'Données projet'!$E$15+1,1))</f>
        <v>231.03244099494077</v>
      </c>
      <c r="EP31" s="59">
        <f t="shared" si="46"/>
        <v>280.29723026390741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4.1625676942614236</v>
      </c>
      <c r="EX31" s="21">
        <f>EXP(-LN(2)/2)*EX30+(1-EXP(-LN(2)/2))/(LN(2)/2)*ER31*EU31*VLOOKUP('Données projet'!$B$15,Paramètres!$A$1:$I$89,3,0)*0.475*44/12</f>
        <v>0.64717690481426871</v>
      </c>
      <c r="EY31" s="22">
        <f t="shared" si="21"/>
        <v>4.8097445990756924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127.39584000000001</v>
      </c>
      <c r="P32" s="13">
        <f t="shared" si="33"/>
        <v>33.393907578695213</v>
      </c>
      <c r="Q32" s="20">
        <f t="shared" si="2"/>
        <v>280.04214369956082</v>
      </c>
      <c r="R32" s="59">
        <f t="shared" si="0"/>
        <v>572.15325481067202</v>
      </c>
      <c r="S32" s="59">
        <f ca="1">AVERAGE(OFFSET($R$3,0,0,'Données projet'!$E$9+1,1))-AVERAGE(OFFSET($H$3,0,0,'Données projet'!$E$9+1,1))</f>
        <v>351.15781452544906</v>
      </c>
      <c r="T32" s="59">
        <f t="shared" si="34"/>
        <v>271.54361159160169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0.50069731254198635</v>
      </c>
      <c r="AB32" s="21">
        <f>EXP(-LN(2)/2)*AB31+(1-EXP(-LN(2)/2))/(LN(2)/2)*V32*Y32*VLOOKUP('Données projet'!$B$9,Paramètres!$A$1:$I$89,3,0)*0.475*44/12</f>
        <v>5.6593058262785573E-2</v>
      </c>
      <c r="AC32" s="22">
        <f t="shared" si="3"/>
        <v>0.55729037080477195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</v>
      </c>
      <c r="AI32" s="13">
        <f>IF('Données projet'!$A$62&gt;35,AI31+AH32-AQ31,IF(A32&lt;'Données projet'!$A$62,$AF$205^A32,IF(A32='Données projet'!$A$62,'Données projet'!$B$62,AI31+AH32-AQ31)))</f>
        <v>113.89999999999998</v>
      </c>
      <c r="AJ32" s="13">
        <f>AI32*VLOOKUP('Données projet'!$B$10,Paramètres!$A$1:$I$89,3,0)*VLOOKUP('Données projet'!$B$10,Paramètres!$A$1:$I$89,5,0)</f>
        <v>97.726199999999992</v>
      </c>
      <c r="AK32" s="13">
        <f t="shared" si="35"/>
        <v>26.419573051947541</v>
      </c>
      <c r="AL32" s="20">
        <f t="shared" si="4"/>
        <v>216.22055473214195</v>
      </c>
      <c r="AM32" s="59">
        <f t="shared" si="5"/>
        <v>508.33166584325306</v>
      </c>
      <c r="AN32" s="59">
        <f ca="1">AVERAGE(OFFSET($AM$3,0,0,'Données projet'!$E$10+1,1))-AVERAGE(OFFSET($H$3,0,0,'Données projet'!$E$10+1,1))</f>
        <v>405.59933429804329</v>
      </c>
      <c r="AO32" s="59">
        <f t="shared" si="36"/>
        <v>208.64922573363776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98.699999999999974</v>
      </c>
      <c r="BE32" s="13">
        <f>BD32*VLOOKUP('Données projet'!$B$11,Paramètres!$A$1:$I$89,3,0)*VLOOKUP('Données projet'!$B$11,Paramètres!$A$1:$I$89,5,0)</f>
        <v>95.462639999999979</v>
      </c>
      <c r="BF32" s="13">
        <f t="shared" si="37"/>
        <v>25.878130159770908</v>
      </c>
      <c r="BG32" s="20">
        <f t="shared" si="7"/>
        <v>211.33517469493427</v>
      </c>
      <c r="BH32" s="59">
        <f t="shared" si="8"/>
        <v>503.44628580604541</v>
      </c>
      <c r="BI32" s="59">
        <f ca="1">AVERAGE(OFFSET($BH$3,0,0,'Données projet'!$E$11+1,1))-AVERAGE(OFFSET($H$3,0,0,'Données projet'!$E$11+1,1))</f>
        <v>293.19327646293601</v>
      </c>
      <c r="BJ32" s="59">
        <f t="shared" si="38"/>
        <v>200.0769581869605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10.4</v>
      </c>
      <c r="BY32" s="12">
        <f>IF('Données projet'!$A$114&gt;35,BY31+BX32-CG31,IF(A32&lt;'Données projet'!$A$114,$BV$205^A32,IF(A32='Données projet'!$A$114,'Données projet'!$B$114,BY31+BX32-CG31)))</f>
        <v>183.60000000000005</v>
      </c>
      <c r="BZ32" s="13">
        <f>BY32*VLOOKUP('Données projet'!$B$12,Paramètres!$A$1:$I$89,3,0)*VLOOKUP('Données projet'!$B$12,Paramètres!$A$1:$I$89,5,0)</f>
        <v>143.20800000000006</v>
      </c>
      <c r="CA32" s="13">
        <f t="shared" si="39"/>
        <v>37.030941422835831</v>
      </c>
      <c r="CB32" s="20">
        <f t="shared" si="10"/>
        <v>313.91615631143918</v>
      </c>
      <c r="CC32" s="59">
        <f t="shared" si="11"/>
        <v>606.02726742255027</v>
      </c>
      <c r="CD32" s="59">
        <f ca="1">AVERAGE(OFFSET($CC$3,0,0,'Données projet'!$E$12+1,1))-AVERAGE(OFFSET($H$3,0,0,'Données projet'!$E$12+1,1))</f>
        <v>295.95249585728561</v>
      </c>
      <c r="CE32" s="59">
        <f t="shared" si="40"/>
        <v>306.85862495052709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1.9423602641714992</v>
      </c>
      <c r="CM32" s="21">
        <f>EXP(-LN(2)/2)*CM31+(1-EXP(-LN(2)/2))/(LN(2)/2)*CG32*CJ32*VLOOKUP('Données projet'!$B$12,Paramètres!$A$1:$I$89,3,0)*0.475*44/12</f>
        <v>0.21954203636425429</v>
      </c>
      <c r="CN32" s="22">
        <f t="shared" si="12"/>
        <v>2.1619023005357536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</v>
      </c>
      <c r="CT32" s="12">
        <f>IF('Données projet'!$A$140&gt;35,CT31+CS32-DB31,IF(A32&lt;'Données projet'!$A$140,$CQ$205^A32,IF(A32='Données projet'!$A$140,'Données projet'!$B$140,CT31+CS32-DB31)))</f>
        <v>113.89999999999998</v>
      </c>
      <c r="CU32" s="17">
        <f>CT32*VLOOKUP('Données projet'!$B$13,Paramètres!$A$1:$I$89,3,0)*VLOOKUP('Données projet'!$B$13,Paramètres!$A$1:$I$89,5,0)</f>
        <v>108.38723999999998</v>
      </c>
      <c r="CV32" s="13">
        <f t="shared" si="41"/>
        <v>28.950679719947619</v>
      </c>
      <c r="CW32" s="20">
        <f t="shared" si="13"/>
        <v>239.19687684557539</v>
      </c>
      <c r="CX32" s="59">
        <f t="shared" si="14"/>
        <v>531.30798795668647</v>
      </c>
      <c r="CY32" s="59">
        <f ca="1">AVERAGE(OFFSET($CX$3,0,0,'Données projet'!$E$13+1,1))-AVERAGE(OFFSET($H$3,0,0,'Données projet'!$E$13+1,1))</f>
        <v>461.10546083340631</v>
      </c>
      <c r="CZ32" s="59">
        <f t="shared" si="42"/>
        <v>233.41883071412587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160.21200000000002</v>
      </c>
      <c r="DQ32" s="13">
        <f t="shared" si="43"/>
        <v>40.890328912852695</v>
      </c>
      <c r="DR32" s="20">
        <f t="shared" si="16"/>
        <v>350.25322285655176</v>
      </c>
      <c r="DS32" s="59">
        <f t="shared" si="17"/>
        <v>642.3643339676629</v>
      </c>
      <c r="DT32" s="59">
        <f ca="1">AVERAGE(OFFSET($DS$3,0,0,'Données projet'!$E$14+1,1))-AVERAGE(OFFSET($H$3,0,0,'Données projet'!$E$14+1,1))</f>
        <v>296.376932094327</v>
      </c>
      <c r="DU32" s="59">
        <f t="shared" si="44"/>
        <v>350.93658329210882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5.0127282669433351</v>
      </c>
      <c r="EC32" s="21">
        <f>EXP(-LN(2)/2)*EC31+(1-EXP(-LN(2)/2))/(LN(2)/2)*DW32*DZ32*VLOOKUP('Données projet'!$B$14,Paramètres!$A$1:$I$89,3,0)*0.475*44/12</f>
        <v>0.56658107755041631</v>
      </c>
      <c r="ED32" s="22">
        <f t="shared" si="18"/>
        <v>5.5793093444937512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14.5</v>
      </c>
      <c r="EJ32" s="12">
        <f>IF('Données projet'!$A$192&gt;35,EJ31+EI32-ER31,IF(A32&lt;'Données projet'!$A$192,$EG$205^A32,IF(A32='Données projet'!$A$192,'Données projet'!$B$192,EJ31+EI32-ER31)))</f>
        <v>197.5</v>
      </c>
      <c r="EK32" s="17">
        <f>EJ32*VLOOKUP('Données projet'!$B$15,Paramètres!$A$1:$I$89,3,0)*VLOOKUP('Données projet'!$B$15,Paramètres!$A$1:$I$89,5,0)</f>
        <v>129.40200000000002</v>
      </c>
      <c r="EL32" s="13">
        <f t="shared" si="45"/>
        <v>33.858142032966661</v>
      </c>
      <c r="EM32" s="20">
        <f t="shared" si="19"/>
        <v>284.34474737408362</v>
      </c>
      <c r="EN32" s="59">
        <f t="shared" si="20"/>
        <v>576.45585848519477</v>
      </c>
      <c r="EO32" s="59">
        <f ca="1">AVERAGE(OFFSET($EN$3,0,0,'Données projet'!$E$15+1,1))-AVERAGE(OFFSET($H$3,0,0,'Données projet'!$E$15+1,1))</f>
        <v>231.03244099494077</v>
      </c>
      <c r="EP32" s="59">
        <f t="shared" si="46"/>
        <v>280.29723026390741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4.0487420617619234</v>
      </c>
      <c r="EX32" s="21">
        <f>EXP(-LN(2)/2)*EX31+(1-EXP(-LN(2)/2))/(LN(2)/2)*ER32*EU32*VLOOKUP('Données projet'!$B$15,Paramètres!$A$1:$I$89,3,0)*0.475*44/12</f>
        <v>0.45762317802149022</v>
      </c>
      <c r="EY32" s="22">
        <f t="shared" si="21"/>
        <v>4.5063652397834133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134.81519999999998</v>
      </c>
      <c r="P33" s="13">
        <f t="shared" si="33"/>
        <v>35.106644529103392</v>
      </c>
      <c r="Q33" s="20">
        <f t="shared" si="2"/>
        <v>295.94721255485501</v>
      </c>
      <c r="R33" s="59">
        <f t="shared" si="0"/>
        <v>589.28054588818827</v>
      </c>
      <c r="S33" s="59">
        <f ca="1">AVERAGE(OFFSET($R$3,0,0,'Données projet'!$E$9+1,1))-AVERAGE(OFFSET($H$3,0,0,'Données projet'!$E$9+1,1))</f>
        <v>351.15781452544906</v>
      </c>
      <c r="T33" s="59">
        <f t="shared" si="34"/>
        <v>271.54361159160169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2.4085528753586032</v>
      </c>
      <c r="AA33" s="21">
        <f>EXP(-LN(2)/25)*AA32+(1-EXP(-LN(2)/25))/(LN(2)/25)*Calculateur!V33*Calculateur!X33*VLOOKUP('Données projet'!$B$9,Paramètres!$A$1:$I$89,3,0)*0.475*44/12</f>
        <v>11.282818400509749</v>
      </c>
      <c r="AB33" s="21">
        <f>EXP(-LN(2)/2)*AB32+(1-EXP(-LN(2)/2))/(LN(2)/2)*V33*Y33*VLOOKUP('Données projet'!$B$9,Paramètres!$A$1:$I$89,3,0)*0.475*44/12</f>
        <v>21.553336774106572</v>
      </c>
      <c r="AC33" s="22">
        <f t="shared" si="3"/>
        <v>35.244708049974925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123</v>
      </c>
      <c r="AG33" s="12">
        <f>VLOOKUP(A33,'Données projet'!$A$61:$I$81,9,0)</f>
        <v>9.1</v>
      </c>
      <c r="AH33" s="12">
        <f t="array" ref="AH33">INDEX(AG:AG,MIN(IF(ISNUMBER(AG33:AG229),ROW(AG33:AG229),"")))</f>
        <v>9.1</v>
      </c>
      <c r="AI33" s="13">
        <f>IF('Données projet'!$A$62&gt;35,AI32+AH33-AQ32,IF(A33&lt;'Données projet'!$A$62,$AF$205^A33,IF(A33='Données projet'!$A$62,'Données projet'!$B$62,AI32+AH33-AQ32)))</f>
        <v>122.99999999999997</v>
      </c>
      <c r="AJ33" s="13">
        <f>AI33*VLOOKUP('Données projet'!$B$10,Paramètres!$A$1:$I$89,3,0)*VLOOKUP('Données projet'!$B$10,Paramètres!$A$1:$I$89,5,0)</f>
        <v>105.53399999999999</v>
      </c>
      <c r="AK33" s="13">
        <f t="shared" si="35"/>
        <v>28.276235424052324</v>
      </c>
      <c r="AL33" s="20">
        <f t="shared" si="4"/>
        <v>233.05282669689109</v>
      </c>
      <c r="AM33" s="59">
        <f t="shared" si="5"/>
        <v>526.38616003022435</v>
      </c>
      <c r="AN33" s="59">
        <f ca="1">AVERAGE(OFFSET($AM$3,0,0,'Données projet'!$E$10+1,1))-AVERAGE(OFFSET($H$3,0,0,'Données projet'!$E$10+1,1))</f>
        <v>405.59933429804329</v>
      </c>
      <c r="AO33" s="59">
        <f t="shared" si="36"/>
        <v>208.64922573363776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0.13250000000000001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4.3813198856328688</v>
      </c>
      <c r="AW33" s="21">
        <f>EXP(-LN(2)/2)*AW32+(1-EXP(-LN(2)/2))/(LN(2)/2)*AQ33*AT33*VLOOKUP('Données projet'!$B$10,Paramètres!$A$1:$I$89,3,0)*0.475*44/12</f>
        <v>7.0835283113999523</v>
      </c>
      <c r="AX33" s="21">
        <f t="shared" si="6"/>
        <v>11.464848197032822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105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104.99999999999997</v>
      </c>
      <c r="BE33" s="13">
        <f>BD33*VLOOKUP('Données projet'!$B$11,Paramètres!$A$1:$I$89,3,0)*VLOOKUP('Données projet'!$B$11,Paramètres!$A$1:$I$89,5,0)</f>
        <v>101.55599999999997</v>
      </c>
      <c r="BF33" s="13">
        <f t="shared" si="37"/>
        <v>27.332359320696909</v>
      </c>
      <c r="BG33" s="20">
        <f t="shared" si="7"/>
        <v>224.48055915021371</v>
      </c>
      <c r="BH33" s="59">
        <f t="shared" si="8"/>
        <v>517.81389248354708</v>
      </c>
      <c r="BI33" s="59">
        <f ca="1">AVERAGE(OFFSET($BH$3,0,0,'Données projet'!$E$11+1,1))-AVERAGE(OFFSET($H$3,0,0,'Données projet'!$E$11+1,1))</f>
        <v>293.19327646293601</v>
      </c>
      <c r="BJ33" s="59">
        <f t="shared" si="38"/>
        <v>200.0769581869605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3.3201408050754195</v>
      </c>
      <c r="BR33" s="21">
        <f>EXP(-LN(2)/2)*BR32+(1-EXP(-LN(2)/2))/(LN(2)/2)*BL33*BO33*VLOOKUP('Données projet'!$B$11,Paramètres!$A$1:$I$89,3,0)*0.475*44/12</f>
        <v>6.6161994305959029</v>
      </c>
      <c r="BS33" s="22">
        <f t="shared" si="9"/>
        <v>9.936340235671322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10.4</v>
      </c>
      <c r="BX33" s="12">
        <f t="array" ref="BX33">INDEX(BW:BW,MIN(IF(ISNUMBER(BW33:BW229),ROW(BW33:BW229),"")))</f>
        <v>10.4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151.32000000000005</v>
      </c>
      <c r="CA33" s="13">
        <f t="shared" si="39"/>
        <v>38.878407223223149</v>
      </c>
      <c r="CB33" s="20">
        <f t="shared" si="10"/>
        <v>331.26222591378041</v>
      </c>
      <c r="CC33" s="59">
        <f t="shared" si="11"/>
        <v>624.59555924711367</v>
      </c>
      <c r="CD33" s="59">
        <f ca="1">AVERAGE(OFFSET($CC$3,0,0,'Données projet'!$E$12+1,1))-AVERAGE(OFFSET($H$3,0,0,'Données projet'!$E$12+1,1))</f>
        <v>295.95249585728561</v>
      </c>
      <c r="CE33" s="59">
        <f t="shared" si="40"/>
        <v>306.85862495052709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39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1.4460215846518709</v>
      </c>
      <c r="CL33" s="21">
        <f>EXP(-LN(2)/25)*CL32+(1-EXP(-LN(2)/25))/(LN(2)/25)*Calculateur!CG33*Calculateur!CI33*VLOOKUP('Données projet'!$B$12,Paramètres!$A$1:$I$89,3,0)*0.475*44/12</f>
        <v>8.3707225307339872</v>
      </c>
      <c r="CM33" s="21">
        <f>EXP(-LN(2)/2)*CM32+(1-EXP(-LN(2)/2))/(LN(2)/2)*CG33*CJ33*VLOOKUP('Données projet'!$B$12,Paramètres!$A$1:$I$89,3,0)*0.475*44/12</f>
        <v>13.071179596701828</v>
      </c>
      <c r="CN33" s="22">
        <f t="shared" si="12"/>
        <v>22.887923712087687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123</v>
      </c>
      <c r="CR33" s="12">
        <f>VLOOKUP(A33,'Données projet'!$A$139:$I$159,9,0)</f>
        <v>9.1</v>
      </c>
      <c r="CS33" s="12">
        <f t="array" ref="CS33">INDEX(CR:CR,MIN(IF(ISNUMBER(CR33:CR229),ROW(CR33:CR229),"")))</f>
        <v>9.1</v>
      </c>
      <c r="CT33" s="12">
        <f>IF('Données projet'!$A$140&gt;35,CT32+CS33-DB32,IF(A33&lt;'Données projet'!$A$140,$CQ$205^A33,IF(A33='Données projet'!$A$140,'Données projet'!$B$140,CT32+CS33-DB32)))</f>
        <v>122.99999999999997</v>
      </c>
      <c r="CU33" s="17">
        <f>CT33*VLOOKUP('Données projet'!$B$13,Paramètres!$A$1:$I$89,3,0)*VLOOKUP('Données projet'!$B$13,Paramètres!$A$1:$I$89,5,0)</f>
        <v>117.04679999999999</v>
      </c>
      <c r="CV33" s="13">
        <f t="shared" si="41"/>
        <v>30.985218187968854</v>
      </c>
      <c r="CW33" s="20">
        <f t="shared" si="13"/>
        <v>257.82243167737909</v>
      </c>
      <c r="CX33" s="59">
        <f t="shared" si="14"/>
        <v>551.15576501071246</v>
      </c>
      <c r="CY33" s="59">
        <f ca="1">AVERAGE(OFFSET($CX$3,0,0,'Données projet'!$E$13+1,1))-AVERAGE(OFFSET($H$3,0,0,'Données projet'!$E$13+1,1))</f>
        <v>461.10546083340631</v>
      </c>
      <c r="CZ33" s="59">
        <f t="shared" si="42"/>
        <v>233.41883071412587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0.1075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3.9424363842247048</v>
      </c>
      <c r="DH33" s="21">
        <f>EXP(-LN(2)/2)*DH32+(1-EXP(-LN(2)/2))/(LN(2)/2)*DB33*DE33*VLOOKUP('Données projet'!$B$13,Paramètres!$A$1:$I$89,3,0)*0.475*44/12</f>
        <v>7.8562768544617656</v>
      </c>
      <c r="DI33" s="22">
        <f t="shared" si="15"/>
        <v>11.798713238686471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171.97440000000003</v>
      </c>
      <c r="DQ33" s="13">
        <f t="shared" si="43"/>
        <v>43.531925888246164</v>
      </c>
      <c r="DR33" s="20">
        <f t="shared" si="16"/>
        <v>375.34018425536209</v>
      </c>
      <c r="DS33" s="59">
        <f t="shared" si="17"/>
        <v>668.6735175886954</v>
      </c>
      <c r="DT33" s="59">
        <f ca="1">AVERAGE(OFFSET($DS$3,0,0,'Données projet'!$E$14+1,1))-AVERAGE(OFFSET($H$3,0,0,'Données projet'!$E$14+1,1))</f>
        <v>296.376932094327</v>
      </c>
      <c r="DU33" s="59">
        <f t="shared" si="44"/>
        <v>350.93658329210882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2.6992402913501592</v>
      </c>
      <c r="EB33" s="21">
        <f>EXP(-LN(2)/25)*EB32+(1-EXP(-LN(2)/25))/(LN(2)/25)*Calculateur!DW33*Calculateur!DY33*VLOOKUP('Données projet'!$B$14,Paramètres!$A$1:$I$89,3,0)*0.475*44/12</f>
        <v>16.974410541119532</v>
      </c>
      <c r="EC33" s="21">
        <f>EXP(-LN(2)/2)*EC32+(1-EXP(-LN(2)/2))/(LN(2)/2)*DW33*DZ33*VLOOKUP('Données projet'!$B$14,Paramètres!$A$1:$I$89,3,0)*0.475*44/12</f>
        <v>24.510387865556446</v>
      </c>
      <c r="ED33" s="22">
        <f t="shared" si="18"/>
        <v>44.184038698026136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212</v>
      </c>
      <c r="EH33" s="12">
        <f>VLOOKUP(A33,'Données projet'!$A$191:$I$211,9,0)</f>
        <v>14.5</v>
      </c>
      <c r="EI33" s="12">
        <f t="array" ref="EI33">INDEX(EH:EH,MIN(IF(ISNUMBER(EH33:EH229),ROW(EH33:EH229),"")))</f>
        <v>14.5</v>
      </c>
      <c r="EJ33" s="12">
        <f>IF('Données projet'!$A$192&gt;35,EJ32+EI33-ER32,IF(A33&lt;'Données projet'!$A$192,$EG$205^A33,IF(A33='Données projet'!$A$192,'Données projet'!$B$192,EJ32+EI33-ER32)))</f>
        <v>212</v>
      </c>
      <c r="EK33" s="17">
        <f>EJ33*VLOOKUP('Données projet'!$B$15,Paramètres!$A$1:$I$89,3,0)*VLOOKUP('Données projet'!$B$15,Paramètres!$A$1:$I$89,5,0)</f>
        <v>138.9024</v>
      </c>
      <c r="EL33" s="13">
        <f t="shared" si="45"/>
        <v>36.045445680666425</v>
      </c>
      <c r="EM33" s="20">
        <f t="shared" si="19"/>
        <v>304.70083122716068</v>
      </c>
      <c r="EN33" s="59">
        <f t="shared" si="20"/>
        <v>598.03416456049399</v>
      </c>
      <c r="EO33" s="59">
        <f ca="1">AVERAGE(OFFSET($EN$3,0,0,'Données projet'!$E$15+1,1))-AVERAGE(OFFSET($H$3,0,0,'Données projet'!$E$15+1,1))</f>
        <v>231.03244099494077</v>
      </c>
      <c r="EP33" s="59">
        <f t="shared" si="46"/>
        <v>280.29723026390741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4.3000000000000003E-2</v>
      </c>
      <c r="ET33" s="16">
        <f>IF(ISNA(VLOOKUP(A33,'Données projet'!$A$191:$I$211,6,0)),0%,VLOOKUP(A33,'Données projet'!$A$191:$I$211,6,0)*VLOOKUP('Données projet'!$B$15,Paramètres!$A$1:$I$89,7,0))</f>
        <v>0.19350000000000001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2.180155619936667</v>
      </c>
      <c r="EW33" s="21">
        <f>EXP(-LN(2)/25)*EW32+(1-EXP(-LN(2)/25))/(LN(2)/25)*Calculateur!ER33*Calculateur!ET33*VLOOKUP('Données projet'!$B$15,Paramètres!$A$1:$I$89,3,0)*0.475*44/12</f>
        <v>13.710100821673468</v>
      </c>
      <c r="EX33" s="21">
        <f>EXP(-LN(2)/2)*EX32+(1-EXP(-LN(2)/2))/(LN(2)/2)*ER33*EU33*VLOOKUP('Données projet'!$B$15,Paramètres!$A$1:$I$89,3,0)*0.475*44/12</f>
        <v>19.796851737564818</v>
      </c>
      <c r="EY33" s="22">
        <f t="shared" si="21"/>
        <v>35.687108179174956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94.099199999999996</v>
      </c>
      <c r="P34" s="13">
        <f t="shared" si="33"/>
        <v>25.551276031514817</v>
      </c>
      <c r="Q34" s="20">
        <f t="shared" si="2"/>
        <v>208.39124575488827</v>
      </c>
      <c r="R34" s="59">
        <f t="shared" si="0"/>
        <v>501.72457908822162</v>
      </c>
      <c r="S34" s="59">
        <f ca="1">AVERAGE(OFFSET($R$3,0,0,'Données projet'!$E$9+1,1))-AVERAGE(OFFSET($H$3,0,0,'Données projet'!$E$9+1,1))</f>
        <v>351.15781452544906</v>
      </c>
      <c r="T34" s="59">
        <f t="shared" si="34"/>
        <v>271.54361159160169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2.3613226225450159</v>
      </c>
      <c r="AA34" s="21">
        <f>EXP(-LN(2)/25)*AA33+(1-EXP(-LN(2)/25))/(LN(2)/25)*Calculateur!V34*Calculateur!X34*VLOOKUP('Données projet'!$B$9,Paramètres!$A$1:$I$89,3,0)*0.475*44/12</f>
        <v>10.974289138010176</v>
      </c>
      <c r="AB34" s="21">
        <f>EXP(-LN(2)/2)*AB33+(1-EXP(-LN(2)/2))/(LN(2)/2)*V34*Y34*VLOOKUP('Données projet'!$B$9,Paramètres!$A$1:$I$89,3,0)*0.475*44/12</f>
        <v>15.240510590168146</v>
      </c>
      <c r="AC34" s="22">
        <f t="shared" si="3"/>
        <v>28.576122350723338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10.3</v>
      </c>
      <c r="AI34" s="13">
        <f>IF('Données projet'!$A$62&gt;35,AI33+AH34-AQ33,IF(A34&lt;'Données projet'!$A$62,$AF$205^A34,IF(A34='Données projet'!$A$62,'Données projet'!$B$62,AI33+AH34-AQ33)))</f>
        <v>98.299999999999983</v>
      </c>
      <c r="AJ34" s="13">
        <f>AI34*VLOOKUP('Données projet'!$B$10,Paramètres!$A$1:$I$89,3,0)*VLOOKUP('Données projet'!$B$10,Paramètres!$A$1:$I$89,5,0)</f>
        <v>84.341399999999993</v>
      </c>
      <c r="AK34" s="13">
        <f t="shared" si="35"/>
        <v>23.195392230481875</v>
      </c>
      <c r="AL34" s="20">
        <f t="shared" si="4"/>
        <v>187.29324646808922</v>
      </c>
      <c r="AM34" s="59">
        <f t="shared" si="5"/>
        <v>480.62657980142251</v>
      </c>
      <c r="AN34" s="59">
        <f ca="1">AVERAGE(OFFSET($AM$3,0,0,'Données projet'!$E$10+1,1))-AVERAGE(OFFSET($H$3,0,0,'Données projet'!$E$10+1,1))</f>
        <v>405.59933429804329</v>
      </c>
      <c r="AO34" s="59">
        <f t="shared" si="36"/>
        <v>208.64922573363776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4.261512462956639</v>
      </c>
      <c r="AW34" s="21">
        <f>EXP(-LN(2)/2)*AW33+(1-EXP(-LN(2)/2))/(LN(2)/2)*AQ34*AT34*VLOOKUP('Données projet'!$B$10,Paramètres!$A$1:$I$89,3,0)*0.475*44/12</f>
        <v>5.0088109037178006</v>
      </c>
      <c r="AX34" s="21">
        <f t="shared" si="6"/>
        <v>9.2703233666744396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8.1999999999999993</v>
      </c>
      <c r="BD34" s="12">
        <f>IF('Données projet'!$A$88&gt;35,BD33+BC34-BL33,IF(A34&lt;'Données projet'!$A$88,$BA$205^A34,IF(A34='Données projet'!$A$88,'Données projet'!$B$88,BD33+BC34-BL33)))</f>
        <v>84.199999999999974</v>
      </c>
      <c r="BE34" s="13">
        <f>BD34*VLOOKUP('Données projet'!$B$11,Paramètres!$A$1:$I$89,3,0)*VLOOKUP('Données projet'!$B$11,Paramètres!$A$1:$I$89,5,0)</f>
        <v>81.438239999999979</v>
      </c>
      <c r="BF34" s="13">
        <f t="shared" si="37"/>
        <v>22.488475778344675</v>
      </c>
      <c r="BG34" s="20">
        <f t="shared" si="7"/>
        <v>181.0056966472836</v>
      </c>
      <c r="BH34" s="59">
        <f t="shared" si="8"/>
        <v>474.33902998061694</v>
      </c>
      <c r="BI34" s="59">
        <f ca="1">AVERAGE(OFFSET($BH$3,0,0,'Données projet'!$E$11+1,1))-AVERAGE(OFFSET($H$3,0,0,'Données projet'!$E$11+1,1))</f>
        <v>293.19327646293601</v>
      </c>
      <c r="BJ34" s="59">
        <f t="shared" si="38"/>
        <v>200.0769581869605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3.2293513801620155</v>
      </c>
      <c r="BR34" s="21">
        <f>EXP(-LN(2)/2)*BR33+(1-EXP(-LN(2)/2))/(LN(2)/2)*BL34*BO34*VLOOKUP('Données projet'!$B$11,Paramètres!$A$1:$I$89,3,0)*0.475*44/12</f>
        <v>4.6783594830569379</v>
      </c>
      <c r="BS34" s="22">
        <f t="shared" si="9"/>
        <v>7.9077108632189539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166.50000000000006</v>
      </c>
      <c r="BZ34" s="13">
        <f>BY34*VLOOKUP('Données projet'!$B$12,Paramètres!$A$1:$I$89,3,0)*VLOOKUP('Données projet'!$B$12,Paramètres!$A$1:$I$89,5,0)</f>
        <v>129.87000000000006</v>
      </c>
      <c r="CA34" s="13">
        <f t="shared" si="39"/>
        <v>33.966318400312318</v>
      </c>
      <c r="CB34" s="20">
        <f t="shared" si="10"/>
        <v>285.34825454721073</v>
      </c>
      <c r="CC34" s="59">
        <f t="shared" si="11"/>
        <v>578.68158788054404</v>
      </c>
      <c r="CD34" s="59">
        <f ca="1">AVERAGE(OFFSET($CC$3,0,0,'Données projet'!$E$12+1,1))-AVERAGE(OFFSET($H$3,0,0,'Données projet'!$E$12+1,1))</f>
        <v>295.95249585728561</v>
      </c>
      <c r="CE34" s="59">
        <f t="shared" si="40"/>
        <v>306.85862495052709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1.4176659833629255</v>
      </c>
      <c r="CL34" s="21">
        <f>EXP(-LN(2)/25)*CL33+(1-EXP(-LN(2)/25))/(LN(2)/25)*Calculateur!CG34*Calculateur!CI34*VLOOKUP('Données projet'!$B$12,Paramètres!$A$1:$I$89,3,0)*0.475*44/12</f>
        <v>8.1418246829338994</v>
      </c>
      <c r="CM34" s="21">
        <f>EXP(-LN(2)/2)*CM33+(1-EXP(-LN(2)/2))/(LN(2)/2)*CG34*CJ34*VLOOKUP('Données projet'!$B$12,Paramètres!$A$1:$I$89,3,0)*0.475*44/12</f>
        <v>9.2427197309351055</v>
      </c>
      <c r="CN34" s="22">
        <f t="shared" si="12"/>
        <v>18.802210397231931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10.3</v>
      </c>
      <c r="CT34" s="12">
        <f>IF('Données projet'!$A$140&gt;35,CT33+CS34-DB33,IF(A34&lt;'Données projet'!$A$140,$CQ$205^A34,IF(A34='Données projet'!$A$140,'Données projet'!$B$140,CT33+CS34-DB33)))</f>
        <v>98.299999999999983</v>
      </c>
      <c r="CU34" s="17">
        <f>CT34*VLOOKUP('Données projet'!$B$13,Paramètres!$A$1:$I$89,3,0)*VLOOKUP('Données projet'!$B$13,Paramètres!$A$1:$I$89,5,0)</f>
        <v>93.542279999999977</v>
      </c>
      <c r="CV34" s="13">
        <f t="shared" si="41"/>
        <v>25.417608760098435</v>
      </c>
      <c r="CW34" s="20">
        <f t="shared" si="13"/>
        <v>207.18847292383805</v>
      </c>
      <c r="CX34" s="59">
        <f t="shared" si="14"/>
        <v>500.52180625717136</v>
      </c>
      <c r="CY34" s="59">
        <f ca="1">AVERAGE(OFFSET($CX$3,0,0,'Données projet'!$E$13+1,1))-AVERAGE(OFFSET($H$3,0,0,'Données projet'!$E$13+1,1))</f>
        <v>461.10546083340631</v>
      </c>
      <c r="CZ34" s="59">
        <f t="shared" si="42"/>
        <v>233.41883071412587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3.8346302539743613</v>
      </c>
      <c r="DH34" s="21">
        <f>EXP(-LN(2)/2)*DH33+(1-EXP(-LN(2)/2))/(LN(2)/2)*DB34*DE34*VLOOKUP('Données projet'!$B$13,Paramètres!$A$1:$I$89,3,0)*0.475*44/12</f>
        <v>5.5552266386688336</v>
      </c>
      <c r="DI34" s="22">
        <f t="shared" si="15"/>
        <v>9.3898568926431949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125.00592000000002</v>
      </c>
      <c r="DQ34" s="13">
        <f t="shared" si="43"/>
        <v>32.839756328142556</v>
      </c>
      <c r="DR34" s="20">
        <f t="shared" si="16"/>
        <v>274.91455293818166</v>
      </c>
      <c r="DS34" s="59">
        <f t="shared" si="17"/>
        <v>568.24788627151497</v>
      </c>
      <c r="DT34" s="59">
        <f ca="1">AVERAGE(OFFSET($DS$3,0,0,'Données projet'!$E$14+1,1))-AVERAGE(OFFSET($H$3,0,0,'Données projet'!$E$14+1,1))</f>
        <v>296.376932094327</v>
      </c>
      <c r="DU34" s="59">
        <f t="shared" si="44"/>
        <v>350.93658329210882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2.6463098356107944</v>
      </c>
      <c r="EB34" s="21">
        <f>EXP(-LN(2)/25)*EB33+(1-EXP(-LN(2)/25))/(LN(2)/25)*Calculateur!DW34*Calculateur!DY34*VLOOKUP('Données projet'!$B$14,Paramètres!$A$1:$I$89,3,0)*0.475*44/12</f>
        <v>16.510244392227165</v>
      </c>
      <c r="EC34" s="21">
        <f>EXP(-LN(2)/2)*EC33+(1-EXP(-LN(2)/2))/(LN(2)/2)*DW34*DZ34*VLOOKUP('Données projet'!$B$14,Paramètres!$A$1:$I$89,3,0)*0.475*44/12</f>
        <v>17.331461469247433</v>
      </c>
      <c r="ED34" s="22">
        <f t="shared" si="18"/>
        <v>36.488015697085388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12.1</v>
      </c>
      <c r="EJ34" s="12">
        <f>IF('Données projet'!$A$192&gt;35,EJ33+EI34-ER33,IF(A34&lt;'Données projet'!$A$192,$EG$205^A34,IF(A34='Données projet'!$A$192,'Données projet'!$B$192,EJ33+EI34-ER33)))</f>
        <v>154.1</v>
      </c>
      <c r="EK34" s="17">
        <f>EJ34*VLOOKUP('Données projet'!$B$15,Paramètres!$A$1:$I$89,3,0)*VLOOKUP('Données projet'!$B$15,Paramètres!$A$1:$I$89,5,0)</f>
        <v>100.96632</v>
      </c>
      <c r="EL34" s="13">
        <f t="shared" si="45"/>
        <v>27.192080955278762</v>
      </c>
      <c r="EM34" s="20">
        <f t="shared" si="19"/>
        <v>223.20921499711051</v>
      </c>
      <c r="EN34" s="59">
        <f t="shared" si="20"/>
        <v>516.54254833044388</v>
      </c>
      <c r="EO34" s="59">
        <f ca="1">AVERAGE(OFFSET($EN$3,0,0,'Données projet'!$E$15+1,1))-AVERAGE(OFFSET($H$3,0,0,'Données projet'!$E$15+1,1))</f>
        <v>231.03244099494077</v>
      </c>
      <c r="EP34" s="59">
        <f t="shared" si="46"/>
        <v>280.29723026390741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2.137404097993334</v>
      </c>
      <c r="EW34" s="21">
        <f>EXP(-LN(2)/25)*EW33+(1-EXP(-LN(2)/25))/(LN(2)/25)*Calculateur!ER34*Calculateur!ET34*VLOOKUP('Données projet'!$B$15,Paramètres!$A$1:$I$89,3,0)*0.475*44/12</f>
        <v>13.335197393721939</v>
      </c>
      <c r="EX34" s="21">
        <f>EXP(-LN(2)/2)*EX33+(1-EXP(-LN(2)/2))/(LN(2)/2)*ER34*EU34*VLOOKUP('Données projet'!$B$15,Paramètres!$A$1:$I$89,3,0)*0.475*44/12</f>
        <v>13.998488109776771</v>
      </c>
      <c r="EY34" s="22">
        <f t="shared" si="21"/>
        <v>29.471089601492046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104.05199999999999</v>
      </c>
      <c r="P35" s="13">
        <f t="shared" si="33"/>
        <v>27.925087771564417</v>
      </c>
      <c r="Q35" s="20">
        <f t="shared" ref="Q35:Q66" si="53">(O35+P35)*0.475*44/12</f>
        <v>229.86009453547467</v>
      </c>
      <c r="R35" s="59">
        <f t="shared" si="0"/>
        <v>523.19342786880793</v>
      </c>
      <c r="S35" s="59">
        <f ca="1">AVERAGE(OFFSET($R$3,0,0,'Données projet'!$E$9+1,1))-AVERAGE(OFFSET($H$3,0,0,'Données projet'!$E$9+1,1))</f>
        <v>351.15781452544906</v>
      </c>
      <c r="T35" s="59">
        <f t="shared" si="34"/>
        <v>271.54361159160169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2.3150185261814937</v>
      </c>
      <c r="AA35" s="21">
        <f>EXP(-LN(2)/25)*AA34+(1-EXP(-LN(2)/25))/(LN(2)/25)*Calculateur!V35*Calculateur!X35*VLOOKUP('Données projet'!$B$9,Paramètres!$A$1:$I$89,3,0)*0.475*44/12</f>
        <v>10.674196624418505</v>
      </c>
      <c r="AB35" s="21">
        <f>EXP(-LN(2)/2)*AB34+(1-EXP(-LN(2)/2))/(LN(2)/2)*V35*Y35*VLOOKUP('Données projet'!$B$9,Paramètres!$A$1:$I$89,3,0)*0.475*44/12</f>
        <v>10.776668387053288</v>
      </c>
      <c r="AC35" s="22">
        <f t="shared" si="3"/>
        <v>23.765883537653288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10.3</v>
      </c>
      <c r="AI35" s="13">
        <f>IF('Données projet'!$A$62&gt;35,AI34+AH35-AQ34,IF(A35&lt;'Données projet'!$A$62,$AF$205^A35,IF(A35='Données projet'!$A$62,'Données projet'!$B$62,AI34+AH35-AQ34)))</f>
        <v>108.59999999999998</v>
      </c>
      <c r="AJ35" s="13">
        <f>AI35*VLOOKUP('Données projet'!$B$10,Paramètres!$A$1:$I$89,3,0)*VLOOKUP('Données projet'!$B$10,Paramètres!$A$1:$I$89,5,0)</f>
        <v>93.178799999999995</v>
      </c>
      <c r="AK35" s="13">
        <f t="shared" si="35"/>
        <v>25.330319399438384</v>
      </c>
      <c r="AL35" s="20">
        <f t="shared" si="4"/>
        <v>206.40338295402182</v>
      </c>
      <c r="AM35" s="59">
        <f t="shared" si="5"/>
        <v>499.73671628735514</v>
      </c>
      <c r="AN35" s="59">
        <f ca="1">AVERAGE(OFFSET($AM$3,0,0,'Données projet'!$E$10+1,1))-AVERAGE(OFFSET($H$3,0,0,'Données projet'!$E$10+1,1))</f>
        <v>405.59933429804329</v>
      </c>
      <c r="AO35" s="59">
        <f t="shared" si="36"/>
        <v>208.64922573363776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4.1449811805538888</v>
      </c>
      <c r="AW35" s="21">
        <f>EXP(-LN(2)/2)*AW34+(1-EXP(-LN(2)/2))/(LN(2)/2)*AQ35*AT35*VLOOKUP('Données projet'!$B$10,Paramètres!$A$1:$I$89,3,0)*0.475*44/12</f>
        <v>3.5417641556999766</v>
      </c>
      <c r="AX35" s="21">
        <f t="shared" si="6"/>
        <v>7.6867453362538658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8.1999999999999993</v>
      </c>
      <c r="BD35" s="12">
        <f>IF('Données projet'!$A$88&gt;35,BD34+BC35-BL34,IF(A35&lt;'Données projet'!$A$88,$BA$205^A35,IF(A35='Données projet'!$A$88,'Données projet'!$B$88,BD34+BC35-BL34)))</f>
        <v>92.399999999999977</v>
      </c>
      <c r="BE35" s="13">
        <f>BD35*VLOOKUP('Données projet'!$B$11,Paramètres!$A$1:$I$89,3,0)*VLOOKUP('Données projet'!$B$11,Paramètres!$A$1:$I$89,5,0)</f>
        <v>89.369279999999975</v>
      </c>
      <c r="BF35" s="13">
        <f t="shared" si="37"/>
        <v>24.413048312949282</v>
      </c>
      <c r="BG35" s="20">
        <f t="shared" si="7"/>
        <v>198.17088847838662</v>
      </c>
      <c r="BH35" s="59">
        <f t="shared" si="8"/>
        <v>491.50422181171996</v>
      </c>
      <c r="BI35" s="59">
        <f ca="1">AVERAGE(OFFSET($BH$3,0,0,'Données projet'!$E$11+1,1))-AVERAGE(OFFSET($H$3,0,0,'Données projet'!$E$11+1,1))</f>
        <v>293.19327646293601</v>
      </c>
      <c r="BJ35" s="59">
        <f t="shared" si="38"/>
        <v>200.0769581869605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3.1410445968472769</v>
      </c>
      <c r="BR35" s="21">
        <f>EXP(-LN(2)/2)*BR34+(1-EXP(-LN(2)/2))/(LN(2)/2)*BL35*BO35*VLOOKUP('Données projet'!$B$11,Paramètres!$A$1:$I$89,3,0)*0.475*44/12</f>
        <v>3.3080997152979519</v>
      </c>
      <c r="BS35" s="22">
        <f t="shared" si="9"/>
        <v>6.4491443121452292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178.00000000000006</v>
      </c>
      <c r="BZ35" s="13">
        <f>BY35*VLOOKUP('Données projet'!$B$12,Paramètres!$A$1:$I$89,3,0)*VLOOKUP('Données projet'!$B$12,Paramètres!$A$1:$I$89,5,0)</f>
        <v>138.84000000000006</v>
      </c>
      <c r="CA35" s="13">
        <f t="shared" si="39"/>
        <v>36.031137240112955</v>
      </c>
      <c r="CB35" s="20">
        <f t="shared" si="10"/>
        <v>304.56723069319679</v>
      </c>
      <c r="CC35" s="59">
        <f t="shared" si="11"/>
        <v>597.90056402653011</v>
      </c>
      <c r="CD35" s="59">
        <f ca="1">AVERAGE(OFFSET($CC$3,0,0,'Données projet'!$E$12+1,1))-AVERAGE(OFFSET($H$3,0,0,'Données projet'!$E$12+1,1))</f>
        <v>295.95249585728561</v>
      </c>
      <c r="CE35" s="59">
        <f t="shared" si="40"/>
        <v>306.85862495052709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1.3898664181200473</v>
      </c>
      <c r="CL35" s="21">
        <f>EXP(-LN(2)/25)*CL34+(1-EXP(-LN(2)/25))/(LN(2)/25)*Calculateur!CG35*Calculateur!CI35*VLOOKUP('Données projet'!$B$12,Paramètres!$A$1:$I$89,3,0)*0.475*44/12</f>
        <v>7.9191860588191201</v>
      </c>
      <c r="CM35" s="21">
        <f>EXP(-LN(2)/2)*CM34+(1-EXP(-LN(2)/2))/(LN(2)/2)*CG35*CJ35*VLOOKUP('Données projet'!$B$12,Paramètres!$A$1:$I$89,3,0)*0.475*44/12</f>
        <v>6.5355897983509159</v>
      </c>
      <c r="CN35" s="22">
        <f t="shared" si="12"/>
        <v>15.844642275290083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10.3</v>
      </c>
      <c r="CT35" s="12">
        <f>IF('Données projet'!$A$140&gt;35,CT34+CS35-DB34,IF(A35&lt;'Données projet'!$A$140,$CQ$205^A35,IF(A35='Données projet'!$A$140,'Données projet'!$B$140,CT34+CS35-DB34)))</f>
        <v>108.59999999999998</v>
      </c>
      <c r="CU35" s="17">
        <f>CT35*VLOOKUP('Données projet'!$B$13,Paramètres!$A$1:$I$89,3,0)*VLOOKUP('Données projet'!$B$13,Paramètres!$A$1:$I$89,5,0)</f>
        <v>103.34375999999997</v>
      </c>
      <c r="CV35" s="13">
        <f t="shared" si="41"/>
        <v>27.757070967619558</v>
      </c>
      <c r="CW35" s="20">
        <f t="shared" si="13"/>
        <v>228.33394726860402</v>
      </c>
      <c r="CX35" s="59">
        <f t="shared" si="14"/>
        <v>521.66728060193736</v>
      </c>
      <c r="CY35" s="59">
        <f ca="1">AVERAGE(OFFSET($CX$3,0,0,'Données projet'!$E$13+1,1))-AVERAGE(OFFSET($H$3,0,0,'Données projet'!$E$13+1,1))</f>
        <v>461.10546083340631</v>
      </c>
      <c r="CZ35" s="59">
        <f t="shared" si="42"/>
        <v>233.41883071412587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3.7297720880249914</v>
      </c>
      <c r="DH35" s="21">
        <f>EXP(-LN(2)/2)*DH34+(1-EXP(-LN(2)/2))/(LN(2)/2)*DB35*DE35*VLOOKUP('Données projet'!$B$13,Paramètres!$A$1:$I$89,3,0)*0.475*44/12</f>
        <v>3.9281384272308832</v>
      </c>
      <c r="DI35" s="22">
        <f t="shared" si="15"/>
        <v>7.6579105152558746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134.82144</v>
      </c>
      <c r="DQ35" s="13">
        <f t="shared" si="43"/>
        <v>35.108080314687477</v>
      </c>
      <c r="DR35" s="20">
        <f t="shared" si="16"/>
        <v>295.96058121474732</v>
      </c>
      <c r="DS35" s="59">
        <f t="shared" si="17"/>
        <v>589.29391454808069</v>
      </c>
      <c r="DT35" s="59">
        <f ca="1">AVERAGE(OFFSET($DS$3,0,0,'Données projet'!$E$14+1,1))-AVERAGE(OFFSET($H$3,0,0,'Données projet'!$E$14+1,1))</f>
        <v>296.376932094327</v>
      </c>
      <c r="DU35" s="59">
        <f t="shared" si="44"/>
        <v>350.93658329210882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2.5944173138240885</v>
      </c>
      <c r="EB35" s="21">
        <f>EXP(-LN(2)/25)*EB34+(1-EXP(-LN(2)/25))/(LN(2)/25)*Calculateur!DW35*Calculateur!DY35*VLOOKUP('Données projet'!$B$14,Paramètres!$A$1:$I$89,3,0)*0.475*44/12</f>
        <v>16.058770891085693</v>
      </c>
      <c r="EC35" s="21">
        <f>EXP(-LN(2)/2)*EC34+(1-EXP(-LN(2)/2))/(LN(2)/2)*DW35*DZ35*VLOOKUP('Données projet'!$B$14,Paramètres!$A$1:$I$89,3,0)*0.475*44/12</f>
        <v>12.255193932778225</v>
      </c>
      <c r="ED35" s="22">
        <f t="shared" si="18"/>
        <v>30.908382137688008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12.1</v>
      </c>
      <c r="EJ35" s="12">
        <f>IF('Données projet'!$A$192&gt;35,EJ34+EI35-ER34,IF(A35&lt;'Données projet'!$A$192,$EG$205^A35,IF(A35='Données projet'!$A$192,'Données projet'!$B$192,EJ34+EI35-ER34)))</f>
        <v>166.2</v>
      </c>
      <c r="EK35" s="17">
        <f>EJ35*VLOOKUP('Données projet'!$B$15,Paramètres!$A$1:$I$89,3,0)*VLOOKUP('Données projet'!$B$15,Paramètres!$A$1:$I$89,5,0)</f>
        <v>108.89423999999998</v>
      </c>
      <c r="EL35" s="13">
        <f t="shared" si="45"/>
        <v>29.070305898807717</v>
      </c>
      <c r="EM35" s="20">
        <f t="shared" si="19"/>
        <v>240.28825077375674</v>
      </c>
      <c r="EN35" s="59">
        <f t="shared" si="20"/>
        <v>533.62158410709003</v>
      </c>
      <c r="EO35" s="59">
        <f ca="1">AVERAGE(OFFSET($EN$3,0,0,'Données projet'!$E$15+1,1))-AVERAGE(OFFSET($H$3,0,0,'Données projet'!$E$15+1,1))</f>
        <v>231.03244099494077</v>
      </c>
      <c r="EP35" s="59">
        <f t="shared" si="46"/>
        <v>280.29723026390741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2.0954909073194559</v>
      </c>
      <c r="EW35" s="21">
        <f>EXP(-LN(2)/25)*EW34+(1-EXP(-LN(2)/25))/(LN(2)/25)*Calculateur!ER35*Calculateur!ET35*VLOOKUP('Données projet'!$B$15,Paramètres!$A$1:$I$89,3,0)*0.475*44/12</f>
        <v>12.970545719723059</v>
      </c>
      <c r="EX35" s="21">
        <f>EXP(-LN(2)/2)*EX34+(1-EXP(-LN(2)/2))/(LN(2)/2)*ER35*EU35*VLOOKUP('Données projet'!$B$15,Paramètres!$A$1:$I$89,3,0)*0.475*44/12</f>
        <v>9.8984258687824109</v>
      </c>
      <c r="EY35" s="22">
        <f t="shared" si="21"/>
        <v>24.964462495824925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114.0048</v>
      </c>
      <c r="P36" s="13">
        <f t="shared" si="33"/>
        <v>30.272573949217303</v>
      </c>
      <c r="Q36" s="20">
        <f t="shared" si="53"/>
        <v>251.28309296155342</v>
      </c>
      <c r="R36" s="59">
        <f t="shared" si="0"/>
        <v>544.61642629488676</v>
      </c>
      <c r="S36" s="59">
        <f ca="1">AVERAGE(OFFSET($R$3,0,0,'Données projet'!$E$9+1,1))-AVERAGE(OFFSET($H$3,0,0,'Données projet'!$E$9+1,1))</f>
        <v>351.15781452544906</v>
      </c>
      <c r="T36" s="59">
        <f t="shared" si="34"/>
        <v>271.54361159160169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2.2696224249049499</v>
      </c>
      <c r="AA36" s="21">
        <f>EXP(-LN(2)/25)*AA35+(1-EXP(-LN(2)/25))/(LN(2)/25)*Calculateur!V36*Calculateur!X36*VLOOKUP('Données projet'!$B$9,Paramètres!$A$1:$I$89,3,0)*0.475*44/12</f>
        <v>10.382310156392176</v>
      </c>
      <c r="AB36" s="21">
        <f>EXP(-LN(2)/2)*AB35+(1-EXP(-LN(2)/2))/(LN(2)/2)*V36*Y36*VLOOKUP('Données projet'!$B$9,Paramètres!$A$1:$I$89,3,0)*0.475*44/12</f>
        <v>7.6202552950840738</v>
      </c>
      <c r="AC36" s="22">
        <f t="shared" si="3"/>
        <v>20.272187876381199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10.3</v>
      </c>
      <c r="AI36" s="13">
        <f>IF('Données projet'!$A$62&gt;35,AI35+AH36-AQ35,IF(A36&lt;'Données projet'!$A$62,$AF$205^A36,IF(A36='Données projet'!$A$62,'Données projet'!$B$62,AI35+AH36-AQ35)))</f>
        <v>118.89999999999998</v>
      </c>
      <c r="AJ36" s="13">
        <f>AI36*VLOOKUP('Données projet'!$B$10,Paramètres!$A$1:$I$89,3,0)*VLOOKUP('Données projet'!$B$10,Paramètres!$A$1:$I$89,5,0)</f>
        <v>102.0162</v>
      </c>
      <c r="AK36" s="13">
        <f t="shared" si="35"/>
        <v>27.441769944974819</v>
      </c>
      <c r="AL36" s="20">
        <f t="shared" si="4"/>
        <v>225.47263098749781</v>
      </c>
      <c r="AM36" s="59">
        <f t="shared" si="5"/>
        <v>518.80596432083109</v>
      </c>
      <c r="AN36" s="59">
        <f ca="1">AVERAGE(OFFSET($AM$3,0,0,'Données projet'!$E$10+1,1))-AVERAGE(OFFSET($H$3,0,0,'Données projet'!$E$10+1,1))</f>
        <v>405.59933429804329</v>
      </c>
      <c r="AO36" s="59">
        <f t="shared" si="36"/>
        <v>208.64922573363776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4.0316364521965555</v>
      </c>
      <c r="AW36" s="21">
        <f>EXP(-LN(2)/2)*AW35+(1-EXP(-LN(2)/2))/(LN(2)/2)*AQ36*AT36*VLOOKUP('Données projet'!$B$10,Paramètres!$A$1:$I$89,3,0)*0.475*44/12</f>
        <v>2.5044054518589007</v>
      </c>
      <c r="AX36" s="21">
        <f t="shared" si="6"/>
        <v>6.5360419040554563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8.1999999999999993</v>
      </c>
      <c r="BD36" s="12">
        <f>IF('Données projet'!$A$88&gt;35,BD35+BC36-BL35,IF(A36&lt;'Données projet'!$A$88,$BA$205^A36,IF(A36='Données projet'!$A$88,'Données projet'!$B$88,BD35+BC36-BL35)))</f>
        <v>100.59999999999998</v>
      </c>
      <c r="BE36" s="13">
        <f>BD36*VLOOKUP('Données projet'!$B$11,Paramètres!$A$1:$I$89,3,0)*VLOOKUP('Données projet'!$B$11,Paramètres!$A$1:$I$89,5,0)</f>
        <v>97.300319999999985</v>
      </c>
      <c r="BF36" s="13">
        <f t="shared" si="37"/>
        <v>26.317815171934939</v>
      </c>
      <c r="BG36" s="20">
        <f t="shared" si="7"/>
        <v>215.30158542445329</v>
      </c>
      <c r="BH36" s="59">
        <f t="shared" si="8"/>
        <v>508.63491875778664</v>
      </c>
      <c r="BI36" s="59">
        <f ca="1">AVERAGE(OFFSET($BH$3,0,0,'Données projet'!$E$11+1,1))-AVERAGE(OFFSET($H$3,0,0,'Données projet'!$E$11+1,1))</f>
        <v>293.19327646293601</v>
      </c>
      <c r="BJ36" s="59">
        <f t="shared" si="38"/>
        <v>200.0769581869605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3.0551525671661315</v>
      </c>
      <c r="BR36" s="21">
        <f>EXP(-LN(2)/2)*BR35+(1-EXP(-LN(2)/2))/(LN(2)/2)*BL36*BO36*VLOOKUP('Données projet'!$B$11,Paramètres!$A$1:$I$89,3,0)*0.475*44/12</f>
        <v>2.339179741528469</v>
      </c>
      <c r="BS36" s="22">
        <f t="shared" si="9"/>
        <v>5.3943323086946009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189.50000000000006</v>
      </c>
      <c r="BZ36" s="13">
        <f>BY36*VLOOKUP('Données projet'!$B$12,Paramètres!$A$1:$I$89,3,0)*VLOOKUP('Données projet'!$B$12,Paramètres!$A$1:$I$89,5,0)</f>
        <v>147.81000000000006</v>
      </c>
      <c r="CA36" s="13">
        <f t="shared" si="39"/>
        <v>38.080475053580983</v>
      </c>
      <c r="CB36" s="20">
        <f t="shared" si="10"/>
        <v>323.75924405165364</v>
      </c>
      <c r="CC36" s="59">
        <f t="shared" si="11"/>
        <v>617.09257738498695</v>
      </c>
      <c r="CD36" s="59">
        <f ca="1">AVERAGE(OFFSET($CC$3,0,0,'Données projet'!$E$12+1,1))-AVERAGE(OFFSET($H$3,0,0,'Données projet'!$E$12+1,1))</f>
        <v>295.95249585728561</v>
      </c>
      <c r="CE36" s="59">
        <f t="shared" si="40"/>
        <v>306.85862495052709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1.3626119853955214</v>
      </c>
      <c r="CL36" s="21">
        <f>EXP(-LN(2)/25)*CL35+(1-EXP(-LN(2)/25))/(LN(2)/25)*Calculateur!CG36*Calculateur!CI36*VLOOKUP('Données projet'!$B$12,Paramètres!$A$1:$I$89,3,0)*0.475*44/12</f>
        <v>7.7026354995888155</v>
      </c>
      <c r="CM36" s="21">
        <f>EXP(-LN(2)/2)*CM35+(1-EXP(-LN(2)/2))/(LN(2)/2)*CG36*CJ36*VLOOKUP('Données projet'!$B$12,Paramètres!$A$1:$I$89,3,0)*0.475*44/12</f>
        <v>4.6213598654675536</v>
      </c>
      <c r="CN36" s="22">
        <f t="shared" si="12"/>
        <v>13.68660735045189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10.3</v>
      </c>
      <c r="CT36" s="12">
        <f>IF('Données projet'!$A$140&gt;35,CT35+CS36-DB35,IF(A36&lt;'Données projet'!$A$140,$CQ$205^A36,IF(A36='Données projet'!$A$140,'Données projet'!$B$140,CT35+CS36-DB35)))</f>
        <v>118.89999999999998</v>
      </c>
      <c r="CU36" s="17">
        <f>CT36*VLOOKUP('Données projet'!$B$13,Paramètres!$A$1:$I$89,3,0)*VLOOKUP('Données projet'!$B$13,Paramètres!$A$1:$I$89,5,0)</f>
        <v>113.14523999999997</v>
      </c>
      <c r="CV36" s="13">
        <f t="shared" si="41"/>
        <v>30.070807392055354</v>
      </c>
      <c r="CW36" s="20">
        <f t="shared" si="13"/>
        <v>249.43461587449633</v>
      </c>
      <c r="CX36" s="59">
        <f t="shared" si="14"/>
        <v>542.76794920782959</v>
      </c>
      <c r="CY36" s="59">
        <f ca="1">AVERAGE(OFFSET($CX$3,0,0,'Données projet'!$E$13+1,1))-AVERAGE(OFFSET($H$3,0,0,'Données projet'!$E$13+1,1))</f>
        <v>461.10546083340631</v>
      </c>
      <c r="CZ36" s="59">
        <f t="shared" si="42"/>
        <v>233.41883071412587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3.6277812741377584</v>
      </c>
      <c r="DH36" s="21">
        <f>EXP(-LN(2)/2)*DH35+(1-EXP(-LN(2)/2))/(LN(2)/2)*DB36*DE36*VLOOKUP('Données projet'!$B$13,Paramètres!$A$1:$I$89,3,0)*0.475*44/12</f>
        <v>2.7776133193344172</v>
      </c>
      <c r="DI36" s="22">
        <f t="shared" si="15"/>
        <v>6.4053945934721757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144.63695999999999</v>
      </c>
      <c r="DQ36" s="13">
        <f t="shared" si="43"/>
        <v>37.357245051137198</v>
      </c>
      <c r="DR36" s="20">
        <f t="shared" si="16"/>
        <v>316.97324046406396</v>
      </c>
      <c r="DS36" s="59">
        <f t="shared" si="17"/>
        <v>610.30657379739728</v>
      </c>
      <c r="DT36" s="59">
        <f ca="1">AVERAGE(OFFSET($DS$3,0,0,'Données projet'!$E$14+1,1))-AVERAGE(OFFSET($H$3,0,0,'Données projet'!$E$14+1,1))</f>
        <v>296.376932094327</v>
      </c>
      <c r="DU36" s="59">
        <f t="shared" si="44"/>
        <v>350.93658329210882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2.5435423727383069</v>
      </c>
      <c r="EB36" s="21">
        <f>EXP(-LN(2)/25)*EB35+(1-EXP(-LN(2)/25))/(LN(2)/25)*Calculateur!DW36*Calculateur!DY36*VLOOKUP('Données projet'!$B$14,Paramètres!$A$1:$I$89,3,0)*0.475*44/12</f>
        <v>15.619642956574896</v>
      </c>
      <c r="EC36" s="21">
        <f>EXP(-LN(2)/2)*EC35+(1-EXP(-LN(2)/2))/(LN(2)/2)*DW36*DZ36*VLOOKUP('Données projet'!$B$14,Paramètres!$A$1:$I$89,3,0)*0.475*44/12</f>
        <v>8.6657307346237182</v>
      </c>
      <c r="ED36" s="22">
        <f t="shared" si="18"/>
        <v>26.828916063936923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12.1</v>
      </c>
      <c r="EJ36" s="12">
        <f>IF('Données projet'!$A$192&gt;35,EJ35+EI36-ER35,IF(A36&lt;'Données projet'!$A$192,$EG$205^A36,IF(A36='Données projet'!$A$192,'Données projet'!$B$192,EJ35+EI36-ER35)))</f>
        <v>178.29999999999998</v>
      </c>
      <c r="EK36" s="17">
        <f>EJ36*VLOOKUP('Données projet'!$B$15,Paramètres!$A$1:$I$89,3,0)*VLOOKUP('Données projet'!$B$15,Paramètres!$A$1:$I$89,5,0)</f>
        <v>116.82216</v>
      </c>
      <c r="EL36" s="13">
        <f t="shared" si="45"/>
        <v>30.932666538277125</v>
      </c>
      <c r="EM36" s="20">
        <f t="shared" si="19"/>
        <v>257.33965622083264</v>
      </c>
      <c r="EN36" s="59">
        <f t="shared" si="20"/>
        <v>550.67298955416595</v>
      </c>
      <c r="EO36" s="59">
        <f ca="1">AVERAGE(OFFSET($EN$3,0,0,'Données projet'!$E$15+1,1))-AVERAGE(OFFSET($H$3,0,0,'Données projet'!$E$15+1,1))</f>
        <v>231.03244099494077</v>
      </c>
      <c r="EP36" s="59">
        <f t="shared" si="46"/>
        <v>280.29723026390741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2.0543996087501708</v>
      </c>
      <c r="EW36" s="21">
        <f>EXP(-LN(2)/25)*EW35+(1-EXP(-LN(2)/25))/(LN(2)/25)*Calculateur!ER36*Calculateur!ET36*VLOOKUP('Données projet'!$B$15,Paramètres!$A$1:$I$89,3,0)*0.475*44/12</f>
        <v>12.615865464925877</v>
      </c>
      <c r="EX36" s="21">
        <f>EXP(-LN(2)/2)*EX35+(1-EXP(-LN(2)/2))/(LN(2)/2)*ER36*EU36*VLOOKUP('Données projet'!$B$15,Paramètres!$A$1:$I$89,3,0)*0.475*44/12</f>
        <v>6.9992440548883863</v>
      </c>
      <c r="EY36" s="22">
        <f t="shared" si="21"/>
        <v>21.669509128564435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123.9576</v>
      </c>
      <c r="P37" s="13">
        <f t="shared" si="33"/>
        <v>32.59629414926458</v>
      </c>
      <c r="Q37" s="20">
        <f t="shared" si="53"/>
        <v>272.6646989766358</v>
      </c>
      <c r="R37" s="59">
        <f t="shared" si="0"/>
        <v>565.99803230996918</v>
      </c>
      <c r="S37" s="59">
        <f ca="1">AVERAGE(OFFSET($R$3,0,0,'Données projet'!$E$9+1,1))-AVERAGE(OFFSET($H$3,0,0,'Données projet'!$E$9+1,1))</f>
        <v>351.15781452544906</v>
      </c>
      <c r="T37" s="59">
        <f t="shared" si="34"/>
        <v>271.54361159160169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2.2251165134855517</v>
      </c>
      <c r="AA37" s="21">
        <f>EXP(-LN(2)/25)*AA36+(1-EXP(-LN(2)/25))/(LN(2)/25)*Calculateur!V37*Calculateur!X37*VLOOKUP('Données projet'!$B$9,Paramètres!$A$1:$I$89,3,0)*0.475*44/12</f>
        <v>10.098405339183669</v>
      </c>
      <c r="AB37" s="21">
        <f>EXP(-LN(2)/2)*AB36+(1-EXP(-LN(2)/2))/(LN(2)/2)*V37*Y37*VLOOKUP('Données projet'!$B$9,Paramètres!$A$1:$I$89,3,0)*0.475*44/12</f>
        <v>5.3883341935266449</v>
      </c>
      <c r="AC37" s="22">
        <f t="shared" si="3"/>
        <v>17.711856046195866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10.3</v>
      </c>
      <c r="AI37" s="13">
        <f>IF('Données projet'!$A$62&gt;35,AI36+AH37-AQ36,IF(A37&lt;'Données projet'!$A$62,$AF$205^A37,IF(A37='Données projet'!$A$62,'Données projet'!$B$62,AI36+AH37-AQ36)))</f>
        <v>129.19999999999999</v>
      </c>
      <c r="AJ37" s="13">
        <f>AI37*VLOOKUP('Données projet'!$B$10,Paramètres!$A$1:$I$89,3,0)*VLOOKUP('Données projet'!$B$10,Paramètres!$A$1:$I$89,5,0)</f>
        <v>110.85360000000001</v>
      </c>
      <c r="AK37" s="13">
        <f t="shared" si="35"/>
        <v>29.532008821728414</v>
      </c>
      <c r="AL37" s="20">
        <f t="shared" si="4"/>
        <v>244.50493536451032</v>
      </c>
      <c r="AM37" s="59">
        <f t="shared" si="5"/>
        <v>537.83826869784366</v>
      </c>
      <c r="AN37" s="59">
        <f ca="1">AVERAGE(OFFSET($AM$3,0,0,'Données projet'!$E$10+1,1))-AVERAGE(OFFSET($H$3,0,0,'Données projet'!$E$10+1,1))</f>
        <v>405.59933429804329</v>
      </c>
      <c r="AO37" s="59">
        <f t="shared" si="36"/>
        <v>208.64922573363776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3.9213911413966942</v>
      </c>
      <c r="AW37" s="21">
        <f>EXP(-LN(2)/2)*AW36+(1-EXP(-LN(2)/2))/(LN(2)/2)*AQ37*AT37*VLOOKUP('Données projet'!$B$10,Paramètres!$A$1:$I$89,3,0)*0.475*44/12</f>
        <v>1.7708820778499885</v>
      </c>
      <c r="AX37" s="21">
        <f t="shared" si="6"/>
        <v>5.6922732192466832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8.1999999999999993</v>
      </c>
      <c r="BD37" s="12">
        <f>IF('Données projet'!$A$88&gt;35,BD36+BC37-BL36,IF(A37&lt;'Données projet'!$A$88,$BA$205^A37,IF(A37='Données projet'!$A$88,'Données projet'!$B$88,BD36+BC37-BL36)))</f>
        <v>108.79999999999998</v>
      </c>
      <c r="BE37" s="13">
        <f>BD37*VLOOKUP('Données projet'!$B$11,Paramètres!$A$1:$I$89,3,0)*VLOOKUP('Données projet'!$B$11,Paramètres!$A$1:$I$89,5,0)</f>
        <v>105.23135999999998</v>
      </c>
      <c r="BF37" s="13">
        <f t="shared" si="37"/>
        <v>28.204574272897808</v>
      </c>
      <c r="BG37" s="20">
        <f t="shared" si="7"/>
        <v>232.40091885863032</v>
      </c>
      <c r="BH37" s="59">
        <f t="shared" si="8"/>
        <v>525.73425219196361</v>
      </c>
      <c r="BI37" s="59">
        <f ca="1">AVERAGE(OFFSET($BH$3,0,0,'Données projet'!$E$11+1,1))-AVERAGE(OFFSET($H$3,0,0,'Données projet'!$E$11+1,1))</f>
        <v>293.19327646293601</v>
      </c>
      <c r="BJ37" s="59">
        <f t="shared" si="38"/>
        <v>200.0769581869605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2.9716092595534827</v>
      </c>
      <c r="BR37" s="21">
        <f>EXP(-LN(2)/2)*BR36+(1-EXP(-LN(2)/2))/(LN(2)/2)*BL37*BO37*VLOOKUP('Données projet'!$B$11,Paramètres!$A$1:$I$89,3,0)*0.475*44/12</f>
        <v>1.6540498576489759</v>
      </c>
      <c r="BS37" s="22">
        <f t="shared" si="9"/>
        <v>4.6256591172024581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201.00000000000006</v>
      </c>
      <c r="BZ37" s="13">
        <f>BY37*VLOOKUP('Données projet'!$B$12,Paramètres!$A$1:$I$89,3,0)*VLOOKUP('Données projet'!$B$12,Paramètres!$A$1:$I$89,5,0)</f>
        <v>156.78000000000006</v>
      </c>
      <c r="CA37" s="13">
        <f t="shared" si="39"/>
        <v>40.115378305457973</v>
      </c>
      <c r="CB37" s="20">
        <f t="shared" si="10"/>
        <v>342.92611721533939</v>
      </c>
      <c r="CC37" s="59">
        <f t="shared" si="11"/>
        <v>636.2594505486727</v>
      </c>
      <c r="CD37" s="59">
        <f ca="1">AVERAGE(OFFSET($CC$3,0,0,'Données projet'!$E$12+1,1))-AVERAGE(OFFSET($H$3,0,0,'Données projet'!$E$12+1,1))</f>
        <v>295.95249585728561</v>
      </c>
      <c r="CE37" s="59">
        <f t="shared" si="40"/>
        <v>306.85862495052709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1.335891995473161</v>
      </c>
      <c r="CL37" s="21">
        <f>EXP(-LN(2)/25)*CL36+(1-EXP(-LN(2)/25))/(LN(2)/25)*Calculateur!CG37*Calculateur!CI37*VLOOKUP('Données projet'!$B$12,Paramètres!$A$1:$I$89,3,0)*0.475*44/12</f>
        <v>7.4920065267885629</v>
      </c>
      <c r="CM37" s="21">
        <f>EXP(-LN(2)/2)*CM36+(1-EXP(-LN(2)/2))/(LN(2)/2)*CG37*CJ37*VLOOKUP('Données projet'!$B$12,Paramètres!$A$1:$I$89,3,0)*0.475*44/12</f>
        <v>3.2677948991754584</v>
      </c>
      <c r="CN37" s="22">
        <f t="shared" si="12"/>
        <v>12.095693421437181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10.3</v>
      </c>
      <c r="CT37" s="12">
        <f>IF('Données projet'!$A$140&gt;35,CT36+CS37-DB36,IF(A37&lt;'Données projet'!$A$140,$CQ$205^A37,IF(A37='Données projet'!$A$140,'Données projet'!$B$140,CT36+CS37-DB36)))</f>
        <v>129.19999999999999</v>
      </c>
      <c r="CU37" s="17">
        <f>CT37*VLOOKUP('Données projet'!$B$13,Paramètres!$A$1:$I$89,3,0)*VLOOKUP('Données projet'!$B$13,Paramètres!$A$1:$I$89,5,0)</f>
        <v>122.94672</v>
      </c>
      <c r="CV37" s="13">
        <f t="shared" si="41"/>
        <v>32.361299980262274</v>
      </c>
      <c r="CW37" s="20">
        <f t="shared" si="13"/>
        <v>270.49480146562342</v>
      </c>
      <c r="CX37" s="59">
        <f t="shared" si="14"/>
        <v>563.82813479895674</v>
      </c>
      <c r="CY37" s="59">
        <f ca="1">AVERAGE(OFFSET($CX$3,0,0,'Données projet'!$E$13+1,1))-AVERAGE(OFFSET($H$3,0,0,'Données projet'!$E$13+1,1))</f>
        <v>461.10546083340631</v>
      </c>
      <c r="CZ37" s="59">
        <f t="shared" si="42"/>
        <v>233.41883071412587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3.5285794044197356</v>
      </c>
      <c r="DH37" s="21">
        <f>EXP(-LN(2)/2)*DH36+(1-EXP(-LN(2)/2))/(LN(2)/2)*DB37*DE37*VLOOKUP('Données projet'!$B$13,Paramètres!$A$1:$I$89,3,0)*0.475*44/12</f>
        <v>1.9640692136154418</v>
      </c>
      <c r="DI37" s="22">
        <f t="shared" si="15"/>
        <v>5.4926486180351777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154.45248000000001</v>
      </c>
      <c r="DQ37" s="13">
        <f t="shared" si="43"/>
        <v>39.588698668907178</v>
      </c>
      <c r="DR37" s="20">
        <f t="shared" si="16"/>
        <v>337.95505284834667</v>
      </c>
      <c r="DS37" s="59">
        <f t="shared" si="17"/>
        <v>631.28838618167993</v>
      </c>
      <c r="DT37" s="59">
        <f ca="1">AVERAGE(OFFSET($DS$3,0,0,'Données projet'!$E$14+1,1))-AVERAGE(OFFSET($H$3,0,0,'Données projet'!$E$14+1,1))</f>
        <v>296.376932094327</v>
      </c>
      <c r="DU37" s="59">
        <f t="shared" si="44"/>
        <v>350.93658329210882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2.4936650582165671</v>
      </c>
      <c r="EB37" s="21">
        <f>EXP(-LN(2)/25)*EB36+(1-EXP(-LN(2)/25))/(LN(2)/25)*Calculateur!DW37*Calculateur!DY37*VLOOKUP('Données projet'!$B$14,Paramètres!$A$1:$I$89,3,0)*0.475*44/12</f>
        <v>15.192522998526032</v>
      </c>
      <c r="EC37" s="21">
        <f>EXP(-LN(2)/2)*EC36+(1-EXP(-LN(2)/2))/(LN(2)/2)*DW37*DZ37*VLOOKUP('Données projet'!$B$14,Paramètres!$A$1:$I$89,3,0)*0.475*44/12</f>
        <v>6.1275969663891141</v>
      </c>
      <c r="ED37" s="22">
        <f t="shared" si="18"/>
        <v>23.813785023131711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12.1</v>
      </c>
      <c r="EJ37" s="12">
        <f>IF('Données projet'!$A$192&gt;35,EJ36+EI37-ER36,IF(A37&lt;'Données projet'!$A$192,$EG$205^A37,IF(A37='Données projet'!$A$192,'Données projet'!$B$192,EJ36+EI37-ER36)))</f>
        <v>190.39999999999998</v>
      </c>
      <c r="EK37" s="17">
        <f>EJ37*VLOOKUP('Données projet'!$B$15,Paramètres!$A$1:$I$89,3,0)*VLOOKUP('Données projet'!$B$15,Paramètres!$A$1:$I$89,5,0)</f>
        <v>124.75007999999998</v>
      </c>
      <c r="EL37" s="13">
        <f t="shared" si="45"/>
        <v>32.780361960132396</v>
      </c>
      <c r="EM37" s="20">
        <f t="shared" si="19"/>
        <v>274.36551974723051</v>
      </c>
      <c r="EN37" s="59">
        <f t="shared" si="20"/>
        <v>567.69885308056382</v>
      </c>
      <c r="EO37" s="59">
        <f ca="1">AVERAGE(OFFSET($EN$3,0,0,'Données projet'!$E$15+1,1))-AVERAGE(OFFSET($H$3,0,0,'Données projet'!$E$15+1,1))</f>
        <v>231.03244099494077</v>
      </c>
      <c r="EP37" s="59">
        <f t="shared" si="46"/>
        <v>280.29723026390741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2.0141140854826118</v>
      </c>
      <c r="EW37" s="21">
        <f>EXP(-LN(2)/25)*EW36+(1-EXP(-LN(2)/25))/(LN(2)/25)*Calculateur!ER37*Calculateur!ET37*VLOOKUP('Données projet'!$B$15,Paramètres!$A$1:$I$89,3,0)*0.475*44/12</f>
        <v>12.270883960347948</v>
      </c>
      <c r="EX37" s="21">
        <f>EXP(-LN(2)/2)*EX36+(1-EXP(-LN(2)/2))/(LN(2)/2)*ER37*EU37*VLOOKUP('Données projet'!$B$15,Paramètres!$A$1:$I$89,3,0)*0.475*44/12</f>
        <v>4.9492129343912064</v>
      </c>
      <c r="EY37" s="22">
        <f t="shared" si="21"/>
        <v>19.234210980221768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133.91039999999998</v>
      </c>
      <c r="P38" s="13">
        <f t="shared" si="33"/>
        <v>34.898373535125089</v>
      </c>
      <c r="Q38" s="20">
        <f t="shared" si="53"/>
        <v>294.00861390700948</v>
      </c>
      <c r="R38" s="59">
        <f t="shared" si="0"/>
        <v>587.34194724034273</v>
      </c>
      <c r="S38" s="59">
        <f ca="1">AVERAGE(OFFSET($R$3,0,0,'Données projet'!$E$9+1,1))-AVERAGE(OFFSET($H$3,0,0,'Données projet'!$E$9+1,1))</f>
        <v>351.15781452544906</v>
      </c>
      <c r="T38" s="59">
        <f t="shared" si="34"/>
        <v>271.54361159160169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2.1814833358431622</v>
      </c>
      <c r="AA38" s="21">
        <f>EXP(-LN(2)/25)*AA37+(1-EXP(-LN(2)/25))/(LN(2)/25)*Calculateur!V38*Calculateur!X38*VLOOKUP('Données projet'!$B$9,Paramètres!$A$1:$I$89,3,0)*0.475*44/12</f>
        <v>9.8222639141316357</v>
      </c>
      <c r="AB38" s="21">
        <f>EXP(-LN(2)/2)*AB37+(1-EXP(-LN(2)/2))/(LN(2)/2)*V38*Y38*VLOOKUP('Données projet'!$B$9,Paramètres!$A$1:$I$89,3,0)*0.475*44/12</f>
        <v>3.8101276475420374</v>
      </c>
      <c r="AC38" s="22">
        <f t="shared" si="3"/>
        <v>15.813874897516834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10.3</v>
      </c>
      <c r="AI38" s="13">
        <f>IF('Données projet'!$A$62&gt;35,AI37+AH38-AQ37,IF(A38&lt;'Données projet'!$A$62,$AF$205^A38,IF(A38='Données projet'!$A$62,'Données projet'!$B$62,AI37+AH38-AQ37)))</f>
        <v>139.5</v>
      </c>
      <c r="AJ38" s="13">
        <f>AI38*VLOOKUP('Données projet'!$B$10,Paramètres!$A$1:$I$89,3,0)*VLOOKUP('Données projet'!$B$10,Paramètres!$A$1:$I$89,5,0)</f>
        <v>119.69100000000002</v>
      </c>
      <c r="AK38" s="13">
        <f t="shared" si="35"/>
        <v>31.602919307468341</v>
      </c>
      <c r="AL38" s="20">
        <f t="shared" si="4"/>
        <v>263.50357612717397</v>
      </c>
      <c r="AM38" s="59">
        <f t="shared" si="5"/>
        <v>556.83690946050729</v>
      </c>
      <c r="AN38" s="59">
        <f ca="1">AVERAGE(OFFSET($AM$3,0,0,'Données projet'!$E$10+1,1))-AVERAGE(OFFSET($H$3,0,0,'Données projet'!$E$10+1,1))</f>
        <v>405.59933429804329</v>
      </c>
      <c r="AO38" s="59">
        <f t="shared" si="36"/>
        <v>208.64922573363776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3.8141604944182039</v>
      </c>
      <c r="AW38" s="21">
        <f>EXP(-LN(2)/2)*AW37+(1-EXP(-LN(2)/2))/(LN(2)/2)*AQ38*AT38*VLOOKUP('Données projet'!$B$10,Paramètres!$A$1:$I$89,3,0)*0.475*44/12</f>
        <v>1.2522027259294506</v>
      </c>
      <c r="AX38" s="21">
        <f t="shared" si="6"/>
        <v>5.0663632203476547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8.1999999999999993</v>
      </c>
      <c r="BD38" s="12">
        <f>IF('Données projet'!$A$88&gt;35,BD37+BC38-BL37,IF(A38&lt;'Données projet'!$A$88,$BA$205^A38,IF(A38='Données projet'!$A$88,'Données projet'!$B$88,BD37+BC38-BL37)))</f>
        <v>116.99999999999999</v>
      </c>
      <c r="BE38" s="13">
        <f>BD38*VLOOKUP('Données projet'!$B$11,Paramètres!$A$1:$I$89,3,0)*VLOOKUP('Données projet'!$B$11,Paramètres!$A$1:$I$89,5,0)</f>
        <v>113.16239999999999</v>
      </c>
      <c r="BF38" s="13">
        <f t="shared" si="37"/>
        <v>30.07483714070494</v>
      </c>
      <c r="BG38" s="20">
        <f t="shared" si="7"/>
        <v>249.47152135339442</v>
      </c>
      <c r="BH38" s="59">
        <f t="shared" si="8"/>
        <v>542.80485468672771</v>
      </c>
      <c r="BI38" s="59">
        <f ca="1">AVERAGE(OFFSET($BH$3,0,0,'Données projet'!$E$11+1,1))-AVERAGE(OFFSET($H$3,0,0,'Données projet'!$E$11+1,1))</f>
        <v>293.19327646293601</v>
      </c>
      <c r="BJ38" s="59">
        <f t="shared" si="38"/>
        <v>200.0769581869605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2.8903504480808535</v>
      </c>
      <c r="BR38" s="21">
        <f>EXP(-LN(2)/2)*BR37+(1-EXP(-LN(2)/2))/(LN(2)/2)*BL38*BO38*VLOOKUP('Données projet'!$B$11,Paramètres!$A$1:$I$89,3,0)*0.475*44/12</f>
        <v>1.1695898707642345</v>
      </c>
      <c r="BS38" s="22">
        <f t="shared" si="9"/>
        <v>4.0599403188450882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212.50000000000006</v>
      </c>
      <c r="BZ38" s="13">
        <f>BY38*VLOOKUP('Données projet'!$B$12,Paramètres!$A$1:$I$89,3,0)*VLOOKUP('Données projet'!$B$12,Paramètres!$A$1:$I$89,5,0)</f>
        <v>165.75000000000006</v>
      </c>
      <c r="CA38" s="13">
        <f t="shared" si="39"/>
        <v>42.136766952193284</v>
      </c>
      <c r="CB38" s="20">
        <f t="shared" si="10"/>
        <v>362.06945244173676</v>
      </c>
      <c r="CC38" s="59">
        <f t="shared" si="11"/>
        <v>655.40278577507002</v>
      </c>
      <c r="CD38" s="59">
        <f ca="1">AVERAGE(OFFSET($CC$3,0,0,'Données projet'!$E$12+1,1))-AVERAGE(OFFSET($H$3,0,0,'Données projet'!$E$12+1,1))</f>
        <v>295.95249585728561</v>
      </c>
      <c r="CE38" s="59">
        <f t="shared" si="40"/>
        <v>306.85862495052709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1.3096959682555933</v>
      </c>
      <c r="CL38" s="21">
        <f>EXP(-LN(2)/25)*CL37+(1-EXP(-LN(2)/25))/(LN(2)/25)*Calculateur!CG38*Calculateur!CI38*VLOOKUP('Données projet'!$B$12,Paramètres!$A$1:$I$89,3,0)*0.475*44/12</f>
        <v>7.2871372143260293</v>
      </c>
      <c r="CM38" s="21">
        <f>EXP(-LN(2)/2)*CM37+(1-EXP(-LN(2)/2))/(LN(2)/2)*CG38*CJ38*VLOOKUP('Données projet'!$B$12,Paramètres!$A$1:$I$89,3,0)*0.475*44/12</f>
        <v>2.3106799327337773</v>
      </c>
      <c r="CN38" s="22">
        <f t="shared" si="12"/>
        <v>10.9075131153154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10.3</v>
      </c>
      <c r="CT38" s="12">
        <f>IF('Données projet'!$A$140&gt;35,CT37+CS38-DB37,IF(A38&lt;'Données projet'!$A$140,$CQ$205^A38,IF(A38='Données projet'!$A$140,'Données projet'!$B$140,CT37+CS38-DB37)))</f>
        <v>139.5</v>
      </c>
      <c r="CU38" s="17">
        <f>CT38*VLOOKUP('Données projet'!$B$13,Paramètres!$A$1:$I$89,3,0)*VLOOKUP('Données projet'!$B$13,Paramètres!$A$1:$I$89,5,0)</f>
        <v>132.7482</v>
      </c>
      <c r="CV38" s="13">
        <f t="shared" si="41"/>
        <v>34.630612435972736</v>
      </c>
      <c r="CW38" s="20">
        <f t="shared" si="13"/>
        <v>291.51809832598582</v>
      </c>
      <c r="CX38" s="59">
        <f t="shared" si="14"/>
        <v>584.85143165931913</v>
      </c>
      <c r="CY38" s="59">
        <f ca="1">AVERAGE(OFFSET($CX$3,0,0,'Données projet'!$E$13+1,1))-AVERAGE(OFFSET($H$3,0,0,'Données projet'!$E$13+1,1))</f>
        <v>461.10546083340631</v>
      </c>
      <c r="CZ38" s="59">
        <f t="shared" si="42"/>
        <v>233.41883071412587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3.4320902150459518</v>
      </c>
      <c r="DH38" s="21">
        <f>EXP(-LN(2)/2)*DH37+(1-EXP(-LN(2)/2))/(LN(2)/2)*DB38*DE38*VLOOKUP('Données projet'!$B$13,Paramètres!$A$1:$I$89,3,0)*0.475*44/12</f>
        <v>1.3888066596672088</v>
      </c>
      <c r="DI38" s="22">
        <f t="shared" si="15"/>
        <v>4.8208968747131609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164.26799999999997</v>
      </c>
      <c r="DQ38" s="13">
        <f t="shared" si="43"/>
        <v>41.803694835525619</v>
      </c>
      <c r="DR38" s="20">
        <f t="shared" si="16"/>
        <v>358.90820183854038</v>
      </c>
      <c r="DS38" s="59">
        <f t="shared" si="17"/>
        <v>652.24153517187369</v>
      </c>
      <c r="DT38" s="59">
        <f ca="1">AVERAGE(OFFSET($DS$3,0,0,'Données projet'!$E$14+1,1))-AVERAGE(OFFSET($H$3,0,0,'Données projet'!$E$14+1,1))</f>
        <v>296.376932094327</v>
      </c>
      <c r="DU38" s="59">
        <f t="shared" si="44"/>
        <v>350.93658329210882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2.444765807410441</v>
      </c>
      <c r="EB38" s="21">
        <f>EXP(-LN(2)/25)*EB37+(1-EXP(-LN(2)/25))/(LN(2)/25)*Calculateur!DW38*Calculateur!DY38*VLOOKUP('Données projet'!$B$14,Paramètres!$A$1:$I$89,3,0)*0.475*44/12</f>
        <v>14.777082658191276</v>
      </c>
      <c r="EC38" s="21">
        <f>EXP(-LN(2)/2)*EC37+(1-EXP(-LN(2)/2))/(LN(2)/2)*DW38*DZ38*VLOOKUP('Données projet'!$B$14,Paramètres!$A$1:$I$89,3,0)*0.475*44/12</f>
        <v>4.33286536731186</v>
      </c>
      <c r="ED38" s="22">
        <f t="shared" si="18"/>
        <v>21.554713832913578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12.1</v>
      </c>
      <c r="EJ38" s="12">
        <f>IF('Données projet'!$A$192&gt;35,EJ37+EI38-ER37,IF(A38&lt;'Données projet'!$A$192,$EG$205^A38,IF(A38='Données projet'!$A$192,'Données projet'!$B$192,EJ37+EI38-ER37)))</f>
        <v>202.49999999999997</v>
      </c>
      <c r="EK38" s="17">
        <f>EJ38*VLOOKUP('Données projet'!$B$15,Paramètres!$A$1:$I$89,3,0)*VLOOKUP('Données projet'!$B$15,Paramètres!$A$1:$I$89,5,0)</f>
        <v>132.67799999999997</v>
      </c>
      <c r="EL38" s="13">
        <f t="shared" si="45"/>
        <v>34.614430230203745</v>
      </c>
      <c r="EM38" s="20">
        <f t="shared" si="19"/>
        <v>291.36764931760479</v>
      </c>
      <c r="EN38" s="59">
        <f t="shared" si="20"/>
        <v>584.70098265093816</v>
      </c>
      <c r="EO38" s="59">
        <f ca="1">AVERAGE(OFFSET($EN$3,0,0,'Données projet'!$E$15+1,1))-AVERAGE(OFFSET($H$3,0,0,'Données projet'!$E$15+1,1))</f>
        <v>231.03244099494077</v>
      </c>
      <c r="EP38" s="59">
        <f t="shared" si="46"/>
        <v>280.29723026390741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1.9746185367545868</v>
      </c>
      <c r="EW38" s="21">
        <f>EXP(-LN(2)/25)*EW37+(1-EXP(-LN(2)/25))/(LN(2)/25)*Calculateur!ER38*Calculateur!ET38*VLOOKUP('Données projet'!$B$15,Paramètres!$A$1:$I$89,3,0)*0.475*44/12</f>
        <v>11.935335993154492</v>
      </c>
      <c r="EX38" s="21">
        <f>EXP(-LN(2)/2)*EX37+(1-EXP(-LN(2)/2))/(LN(2)/2)*ER38*EU38*VLOOKUP('Données projet'!$B$15,Paramètres!$A$1:$I$89,3,0)*0.475*44/12</f>
        <v>3.4996220274441936</v>
      </c>
      <c r="EY38" s="22">
        <f t="shared" si="21"/>
        <v>17.409576557353272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143.86320000000001</v>
      </c>
      <c r="P39" s="13">
        <f t="shared" si="33"/>
        <v>37.180603445028773</v>
      </c>
      <c r="Q39" s="20">
        <f t="shared" si="53"/>
        <v>315.31795766675845</v>
      </c>
      <c r="R39" s="59">
        <f t="shared" si="0"/>
        <v>608.65129100009176</v>
      </c>
      <c r="S39" s="59">
        <f ca="1">AVERAGE(OFFSET($R$3,0,0,'Données projet'!$E$9+1,1))-AVERAGE(OFFSET($H$3,0,0,'Données projet'!$E$9+1,1))</f>
        <v>351.15781452544906</v>
      </c>
      <c r="T39" s="59">
        <f t="shared" si="34"/>
        <v>271.54361159160169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2.1387057782007295</v>
      </c>
      <c r="AA39" s="21">
        <f>EXP(-LN(2)/25)*AA38+(1-EXP(-LN(2)/25))/(LN(2)/25)*Calculateur!V39*Calculateur!X39*VLOOKUP('Données projet'!$B$9,Paramètres!$A$1:$I$89,3,0)*0.475*44/12</f>
        <v>9.5536735908692965</v>
      </c>
      <c r="AB39" s="21">
        <f>EXP(-LN(2)/2)*AB38+(1-EXP(-LN(2)/2))/(LN(2)/2)*V39*Y39*VLOOKUP('Données projet'!$B$9,Paramètres!$A$1:$I$89,3,0)*0.475*44/12</f>
        <v>2.6941670967633229</v>
      </c>
      <c r="AC39" s="22">
        <f t="shared" si="3"/>
        <v>14.386546465833348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10.3</v>
      </c>
      <c r="AI39" s="13">
        <f>IF('Données projet'!$A$62&gt;35,AI38+AH39-AQ38,IF(A39&lt;'Données projet'!$A$62,$AF$205^A39,IF(A39='Données projet'!$A$62,'Données projet'!$B$62,AI38+AH39-AQ38)))</f>
        <v>149.80000000000001</v>
      </c>
      <c r="AJ39" s="13">
        <f>AI39*VLOOKUP('Données projet'!$B$10,Paramètres!$A$1:$I$89,3,0)*VLOOKUP('Données projet'!$B$10,Paramètres!$A$1:$I$89,5,0)</f>
        <v>128.52840000000003</v>
      </c>
      <c r="AK39" s="13">
        <f t="shared" si="35"/>
        <v>33.656090801310327</v>
      </c>
      <c r="AL39" s="20">
        <f t="shared" si="4"/>
        <v>282.47132147894882</v>
      </c>
      <c r="AM39" s="59">
        <f t="shared" si="5"/>
        <v>575.80465481228214</v>
      </c>
      <c r="AN39" s="59">
        <f ca="1">AVERAGE(OFFSET($AM$3,0,0,'Données projet'!$E$10+1,1))-AVERAGE(OFFSET($H$3,0,0,'Données projet'!$E$10+1,1))</f>
        <v>405.59933429804329</v>
      </c>
      <c r="AO39" s="59">
        <f t="shared" si="36"/>
        <v>208.64922573363776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3.709862075120355</v>
      </c>
      <c r="AW39" s="21">
        <f>EXP(-LN(2)/2)*AW38+(1-EXP(-LN(2)/2))/(LN(2)/2)*AQ39*AT39*VLOOKUP('Données projet'!$B$10,Paramètres!$A$1:$I$89,3,0)*0.475*44/12</f>
        <v>0.88544103892499437</v>
      </c>
      <c r="AX39" s="21">
        <f t="shared" si="6"/>
        <v>4.5953031140453495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125.19999999999999</v>
      </c>
      <c r="BE39" s="13">
        <f>BD39*VLOOKUP('Données projet'!$B$11,Paramètres!$A$1:$I$89,3,0)*VLOOKUP('Données projet'!$B$11,Paramètres!$A$1:$I$89,5,0)</f>
        <v>121.09344</v>
      </c>
      <c r="BF39" s="13">
        <f t="shared" si="37"/>
        <v>31.929891428732152</v>
      </c>
      <c r="BG39" s="20">
        <f t="shared" si="7"/>
        <v>266.51563557170846</v>
      </c>
      <c r="BH39" s="59">
        <f t="shared" si="8"/>
        <v>559.84896890504183</v>
      </c>
      <c r="BI39" s="59">
        <f ca="1">AVERAGE(OFFSET($BH$3,0,0,'Données projet'!$E$11+1,1))-AVERAGE(OFFSET($H$3,0,0,'Données projet'!$E$11+1,1))</f>
        <v>293.19327646293601</v>
      </c>
      <c r="BJ39" s="59">
        <f t="shared" si="38"/>
        <v>200.0769581869605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2.8113136630811586</v>
      </c>
      <c r="BR39" s="21">
        <f>EXP(-LN(2)/2)*BR38+(1-EXP(-LN(2)/2))/(LN(2)/2)*BL39*BO39*VLOOKUP('Données projet'!$B$11,Paramètres!$A$1:$I$89,3,0)*0.475*44/12</f>
        <v>0.82702492882448797</v>
      </c>
      <c r="BS39" s="22">
        <f t="shared" si="9"/>
        <v>3.6383385919056463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224.00000000000006</v>
      </c>
      <c r="BZ39" s="13">
        <f>BY39*VLOOKUP('Données projet'!$B$12,Paramètres!$A$1:$I$89,3,0)*VLOOKUP('Données projet'!$B$12,Paramètres!$A$1:$I$89,5,0)</f>
        <v>174.72000000000006</v>
      </c>
      <c r="CA39" s="13">
        <f t="shared" si="39"/>
        <v>44.145455754865246</v>
      </c>
      <c r="CB39" s="20">
        <f t="shared" si="10"/>
        <v>381.19066877305704</v>
      </c>
      <c r="CC39" s="59">
        <f t="shared" si="11"/>
        <v>674.5240021063903</v>
      </c>
      <c r="CD39" s="59">
        <f ca="1">AVERAGE(OFFSET($CC$3,0,0,'Données projet'!$E$12+1,1))-AVERAGE(OFFSET($H$3,0,0,'Données projet'!$E$12+1,1))</f>
        <v>295.95249585728561</v>
      </c>
      <c r="CE39" s="59">
        <f t="shared" si="40"/>
        <v>306.85862495052709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1.2840136291537634</v>
      </c>
      <c r="CL39" s="21">
        <f>EXP(-LN(2)/25)*CL38+(1-EXP(-LN(2)/25))/(LN(2)/25)*Calculateur!CG39*Calculateur!CI39*VLOOKUP('Données projet'!$B$12,Paramètres!$A$1:$I$89,3,0)*0.475*44/12</f>
        <v>7.0878700639863927</v>
      </c>
      <c r="CM39" s="21">
        <f>EXP(-LN(2)/2)*CM38+(1-EXP(-LN(2)/2))/(LN(2)/2)*CG39*CJ39*VLOOKUP('Données projet'!$B$12,Paramètres!$A$1:$I$89,3,0)*0.475*44/12</f>
        <v>1.6338974495877294</v>
      </c>
      <c r="CN39" s="22">
        <f t="shared" si="12"/>
        <v>10.005781142727885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10.3</v>
      </c>
      <c r="CT39" s="12">
        <f>IF('Données projet'!$A$140&gt;35,CT38+CS39-DB38,IF(A39&lt;'Données projet'!$A$140,$CQ$205^A39,IF(A39='Données projet'!$A$140,'Données projet'!$B$140,CT38+CS39-DB38)))</f>
        <v>149.80000000000001</v>
      </c>
      <c r="CU39" s="17">
        <f>CT39*VLOOKUP('Données projet'!$B$13,Paramètres!$A$1:$I$89,3,0)*VLOOKUP('Données projet'!$B$13,Paramètres!$A$1:$I$89,5,0)</f>
        <v>142.54968</v>
      </c>
      <c r="CV39" s="13">
        <f t="shared" si="41"/>
        <v>36.880486429449853</v>
      </c>
      <c r="CW39" s="20">
        <f t="shared" si="13"/>
        <v>312.50753986462513</v>
      </c>
      <c r="CX39" s="59">
        <f t="shared" si="14"/>
        <v>605.84087319795844</v>
      </c>
      <c r="CY39" s="59">
        <f ca="1">AVERAGE(OFFSET($CX$3,0,0,'Données projet'!$E$13+1,1))-AVERAGE(OFFSET($H$3,0,0,'Données projet'!$E$13+1,1))</f>
        <v>461.10546083340631</v>
      </c>
      <c r="CZ39" s="59">
        <f t="shared" si="42"/>
        <v>233.41883071412587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3.3382395276297401</v>
      </c>
      <c r="DH39" s="21">
        <f>EXP(-LN(2)/2)*DH38+(1-EXP(-LN(2)/2))/(LN(2)/2)*DB39*DE39*VLOOKUP('Données projet'!$B$13,Paramètres!$A$1:$I$89,3,0)*0.475*44/12</f>
        <v>0.98203460680772103</v>
      </c>
      <c r="DI39" s="22">
        <f t="shared" si="15"/>
        <v>4.3202741344374616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174.08351999999999</v>
      </c>
      <c r="DQ39" s="13">
        <f t="shared" si="43"/>
        <v>44.003328933142832</v>
      </c>
      <c r="DR39" s="20">
        <f t="shared" si="16"/>
        <v>379.83459522522372</v>
      </c>
      <c r="DS39" s="59">
        <f t="shared" si="17"/>
        <v>673.16792855855704</v>
      </c>
      <c r="DT39" s="59">
        <f ca="1">AVERAGE(OFFSET($DS$3,0,0,'Données projet'!$E$14+1,1))-AVERAGE(OFFSET($H$3,0,0,'Données projet'!$E$14+1,1))</f>
        <v>296.376932094327</v>
      </c>
      <c r="DU39" s="59">
        <f t="shared" si="44"/>
        <v>350.93658329210882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2.3968254410870249</v>
      </c>
      <c r="EB39" s="21">
        <f>EXP(-LN(2)/25)*EB38+(1-EXP(-LN(2)/25))/(LN(2)/25)*Calculateur!DW39*Calculateur!DY39*VLOOKUP('Données projet'!$B$14,Paramètres!$A$1:$I$89,3,0)*0.475*44/12</f>
        <v>14.373002555810032</v>
      </c>
      <c r="EC39" s="21">
        <f>EXP(-LN(2)/2)*EC38+(1-EXP(-LN(2)/2))/(LN(2)/2)*DW39*DZ39*VLOOKUP('Données projet'!$B$14,Paramètres!$A$1:$I$89,3,0)*0.475*44/12</f>
        <v>3.0637984831945575</v>
      </c>
      <c r="ED39" s="22">
        <f t="shared" si="18"/>
        <v>19.833626480091613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12.1</v>
      </c>
      <c r="EJ39" s="12">
        <f>IF('Données projet'!$A$192&gt;35,EJ38+EI39-ER38,IF(A39&lt;'Données projet'!$A$192,$EG$205^A39,IF(A39='Données projet'!$A$192,'Données projet'!$B$192,EJ38+EI39-ER38)))</f>
        <v>214.59999999999997</v>
      </c>
      <c r="EK39" s="17">
        <f>EJ39*VLOOKUP('Données projet'!$B$15,Paramètres!$A$1:$I$89,3,0)*VLOOKUP('Données projet'!$B$15,Paramètres!$A$1:$I$89,5,0)</f>
        <v>140.60591999999997</v>
      </c>
      <c r="EL39" s="13">
        <f t="shared" si="45"/>
        <v>36.435778350352258</v>
      </c>
      <c r="EM39" s="20">
        <f t="shared" si="19"/>
        <v>308.34762462686342</v>
      </c>
      <c r="EN39" s="59">
        <f t="shared" si="20"/>
        <v>601.68095796019679</v>
      </c>
      <c r="EO39" s="59">
        <f ca="1">AVERAGE(OFFSET($EN$3,0,0,'Données projet'!$E$15+1,1))-AVERAGE(OFFSET($H$3,0,0,'Données projet'!$E$15+1,1))</f>
        <v>231.03244099494077</v>
      </c>
      <c r="EP39" s="59">
        <f t="shared" si="46"/>
        <v>280.29723026390741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1.9358974716472124</v>
      </c>
      <c r="EW39" s="21">
        <f>EXP(-LN(2)/25)*EW38+(1-EXP(-LN(2)/25))/(LN(2)/25)*Calculateur!ER39*Calculateur!ET39*VLOOKUP('Données projet'!$B$15,Paramètres!$A$1:$I$89,3,0)*0.475*44/12</f>
        <v>11.608963602769641</v>
      </c>
      <c r="EX39" s="21">
        <f>EXP(-LN(2)/2)*EX38+(1-EXP(-LN(2)/2))/(LN(2)/2)*ER39*EU39*VLOOKUP('Données projet'!$B$15,Paramètres!$A$1:$I$89,3,0)*0.475*44/12</f>
        <v>2.4746064671956032</v>
      </c>
      <c r="EY39" s="22">
        <f t="shared" si="21"/>
        <v>16.019467541612457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153.816</v>
      </c>
      <c r="P40" s="13">
        <f t="shared" si="33"/>
        <v>39.444513325737063</v>
      </c>
      <c r="Q40" s="20">
        <f t="shared" si="53"/>
        <v>336.59539404232538</v>
      </c>
      <c r="R40" s="59">
        <f t="shared" si="0"/>
        <v>629.9287273756587</v>
      </c>
      <c r="S40" s="59">
        <f ca="1">AVERAGE(OFFSET($R$3,0,0,'Données projet'!$E$9+1,1))-AVERAGE(OFFSET($H$3,0,0,'Données projet'!$E$9+1,1))</f>
        <v>351.15781452544906</v>
      </c>
      <c r="T40" s="59">
        <f t="shared" si="34"/>
        <v>271.54361159160169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2.096767062371931</v>
      </c>
      <c r="AA40" s="21">
        <f>EXP(-LN(2)/25)*AA39+(1-EXP(-LN(2)/25))/(LN(2)/25)*Calculateur!V40*Calculateur!X40*VLOOKUP('Données projet'!$B$9,Paramètres!$A$1:$I$89,3,0)*0.475*44/12</f>
        <v>9.2924278841211159</v>
      </c>
      <c r="AB40" s="21">
        <f>EXP(-LN(2)/2)*AB39+(1-EXP(-LN(2)/2))/(LN(2)/2)*V40*Y40*VLOOKUP('Données projet'!$B$9,Paramètres!$A$1:$I$89,3,0)*0.475*44/12</f>
        <v>1.9050638237710191</v>
      </c>
      <c r="AC40" s="22">
        <f t="shared" si="3"/>
        <v>13.294258770264067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10.3</v>
      </c>
      <c r="AI40" s="13">
        <f>IF('Données projet'!$A$62&gt;35,AI39+AH40-AQ39,IF(A40&lt;'Données projet'!$A$62,$AF$205^A40,IF(A40='Données projet'!$A$62,'Données projet'!$B$62,AI39+AH40-AQ39)))</f>
        <v>160.10000000000002</v>
      </c>
      <c r="AJ40" s="13">
        <f>AI40*VLOOKUP('Données projet'!$B$10,Paramètres!$A$1:$I$89,3,0)*VLOOKUP('Données projet'!$B$10,Paramètres!$A$1:$I$89,5,0)</f>
        <v>137.36580000000004</v>
      </c>
      <c r="AK40" s="13">
        <f t="shared" si="35"/>
        <v>35.692881760172256</v>
      </c>
      <c r="AL40" s="20">
        <f t="shared" si="4"/>
        <v>301.41053739896671</v>
      </c>
      <c r="AM40" s="59">
        <f t="shared" si="5"/>
        <v>594.74387073230002</v>
      </c>
      <c r="AN40" s="59">
        <f ca="1">AVERAGE(OFFSET($AM$3,0,0,'Données projet'!$E$10+1,1))-AVERAGE(OFFSET($H$3,0,0,'Données projet'!$E$10+1,1))</f>
        <v>405.59933429804329</v>
      </c>
      <c r="AO40" s="59">
        <f t="shared" si="36"/>
        <v>208.64922573363776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3.6084157015830214</v>
      </c>
      <c r="AW40" s="21">
        <f>EXP(-LN(2)/2)*AW39+(1-EXP(-LN(2)/2))/(LN(2)/2)*AQ40*AT40*VLOOKUP('Données projet'!$B$10,Paramètres!$A$1:$I$89,3,0)*0.475*44/12</f>
        <v>0.62610136296472529</v>
      </c>
      <c r="AX40" s="21">
        <f t="shared" si="6"/>
        <v>4.234517064547747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133.39999999999998</v>
      </c>
      <c r="BE40" s="13">
        <f>BD40*VLOOKUP('Données projet'!$B$11,Paramètres!$A$1:$I$89,3,0)*VLOOKUP('Données projet'!$B$11,Paramètres!$A$1:$I$89,5,0)</f>
        <v>129.02447999999998</v>
      </c>
      <c r="BF40" s="13">
        <f t="shared" si="37"/>
        <v>33.770846580616251</v>
      </c>
      <c r="BG40" s="20">
        <f t="shared" si="7"/>
        <v>283.53519379457327</v>
      </c>
      <c r="BH40" s="59">
        <f t="shared" si="8"/>
        <v>576.86852712790665</v>
      </c>
      <c r="BI40" s="59">
        <f ca="1">AVERAGE(OFFSET($BH$3,0,0,'Données projet'!$E$11+1,1))-AVERAGE(OFFSET($H$3,0,0,'Données projet'!$E$11+1,1))</f>
        <v>293.19327646293601</v>
      </c>
      <c r="BJ40" s="59">
        <f t="shared" si="38"/>
        <v>200.0769581869605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2.734438143123644</v>
      </c>
      <c r="BR40" s="21">
        <f>EXP(-LN(2)/2)*BR39+(1-EXP(-LN(2)/2))/(LN(2)/2)*BL40*BO40*VLOOKUP('Données projet'!$B$11,Paramètres!$A$1:$I$89,3,0)*0.475*44/12</f>
        <v>0.58479493538211724</v>
      </c>
      <c r="BS40" s="22">
        <f t="shared" si="9"/>
        <v>3.3192330785057611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235.50000000000006</v>
      </c>
      <c r="BZ40" s="13">
        <f>BY40*VLOOKUP('Données projet'!$B$12,Paramètres!$A$1:$I$89,3,0)*VLOOKUP('Données projet'!$B$12,Paramètres!$A$1:$I$89,5,0)</f>
        <v>183.69000000000005</v>
      </c>
      <c r="CA40" s="13">
        <f t="shared" si="39"/>
        <v>46.14217109072662</v>
      </c>
      <c r="CB40" s="20">
        <f t="shared" si="10"/>
        <v>400.29103131634889</v>
      </c>
      <c r="CC40" s="59">
        <f t="shared" si="11"/>
        <v>693.62436464968221</v>
      </c>
      <c r="CD40" s="59">
        <f ca="1">AVERAGE(OFFSET($CC$3,0,0,'Données projet'!$E$12+1,1))-AVERAGE(OFFSET($H$3,0,0,'Données projet'!$E$12+1,1))</f>
        <v>295.95249585728561</v>
      </c>
      <c r="CE40" s="59">
        <f t="shared" si="40"/>
        <v>306.85862495052709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1.2588349050570402</v>
      </c>
      <c r="CL40" s="21">
        <f>EXP(-LN(2)/25)*CL39+(1-EXP(-LN(2)/25))/(LN(2)/25)*Calculateur!CG40*Calculateur!CI40*VLOOKUP('Données projet'!$B$12,Paramètres!$A$1:$I$89,3,0)*0.475*44/12</f>
        <v>6.8940518843517973</v>
      </c>
      <c r="CM40" s="21">
        <f>EXP(-LN(2)/2)*CM39+(1-EXP(-LN(2)/2))/(LN(2)/2)*CG40*CJ40*VLOOKUP('Données projet'!$B$12,Paramètres!$A$1:$I$89,3,0)*0.475*44/12</f>
        <v>1.1553399663668886</v>
      </c>
      <c r="CN40" s="22">
        <f t="shared" si="12"/>
        <v>9.3082267557757259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10.3</v>
      </c>
      <c r="CT40" s="12">
        <f>IF('Données projet'!$A$140&gt;35,CT39+CS40-DB39,IF(A40&lt;'Données projet'!$A$140,$CQ$205^A40,IF(A40='Données projet'!$A$140,'Données projet'!$B$140,CT39+CS40-DB39)))</f>
        <v>160.10000000000002</v>
      </c>
      <c r="CU40" s="17">
        <f>CT40*VLOOKUP('Données projet'!$B$13,Paramètres!$A$1:$I$89,3,0)*VLOOKUP('Données projet'!$B$13,Paramètres!$A$1:$I$89,5,0)</f>
        <v>152.35116000000002</v>
      </c>
      <c r="CV40" s="13">
        <f t="shared" si="41"/>
        <v>39.112410563521017</v>
      </c>
      <c r="CW40" s="20">
        <f t="shared" si="13"/>
        <v>333.46571873146576</v>
      </c>
      <c r="CX40" s="59">
        <f t="shared" si="14"/>
        <v>626.79905206479907</v>
      </c>
      <c r="CY40" s="59">
        <f ca="1">AVERAGE(OFFSET($CX$3,0,0,'Données projet'!$E$13+1,1))-AVERAGE(OFFSET($H$3,0,0,'Données projet'!$E$13+1,1))</f>
        <v>461.10546083340631</v>
      </c>
      <c r="CZ40" s="59">
        <f t="shared" si="42"/>
        <v>233.41883071412587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3.2469551921963178</v>
      </c>
      <c r="DH40" s="21">
        <f>EXP(-LN(2)/2)*DH39+(1-EXP(-LN(2)/2))/(LN(2)/2)*DB40*DE40*VLOOKUP('Données projet'!$B$13,Paramètres!$A$1:$I$89,3,0)*0.475*44/12</f>
        <v>0.69440332983360453</v>
      </c>
      <c r="DI40" s="22">
        <f t="shared" si="15"/>
        <v>3.9413585220299225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183.89903999999999</v>
      </c>
      <c r="DQ40" s="13">
        <f t="shared" si="43"/>
        <v>46.188565843203435</v>
      </c>
      <c r="DR40" s="20">
        <f t="shared" si="16"/>
        <v>400.73591351024589</v>
      </c>
      <c r="DS40" s="59">
        <f t="shared" si="17"/>
        <v>694.06924684357921</v>
      </c>
      <c r="DT40" s="59">
        <f ca="1">AVERAGE(OFFSET($DS$3,0,0,'Données projet'!$E$14+1,1))-AVERAGE(OFFSET($H$3,0,0,'Données projet'!$E$14+1,1))</f>
        <v>296.376932094327</v>
      </c>
      <c r="DU40" s="59">
        <f t="shared" si="44"/>
        <v>350.93658329210882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2.3498251561064749</v>
      </c>
      <c r="EB40" s="21">
        <f>EXP(-LN(2)/25)*EB39+(1-EXP(-LN(2)/25))/(LN(2)/25)*Calculateur!DW40*Calculateur!DY40*VLOOKUP('Données projet'!$B$14,Paramètres!$A$1:$I$89,3,0)*0.475*44/12</f>
        <v>13.979972045078053</v>
      </c>
      <c r="EC40" s="21">
        <f>EXP(-LN(2)/2)*EC39+(1-EXP(-LN(2)/2))/(LN(2)/2)*DW40*DZ40*VLOOKUP('Données projet'!$B$14,Paramètres!$A$1:$I$89,3,0)*0.475*44/12</f>
        <v>2.1664326836559304</v>
      </c>
      <c r="ED40" s="22">
        <f t="shared" si="18"/>
        <v>18.49622988484046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12.1</v>
      </c>
      <c r="EJ40" s="12">
        <f>IF('Données projet'!$A$192&gt;35,EJ39+EI40-ER39,IF(A40&lt;'Données projet'!$A$192,$EG$205^A40,IF(A40='Données projet'!$A$192,'Données projet'!$B$192,EJ39+EI40-ER39)))</f>
        <v>226.69999999999996</v>
      </c>
      <c r="EK40" s="17">
        <f>EJ40*VLOOKUP('Données projet'!$B$15,Paramètres!$A$1:$I$89,3,0)*VLOOKUP('Données projet'!$B$15,Paramètres!$A$1:$I$89,5,0)</f>
        <v>148.53383999999997</v>
      </c>
      <c r="EL40" s="13">
        <f t="shared" si="45"/>
        <v>38.245205264823923</v>
      </c>
      <c r="EM40" s="20">
        <f t="shared" si="19"/>
        <v>325.30683716956827</v>
      </c>
      <c r="EN40" s="59">
        <f t="shared" si="20"/>
        <v>618.64017050290158</v>
      </c>
      <c r="EO40" s="59">
        <f ca="1">AVERAGE(OFFSET($EN$3,0,0,'Données projet'!$E$15+1,1))-AVERAGE(OFFSET($H$3,0,0,'Données projet'!$E$15+1,1))</f>
        <v>231.03244099494077</v>
      </c>
      <c r="EP40" s="59">
        <f t="shared" si="46"/>
        <v>280.29723026390741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1.8979357030090758</v>
      </c>
      <c r="EW40" s="21">
        <f>EXP(-LN(2)/25)*EW39+(1-EXP(-LN(2)/25))/(LN(2)/25)*Calculateur!ER40*Calculateur!ET40*VLOOKUP('Données projet'!$B$15,Paramètres!$A$1:$I$89,3,0)*0.475*44/12</f>
        <v>11.291515882563042</v>
      </c>
      <c r="EX40" s="21">
        <f>EXP(-LN(2)/2)*EX39+(1-EXP(-LN(2)/2))/(LN(2)/2)*ER40*EU40*VLOOKUP('Données projet'!$B$15,Paramètres!$A$1:$I$89,3,0)*0.475*44/12</f>
        <v>1.7498110137220968</v>
      </c>
      <c r="EY40" s="22">
        <f t="shared" si="21"/>
        <v>14.939262599294214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163.7688</v>
      </c>
      <c r="P41" s="13">
        <f t="shared" si="33"/>
        <v>41.691423503509803</v>
      </c>
      <c r="Q41" s="20">
        <f t="shared" si="53"/>
        <v>357.84322260194625</v>
      </c>
      <c r="R41" s="59">
        <f t="shared" si="0"/>
        <v>651.17655593527957</v>
      </c>
      <c r="S41" s="59">
        <f ca="1">AVERAGE(OFFSET($R$3,0,0,'Données projet'!$E$9+1,1))-AVERAGE(OFFSET($H$3,0,0,'Données projet'!$E$9+1,1))</f>
        <v>351.15781452544906</v>
      </c>
      <c r="T41" s="59">
        <f t="shared" si="34"/>
        <v>271.54361159160169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2.0556507391804444</v>
      </c>
      <c r="AA41" s="21">
        <f>EXP(-LN(2)/25)*AA40+(1-EXP(-LN(2)/25))/(LN(2)/25)*Calculateur!V41*Calculateur!X41*VLOOKUP('Données projet'!$B$9,Paramètres!$A$1:$I$89,3,0)*0.475*44/12</f>
        <v>9.0383259549622803</v>
      </c>
      <c r="AB41" s="21">
        <f>EXP(-LN(2)/2)*AB40+(1-EXP(-LN(2)/2))/(LN(2)/2)*V41*Y41*VLOOKUP('Données projet'!$B$9,Paramètres!$A$1:$I$89,3,0)*0.475*44/12</f>
        <v>1.3470835483816617</v>
      </c>
      <c r="AC41" s="22">
        <f t="shared" si="3"/>
        <v>12.441060242524387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10.3</v>
      </c>
      <c r="AI41" s="13">
        <f>IF('Données projet'!$A$62&gt;35,AI40+AH41-AQ40,IF(A41&lt;'Données projet'!$A$62,$AF$205^A41,IF(A41='Données projet'!$A$62,'Données projet'!$B$62,AI40+AH41-AQ40)))</f>
        <v>170.40000000000003</v>
      </c>
      <c r="AJ41" s="13">
        <f>AI41*VLOOKUP('Données projet'!$B$10,Paramètres!$A$1:$I$89,3,0)*VLOOKUP('Données projet'!$B$10,Paramètres!$A$1:$I$89,5,0)</f>
        <v>146.20320000000004</v>
      </c>
      <c r="AK41" s="13">
        <f t="shared" si="35"/>
        <v>37.714465965904303</v>
      </c>
      <c r="AL41" s="20">
        <f t="shared" si="4"/>
        <v>320.32326822395004</v>
      </c>
      <c r="AM41" s="59">
        <f t="shared" si="5"/>
        <v>613.65660155728335</v>
      </c>
      <c r="AN41" s="59">
        <f ca="1">AVERAGE(OFFSET($AM$3,0,0,'Données projet'!$E$10+1,1))-AVERAGE(OFFSET($H$3,0,0,'Données projet'!$E$10+1,1))</f>
        <v>405.59933429804329</v>
      </c>
      <c r="AO41" s="59">
        <f t="shared" si="36"/>
        <v>208.64922573363776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3.5097433844648989</v>
      </c>
      <c r="AW41" s="21">
        <f>EXP(-LN(2)/2)*AW40+(1-EXP(-LN(2)/2))/(LN(2)/2)*AQ41*AT41*VLOOKUP('Données projet'!$B$10,Paramètres!$A$1:$I$89,3,0)*0.475*44/12</f>
        <v>0.44272051946249719</v>
      </c>
      <c r="AX41" s="21">
        <f t="shared" si="6"/>
        <v>3.9524639039273959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141.59999999999997</v>
      </c>
      <c r="BE41" s="13">
        <f>BD41*VLOOKUP('Données projet'!$B$11,Paramètres!$A$1:$I$89,3,0)*VLOOKUP('Données projet'!$B$11,Paramètres!$A$1:$I$89,5,0)</f>
        <v>136.95551999999995</v>
      </c>
      <c r="BF41" s="13">
        <f t="shared" si="37"/>
        <v>35.598667939009403</v>
      </c>
      <c r="BG41" s="20">
        <f t="shared" si="7"/>
        <v>300.53187732710791</v>
      </c>
      <c r="BH41" s="59">
        <f t="shared" si="8"/>
        <v>593.86521066044122</v>
      </c>
      <c r="BI41" s="59">
        <f ca="1">AVERAGE(OFFSET($BH$3,0,0,'Données projet'!$E$11+1,1))-AVERAGE(OFFSET($H$3,0,0,'Données projet'!$E$11+1,1))</f>
        <v>293.19327646293601</v>
      </c>
      <c r="BJ41" s="59">
        <f t="shared" si="38"/>
        <v>200.0769581869605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2.6596647883020754</v>
      </c>
      <c r="BR41" s="21">
        <f>EXP(-LN(2)/2)*BR40+(1-EXP(-LN(2)/2))/(LN(2)/2)*BL41*BO41*VLOOKUP('Données projet'!$B$11,Paramètres!$A$1:$I$89,3,0)*0.475*44/12</f>
        <v>0.41351246441224399</v>
      </c>
      <c r="BS41" s="22">
        <f t="shared" si="9"/>
        <v>3.0731772527143195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11.5</v>
      </c>
      <c r="BY41" s="12">
        <f>IF('Données projet'!$A$114&gt;35,BY40+BX41-CG40,IF(A41&lt;'Données projet'!$A$114,$BV$205^A41,IF(A41='Données projet'!$A$114,'Données projet'!$B$114,BY40+BX41-CG40)))</f>
        <v>247.00000000000006</v>
      </c>
      <c r="BZ41" s="13">
        <f>BY41*VLOOKUP('Données projet'!$B$12,Paramètres!$A$1:$I$89,3,0)*VLOOKUP('Données projet'!$B$12,Paramètres!$A$1:$I$89,5,0)</f>
        <v>192.66000000000005</v>
      </c>
      <c r="CA41" s="13">
        <f t="shared" si="39"/>
        <v>48.127564387788738</v>
      </c>
      <c r="CB41" s="20">
        <f t="shared" si="10"/>
        <v>419.3716746420655</v>
      </c>
      <c r="CC41" s="59">
        <f t="shared" si="11"/>
        <v>712.70500797539876</v>
      </c>
      <c r="CD41" s="59">
        <f ca="1">AVERAGE(OFFSET($CC$3,0,0,'Données projet'!$E$12+1,1))-AVERAGE(OFFSET($H$3,0,0,'Données projet'!$E$12+1,1))</f>
        <v>295.95249585728561</v>
      </c>
      <c r="CE41" s="59">
        <f t="shared" si="40"/>
        <v>306.85862495052709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1.2341499203823485</v>
      </c>
      <c r="CL41" s="21">
        <f>EXP(-LN(2)/25)*CL40+(1-EXP(-LN(2)/25))/(LN(2)/25)*Calculateur!CG41*Calculateur!CI41*VLOOKUP('Données projet'!$B$12,Paramètres!$A$1:$I$89,3,0)*0.475*44/12</f>
        <v>6.7055336730317654</v>
      </c>
      <c r="CM41" s="21">
        <f>EXP(-LN(2)/2)*CM40+(1-EXP(-LN(2)/2))/(LN(2)/2)*CG41*CJ41*VLOOKUP('Données projet'!$B$12,Paramètres!$A$1:$I$89,3,0)*0.475*44/12</f>
        <v>0.81694872479386471</v>
      </c>
      <c r="CN41" s="22">
        <f t="shared" si="12"/>
        <v>8.7566323182079788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10.3</v>
      </c>
      <c r="CT41" s="12">
        <f>IF('Données projet'!$A$140&gt;35,CT40+CS41-DB40,IF(A41&lt;'Données projet'!$A$140,$CQ$205^A41,IF(A41='Données projet'!$A$140,'Données projet'!$B$140,CT40+CS41-DB40)))</f>
        <v>170.40000000000003</v>
      </c>
      <c r="CU41" s="17">
        <f>CT41*VLOOKUP('Données projet'!$B$13,Paramètres!$A$1:$I$89,3,0)*VLOOKUP('Données projet'!$B$13,Paramètres!$A$1:$I$89,5,0)</f>
        <v>162.15264000000002</v>
      </c>
      <c r="CV41" s="13">
        <f t="shared" si="41"/>
        <v>41.32767107329439</v>
      </c>
      <c r="CW41" s="20">
        <f t="shared" si="13"/>
        <v>354.39487511932111</v>
      </c>
      <c r="CX41" s="59">
        <f t="shared" si="14"/>
        <v>647.72820845265437</v>
      </c>
      <c r="CY41" s="59">
        <f ca="1">AVERAGE(OFFSET($CX$3,0,0,'Données projet'!$E$13+1,1))-AVERAGE(OFFSET($H$3,0,0,'Données projet'!$E$13+1,1))</f>
        <v>461.10546083340631</v>
      </c>
      <c r="CZ41" s="59">
        <f t="shared" si="42"/>
        <v>233.41883071412587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3.1581670317157569</v>
      </c>
      <c r="DH41" s="21">
        <f>EXP(-LN(2)/2)*DH40+(1-EXP(-LN(2)/2))/(LN(2)/2)*DB41*DE41*VLOOKUP('Données projet'!$B$13,Paramètres!$A$1:$I$89,3,0)*0.475*44/12</f>
        <v>0.49101730340386063</v>
      </c>
      <c r="DI41" s="22">
        <f t="shared" si="15"/>
        <v>3.6491843351196174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193.71455999999998</v>
      </c>
      <c r="DQ41" s="13">
        <f t="shared" si="43"/>
        <v>48.360261629719496</v>
      </c>
      <c r="DR41" s="20">
        <f t="shared" si="16"/>
        <v>421.61364767176138</v>
      </c>
      <c r="DS41" s="59">
        <f t="shared" si="17"/>
        <v>714.9469810050947</v>
      </c>
      <c r="DT41" s="59">
        <f ca="1">AVERAGE(OFFSET($DS$3,0,0,'Données projet'!$E$14+1,1))-AVERAGE(OFFSET($H$3,0,0,'Données projet'!$E$14+1,1))</f>
        <v>296.376932094327</v>
      </c>
      <c r="DU41" s="59">
        <f t="shared" si="44"/>
        <v>350.93658329210882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2.3037465180470504</v>
      </c>
      <c r="EB41" s="21">
        <f>EXP(-LN(2)/25)*EB40+(1-EXP(-LN(2)/25))/(LN(2)/25)*Calculateur!DW41*Calculateur!DY41*VLOOKUP('Données projet'!$B$14,Paramètres!$A$1:$I$89,3,0)*0.475*44/12</f>
        <v>13.597688974330616</v>
      </c>
      <c r="EC41" s="21">
        <f>EXP(-LN(2)/2)*EC40+(1-EXP(-LN(2)/2))/(LN(2)/2)*DW41*DZ41*VLOOKUP('Données projet'!$B$14,Paramètres!$A$1:$I$89,3,0)*0.475*44/12</f>
        <v>1.531899241597279</v>
      </c>
      <c r="ED41" s="22">
        <f t="shared" si="18"/>
        <v>17.433334733974945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12.1</v>
      </c>
      <c r="EJ41" s="12">
        <f>IF('Données projet'!$A$192&gt;35,EJ40+EI41-ER40,IF(A41&lt;'Données projet'!$A$192,$EG$205^A41,IF(A41='Données projet'!$A$192,'Données projet'!$B$192,EJ40+EI41-ER40)))</f>
        <v>238.79999999999995</v>
      </c>
      <c r="EK41" s="17">
        <f>EJ41*VLOOKUP('Données projet'!$B$15,Paramètres!$A$1:$I$89,3,0)*VLOOKUP('Données projet'!$B$15,Paramètres!$A$1:$I$89,5,0)</f>
        <v>156.46175999999997</v>
      </c>
      <c r="EL41" s="13">
        <f t="shared" si="45"/>
        <v>40.043419814502997</v>
      </c>
      <c r="EM41" s="20">
        <f t="shared" si="19"/>
        <v>342.2465215102593</v>
      </c>
      <c r="EN41" s="59">
        <f t="shared" si="20"/>
        <v>635.57985484359256</v>
      </c>
      <c r="EO41" s="59">
        <f ca="1">AVERAGE(OFFSET($EN$3,0,0,'Données projet'!$E$15+1,1))-AVERAGE(OFFSET($H$3,0,0,'Données projet'!$E$15+1,1))</f>
        <v>231.03244099494077</v>
      </c>
      <c r="EP41" s="59">
        <f t="shared" si="46"/>
        <v>280.29723026390741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1.8607183414995405</v>
      </c>
      <c r="EW41" s="21">
        <f>EXP(-LN(2)/25)*EW40+(1-EXP(-LN(2)/25))/(LN(2)/25)*Calculateur!ER41*Calculateur!ET41*VLOOKUP('Données projet'!$B$15,Paramètres!$A$1:$I$89,3,0)*0.475*44/12</f>
        <v>10.982748786959343</v>
      </c>
      <c r="EX41" s="21">
        <f>EXP(-LN(2)/2)*EX40+(1-EXP(-LN(2)/2))/(LN(2)/2)*ER41*EU41*VLOOKUP('Données projet'!$B$15,Paramètres!$A$1:$I$89,3,0)*0.475*44/12</f>
        <v>1.2373032335978016</v>
      </c>
      <c r="EY41" s="22">
        <f t="shared" si="21"/>
        <v>14.080770362056684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173.7216</v>
      </c>
      <c r="P42" s="13">
        <f t="shared" si="33"/>
        <v>43.922484755075111</v>
      </c>
      <c r="Q42" s="20">
        <f t="shared" si="53"/>
        <v>379.06344761508916</v>
      </c>
      <c r="R42" s="59">
        <f t="shared" si="0"/>
        <v>672.39678094842247</v>
      </c>
      <c r="S42" s="59">
        <f ca="1">AVERAGE(OFFSET($R$3,0,0,'Données projet'!$E$9+1,1))-AVERAGE(OFFSET($H$3,0,0,'Données projet'!$E$9+1,1))</f>
        <v>351.15781452544906</v>
      </c>
      <c r="T42" s="59">
        <f t="shared" si="34"/>
        <v>271.54361159160169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2.015340682008262</v>
      </c>
      <c r="AA42" s="21">
        <f>EXP(-LN(2)/25)*AA41+(1-EXP(-LN(2)/25))/(LN(2)/25)*Calculateur!V42*Calculateur!X42*VLOOKUP('Données projet'!$B$9,Paramètres!$A$1:$I$89,3,0)*0.475*44/12</f>
        <v>8.7911724564189324</v>
      </c>
      <c r="AB42" s="21">
        <f>EXP(-LN(2)/2)*AB41+(1-EXP(-LN(2)/2))/(LN(2)/2)*V42*Y42*VLOOKUP('Données projet'!$B$9,Paramètres!$A$1:$I$89,3,0)*0.475*44/12</f>
        <v>0.95253191188550967</v>
      </c>
      <c r="AC42" s="22">
        <f t="shared" si="3"/>
        <v>11.759045050312704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10.3</v>
      </c>
      <c r="AI42" s="13">
        <f>IF('Données projet'!$A$62&gt;35,AI41+AH42-AQ41,IF(A42&lt;'Données projet'!$A$62,$AF$205^A42,IF(A42='Données projet'!$A$62,'Données projet'!$B$62,AI41+AH42-AQ41)))</f>
        <v>180.70000000000005</v>
      </c>
      <c r="AJ42" s="13">
        <f>AI42*VLOOKUP('Données projet'!$B$10,Paramètres!$A$1:$I$89,3,0)*VLOOKUP('Données projet'!$B$10,Paramètres!$A$1:$I$89,5,0)</f>
        <v>155.04060000000007</v>
      </c>
      <c r="AK42" s="13">
        <f t="shared" si="35"/>
        <v>39.72186728187382</v>
      </c>
      <c r="AL42" s="20">
        <f t="shared" si="4"/>
        <v>339.21129718259698</v>
      </c>
      <c r="AM42" s="59">
        <f t="shared" si="5"/>
        <v>632.54463051593029</v>
      </c>
      <c r="AN42" s="59">
        <f ca="1">AVERAGE(OFFSET($AM$3,0,0,'Données projet'!$E$10+1,1))-AVERAGE(OFFSET($H$3,0,0,'Données projet'!$E$10+1,1))</f>
        <v>405.59933429804329</v>
      </c>
      <c r="AO42" s="59">
        <f t="shared" si="36"/>
        <v>208.64922573363776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3.4137692670473232</v>
      </c>
      <c r="AW42" s="21">
        <f>EXP(-LN(2)/2)*AW41+(1-EXP(-LN(2)/2))/(LN(2)/2)*AQ42*AT42*VLOOKUP('Données projet'!$B$10,Paramètres!$A$1:$I$89,3,0)*0.475*44/12</f>
        <v>0.31305068148236265</v>
      </c>
      <c r="AX42" s="21">
        <f t="shared" si="6"/>
        <v>3.7268199485296858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149.79999999999995</v>
      </c>
      <c r="BE42" s="13">
        <f>BD42*VLOOKUP('Données projet'!$B$11,Paramètres!$A$1:$I$89,3,0)*VLOOKUP('Données projet'!$B$11,Paramètres!$A$1:$I$89,5,0)</f>
        <v>144.88655999999997</v>
      </c>
      <c r="BF42" s="13">
        <f t="shared" si="37"/>
        <v>37.414202725902875</v>
      </c>
      <c r="BG42" s="20">
        <f t="shared" si="7"/>
        <v>317.50716174761413</v>
      </c>
      <c r="BH42" s="59">
        <f t="shared" si="8"/>
        <v>610.84049508094745</v>
      </c>
      <c r="BI42" s="59">
        <f ca="1">AVERAGE(OFFSET($BH$3,0,0,'Données projet'!$E$11+1,1))-AVERAGE(OFFSET($H$3,0,0,'Données projet'!$E$11+1,1))</f>
        <v>293.19327646293601</v>
      </c>
      <c r="BJ42" s="59">
        <f t="shared" si="38"/>
        <v>200.0769581869605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2.5869361148002628</v>
      </c>
      <c r="BR42" s="21">
        <f>EXP(-LN(2)/2)*BR41+(1-EXP(-LN(2)/2))/(LN(2)/2)*BL42*BO42*VLOOKUP('Données projet'!$B$11,Paramètres!$A$1:$I$89,3,0)*0.475*44/12</f>
        <v>0.29239746769105862</v>
      </c>
      <c r="BS42" s="22">
        <f t="shared" si="9"/>
        <v>2.8793335824913213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11.5</v>
      </c>
      <c r="BY42" s="12">
        <f>IF('Données projet'!$A$114&gt;35,BY41+BX42-CG41,IF(A42&lt;'Données projet'!$A$114,$BV$205^A42,IF(A42='Données projet'!$A$114,'Données projet'!$B$114,BY41+BX42-CG41)))</f>
        <v>258.50000000000006</v>
      </c>
      <c r="BZ42" s="13">
        <f>BY42*VLOOKUP('Données projet'!$B$12,Paramètres!$A$1:$I$89,3,0)*VLOOKUP('Données projet'!$B$12,Paramètres!$A$1:$I$89,5,0)</f>
        <v>201.63000000000005</v>
      </c>
      <c r="CA42" s="13">
        <f t="shared" si="39"/>
        <v>50.102222986612546</v>
      </c>
      <c r="CB42" s="20">
        <f t="shared" si="10"/>
        <v>438.43362170168365</v>
      </c>
      <c r="CC42" s="59">
        <f t="shared" si="11"/>
        <v>731.76695503501696</v>
      </c>
      <c r="CD42" s="59">
        <f ca="1">AVERAGE(OFFSET($CC$3,0,0,'Données projet'!$E$12+1,1))-AVERAGE(OFFSET($H$3,0,0,'Données projet'!$E$12+1,1))</f>
        <v>295.95249585728561</v>
      </c>
      <c r="CE42" s="59">
        <f t="shared" si="40"/>
        <v>306.85862495052709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1.2099489932007734</v>
      </c>
      <c r="CL42" s="21">
        <f>EXP(-LN(2)/25)*CL41+(1-EXP(-LN(2)/25))/(LN(2)/25)*Calculateur!CG42*Calculateur!CI42*VLOOKUP('Données projet'!$B$12,Paramètres!$A$1:$I$89,3,0)*0.475*44/12</f>
        <v>6.5221705021140215</v>
      </c>
      <c r="CM42" s="21">
        <f>EXP(-LN(2)/2)*CM41+(1-EXP(-LN(2)/2))/(LN(2)/2)*CG42*CJ42*VLOOKUP('Données projet'!$B$12,Paramètres!$A$1:$I$89,3,0)*0.475*44/12</f>
        <v>0.57766998318344431</v>
      </c>
      <c r="CN42" s="22">
        <f t="shared" si="12"/>
        <v>8.3097894784982387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10.3</v>
      </c>
      <c r="CT42" s="12">
        <f>IF('Données projet'!$A$140&gt;35,CT41+CS42-DB41,IF(A42&lt;'Données projet'!$A$140,$CQ$205^A42,IF(A42='Données projet'!$A$140,'Données projet'!$B$140,CT41+CS42-DB41)))</f>
        <v>180.70000000000005</v>
      </c>
      <c r="CU42" s="17">
        <f>CT42*VLOOKUP('Données projet'!$B$13,Paramètres!$A$1:$I$89,3,0)*VLOOKUP('Données projet'!$B$13,Paramètres!$A$1:$I$89,5,0)</f>
        <v>171.95412000000005</v>
      </c>
      <c r="CV42" s="13">
        <f t="shared" si="41"/>
        <v>43.527389912571806</v>
      </c>
      <c r="CW42" s="20">
        <f t="shared" si="13"/>
        <v>375.2969630977293</v>
      </c>
      <c r="CX42" s="59">
        <f t="shared" si="14"/>
        <v>668.63029643106256</v>
      </c>
      <c r="CY42" s="59">
        <f ca="1">AVERAGE(OFFSET($CX$3,0,0,'Données projet'!$E$13+1,1))-AVERAGE(OFFSET($H$3,0,0,'Données projet'!$E$13+1,1))</f>
        <v>461.10546083340631</v>
      </c>
      <c r="CZ42" s="59">
        <f t="shared" si="42"/>
        <v>233.41883071412587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3.0718067881527036</v>
      </c>
      <c r="DH42" s="21">
        <f>EXP(-LN(2)/2)*DH41+(1-EXP(-LN(2)/2))/(LN(2)/2)*DB42*DE42*VLOOKUP('Données projet'!$B$13,Paramètres!$A$1:$I$89,3,0)*0.475*44/12</f>
        <v>0.34720166491680232</v>
      </c>
      <c r="DI42" s="22">
        <f t="shared" si="15"/>
        <v>3.4190084530695057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203.53008</v>
      </c>
      <c r="DQ42" s="13">
        <f t="shared" si="43"/>
        <v>50.51918070276831</v>
      </c>
      <c r="DR42" s="20">
        <f t="shared" si="16"/>
        <v>442.46912905732142</v>
      </c>
      <c r="DS42" s="59">
        <f t="shared" si="17"/>
        <v>735.80246239065468</v>
      </c>
      <c r="DT42" s="59">
        <f ca="1">AVERAGE(OFFSET($DS$3,0,0,'Données projet'!$E$14+1,1))-AVERAGE(OFFSET($H$3,0,0,'Données projet'!$E$14+1,1))</f>
        <v>296.376932094327</v>
      </c>
      <c r="DU42" s="59">
        <f t="shared" si="44"/>
        <v>350.93658329210882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2.2585714539747772</v>
      </c>
      <c r="EB42" s="21">
        <f>EXP(-LN(2)/25)*EB41+(1-EXP(-LN(2)/25))/(LN(2)/25)*Calculateur!DW42*Calculateur!DY42*VLOOKUP('Données projet'!$B$14,Paramètres!$A$1:$I$89,3,0)*0.475*44/12</f>
        <v>13.22585945425616</v>
      </c>
      <c r="EC42" s="21">
        <f>EXP(-LN(2)/2)*EC41+(1-EXP(-LN(2)/2))/(LN(2)/2)*DW42*DZ42*VLOOKUP('Données projet'!$B$14,Paramètres!$A$1:$I$89,3,0)*0.475*44/12</f>
        <v>1.0832163418279652</v>
      </c>
      <c r="ED42" s="22">
        <f t="shared" si="18"/>
        <v>16.567647250058904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12.1</v>
      </c>
      <c r="EJ42" s="12">
        <f>IF('Données projet'!$A$192&gt;35,EJ41+EI42-ER41,IF(A42&lt;'Données projet'!$A$192,$EG$205^A42,IF(A42='Données projet'!$A$192,'Données projet'!$B$192,EJ41+EI42-ER41)))</f>
        <v>250.89999999999995</v>
      </c>
      <c r="EK42" s="17">
        <f>EJ42*VLOOKUP('Données projet'!$B$15,Paramètres!$A$1:$I$89,3,0)*VLOOKUP('Données projet'!$B$15,Paramètres!$A$1:$I$89,5,0)</f>
        <v>164.38967999999997</v>
      </c>
      <c r="EL42" s="13">
        <f t="shared" si="45"/>
        <v>41.831054948687296</v>
      </c>
      <c r="EM42" s="20">
        <f t="shared" si="19"/>
        <v>359.1677800356303</v>
      </c>
      <c r="EN42" s="59">
        <f t="shared" si="20"/>
        <v>652.50111336896362</v>
      </c>
      <c r="EO42" s="59">
        <f ca="1">AVERAGE(OFFSET($EN$3,0,0,'Données projet'!$E$15+1,1))-AVERAGE(OFFSET($H$3,0,0,'Données projet'!$E$15+1,1))</f>
        <v>231.03244099494077</v>
      </c>
      <c r="EP42" s="59">
        <f t="shared" si="46"/>
        <v>280.29723026390741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1.8242307897488581</v>
      </c>
      <c r="EW42" s="21">
        <f>EXP(-LN(2)/25)*EW41+(1-EXP(-LN(2)/25))/(LN(2)/25)*Calculateur!ER42*Calculateur!ET42*VLOOKUP('Données projet'!$B$15,Paramètres!$A$1:$I$89,3,0)*0.475*44/12</f>
        <v>10.682424943822282</v>
      </c>
      <c r="EX42" s="21">
        <f>EXP(-LN(2)/2)*EX41+(1-EXP(-LN(2)/2))/(LN(2)/2)*ER42*EU42*VLOOKUP('Données projet'!$B$15,Paramètres!$A$1:$I$89,3,0)*0.475*44/12</f>
        <v>0.8749055068610484</v>
      </c>
      <c r="EY42" s="22">
        <f t="shared" si="21"/>
        <v>13.381561240432189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183.67439999999999</v>
      </c>
      <c r="P43" s="13">
        <f t="shared" si="33"/>
        <v>46.138708549418673</v>
      </c>
      <c r="Q43" s="20">
        <f t="shared" si="53"/>
        <v>400.25783072357081</v>
      </c>
      <c r="R43" s="59">
        <f t="shared" si="0"/>
        <v>693.59116405690406</v>
      </c>
      <c r="S43" s="59">
        <f ca="1">AVERAGE(OFFSET($R$3,0,0,'Données projet'!$E$9+1,1))-AVERAGE(OFFSET($H$3,0,0,'Données projet'!$E$9+1,1))</f>
        <v>351.15781452544906</v>
      </c>
      <c r="T43" s="59">
        <f t="shared" si="34"/>
        <v>271.54361159160169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1.975821080470519</v>
      </c>
      <c r="AA43" s="21">
        <f>EXP(-LN(2)/25)*AA42+(1-EXP(-LN(2)/25))/(LN(2)/25)*Calculateur!V43*Calculateur!X43*VLOOKUP('Données projet'!$B$9,Paramètres!$A$1:$I$89,3,0)*0.475*44/12</f>
        <v>8.5507773832904892</v>
      </c>
      <c r="AB43" s="21">
        <f>EXP(-LN(2)/2)*AB42+(1-EXP(-LN(2)/2))/(LN(2)/2)*V43*Y43*VLOOKUP('Données projet'!$B$9,Paramètres!$A$1:$I$89,3,0)*0.475*44/12</f>
        <v>0.67354177419083094</v>
      </c>
      <c r="AC43" s="22">
        <f t="shared" si="3"/>
        <v>11.200140237951839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191</v>
      </c>
      <c r="AG43" s="12">
        <f>VLOOKUP(A43,'Données projet'!$A$61:$I$81,9,0)</f>
        <v>10.3</v>
      </c>
      <c r="AH43" s="12">
        <f t="array" ref="AH43">INDEX(AG:AG,MIN(IF(ISNUMBER(AG43:AG239),ROW(AG43:AG239),"")))</f>
        <v>10.3</v>
      </c>
      <c r="AI43" s="13">
        <f>IF('Données projet'!$A$62&gt;35,AI42+AH43-AQ42,IF(A43&lt;'Données projet'!$A$62,$AF$205^A43,IF(A43='Données projet'!$A$62,'Données projet'!$B$62,AI42+AH43-AQ42)))</f>
        <v>191.00000000000006</v>
      </c>
      <c r="AJ43" s="13">
        <f>AI43*VLOOKUP('Données projet'!$B$10,Paramètres!$A$1:$I$89,3,0)*VLOOKUP('Données projet'!$B$10,Paramètres!$A$1:$I$89,5,0)</f>
        <v>163.87800000000007</v>
      </c>
      <c r="AK43" s="13">
        <f t="shared" si="35"/>
        <v>41.715986257165973</v>
      </c>
      <c r="AL43" s="20">
        <f t="shared" si="4"/>
        <v>358.07619273123083</v>
      </c>
      <c r="AM43" s="59">
        <f t="shared" si="5"/>
        <v>651.40952606456415</v>
      </c>
      <c r="AN43" s="59">
        <f ca="1">AVERAGE(OFFSET($AM$3,0,0,'Données projet'!$E$10+1,1))-AVERAGE(OFFSET($H$3,0,0,'Données projet'!$E$10+1,1))</f>
        <v>405.59933429804329</v>
      </c>
      <c r="AO43" s="59">
        <f t="shared" si="36"/>
        <v>208.64922573363776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3.3204195669175909</v>
      </c>
      <c r="AW43" s="21">
        <f>EXP(-LN(2)/2)*AW42+(1-EXP(-LN(2)/2))/(LN(2)/2)*AQ43*AT43*VLOOKUP('Données projet'!$B$10,Paramètres!$A$1:$I$89,3,0)*0.475*44/12</f>
        <v>0.22136025973124859</v>
      </c>
      <c r="AX43" s="21">
        <f t="shared" si="6"/>
        <v>3.5417798266488396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157.99999999999994</v>
      </c>
      <c r="BE43" s="13">
        <f>BD43*VLOOKUP('Données projet'!$B$11,Paramètres!$A$1:$I$89,3,0)*VLOOKUP('Données projet'!$B$11,Paramètres!$A$1:$I$89,5,0)</f>
        <v>152.81759999999994</v>
      </c>
      <c r="BF43" s="13">
        <f t="shared" si="37"/>
        <v>39.218200171484192</v>
      </c>
      <c r="BG43" s="20">
        <f t="shared" si="7"/>
        <v>334.46235196533485</v>
      </c>
      <c r="BH43" s="59">
        <f t="shared" si="8"/>
        <v>627.7956852986681</v>
      </c>
      <c r="BI43" s="59">
        <f ca="1">AVERAGE(OFFSET($BH$3,0,0,'Données projet'!$E$11+1,1))-AVERAGE(OFFSET($H$3,0,0,'Données projet'!$E$11+1,1))</f>
        <v>293.19327646293601</v>
      </c>
      <c r="BJ43" s="59">
        <f t="shared" si="38"/>
        <v>200.0769581869605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2.516196210699992</v>
      </c>
      <c r="BR43" s="21">
        <f>EXP(-LN(2)/2)*BR42+(1-EXP(-LN(2)/2))/(LN(2)/2)*BL43*BO43*VLOOKUP('Données projet'!$B$11,Paramètres!$A$1:$I$89,3,0)*0.475*44/12</f>
        <v>0.20675623220612199</v>
      </c>
      <c r="BS43" s="22">
        <f t="shared" si="9"/>
        <v>2.7229524429061138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270</v>
      </c>
      <c r="BW43" s="12">
        <f>VLOOKUP(A43,'Données projet'!$A$113:$I$133,9,0)</f>
        <v>11.5</v>
      </c>
      <c r="BX43" s="12">
        <f t="array" ref="BX43">INDEX(BW:BW,MIN(IF(ISNUMBER(BW43:BW239),ROW(BW43:BW239),"")))</f>
        <v>11.5</v>
      </c>
      <c r="BY43" s="12">
        <f>IF('Données projet'!$A$114&gt;35,BY42+BX43-CG42,IF(A43&lt;'Données projet'!$A$114,$BV$205^A43,IF(A43='Données projet'!$A$114,'Données projet'!$B$114,BY42+BX43-CG42)))</f>
        <v>270.00000000000006</v>
      </c>
      <c r="BZ43" s="13">
        <f>BY43*VLOOKUP('Données projet'!$B$12,Paramètres!$A$1:$I$89,3,0)*VLOOKUP('Données projet'!$B$12,Paramètres!$A$1:$I$89,5,0)</f>
        <v>210.60000000000005</v>
      </c>
      <c r="CA43" s="13">
        <f t="shared" si="39"/>
        <v>52.066679014660011</v>
      </c>
      <c r="CB43" s="20">
        <f t="shared" si="10"/>
        <v>457.47779928386626</v>
      </c>
      <c r="CC43" s="59">
        <f t="shared" si="11"/>
        <v>750.81113261719952</v>
      </c>
      <c r="CD43" s="59">
        <f ca="1">AVERAGE(OFFSET($CC$3,0,0,'Données projet'!$E$12+1,1))-AVERAGE(OFFSET($H$3,0,0,'Données projet'!$E$12+1,1))</f>
        <v>295.95249585728561</v>
      </c>
      <c r="CE43" s="59">
        <f t="shared" si="40"/>
        <v>306.85862495052709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61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1.186222631440121</v>
      </c>
      <c r="CL43" s="21">
        <f>EXP(-LN(2)/25)*CL42+(1-EXP(-LN(2)/25))/(LN(2)/25)*Calculateur!CG43*Calculateur!CI43*VLOOKUP('Données projet'!$B$12,Paramètres!$A$1:$I$89,3,0)*0.475*44/12</f>
        <v>6.3438214067476739</v>
      </c>
      <c r="CM43" s="21">
        <f>EXP(-LN(2)/2)*CM42+(1-EXP(-LN(2)/2))/(LN(2)/2)*CG43*CJ43*VLOOKUP('Données projet'!$B$12,Paramètres!$A$1:$I$89,3,0)*0.475*44/12</f>
        <v>0.40847436239693236</v>
      </c>
      <c r="CN43" s="22">
        <f t="shared" si="12"/>
        <v>7.9385184005847265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191</v>
      </c>
      <c r="CR43" s="12">
        <f>VLOOKUP(A43,'Données projet'!$A$139:$I$159,9,0)</f>
        <v>10.3</v>
      </c>
      <c r="CS43" s="12">
        <f t="array" ref="CS43">INDEX(CR:CR,MIN(IF(ISNUMBER(CR43:CR239),ROW(CR43:CR239),"")))</f>
        <v>10.3</v>
      </c>
      <c r="CT43" s="12">
        <f>IF('Données projet'!$A$140&gt;35,CT42+CS43-DB42,IF(A43&lt;'Données projet'!$A$140,$CQ$205^A43,IF(A43='Données projet'!$A$140,'Données projet'!$B$140,CT42+CS43-DB42)))</f>
        <v>191.00000000000006</v>
      </c>
      <c r="CU43" s="17">
        <f>CT43*VLOOKUP('Données projet'!$B$13,Paramètres!$A$1:$I$89,3,0)*VLOOKUP('Données projet'!$B$13,Paramètres!$A$1:$I$89,5,0)</f>
        <v>181.75560000000007</v>
      </c>
      <c r="CV43" s="13">
        <f t="shared" si="41"/>
        <v>45.712553906843745</v>
      </c>
      <c r="CW43" s="20">
        <f t="shared" si="13"/>
        <v>396.17370138775294</v>
      </c>
      <c r="CX43" s="59">
        <f t="shared" si="14"/>
        <v>689.50703472108626</v>
      </c>
      <c r="CY43" s="59">
        <f ca="1">AVERAGE(OFFSET($CX$3,0,0,'Données projet'!$E$13+1,1))-AVERAGE(OFFSET($H$3,0,0,'Données projet'!$E$13+1,1))</f>
        <v>461.10546083340631</v>
      </c>
      <c r="CZ43" s="59">
        <f t="shared" si="42"/>
        <v>233.41883071412587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2.9878080699913698</v>
      </c>
      <c r="DH43" s="21">
        <f>EXP(-LN(2)/2)*DH42+(1-EXP(-LN(2)/2))/(LN(2)/2)*DB43*DE43*VLOOKUP('Données projet'!$B$13,Paramètres!$A$1:$I$89,3,0)*0.475*44/12</f>
        <v>0.24550865170193034</v>
      </c>
      <c r="DI43" s="22">
        <f t="shared" si="15"/>
        <v>3.2333167216933001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213.34559999999996</v>
      </c>
      <c r="DQ43" s="13">
        <f t="shared" si="43"/>
        <v>52.666009577179437</v>
      </c>
      <c r="DR43" s="20">
        <f t="shared" si="16"/>
        <v>463.30355334692075</v>
      </c>
      <c r="DS43" s="59">
        <f t="shared" si="17"/>
        <v>756.63688668025407</v>
      </c>
      <c r="DT43" s="59">
        <f ca="1">AVERAGE(OFFSET($DS$3,0,0,'Données projet'!$E$14+1,1))-AVERAGE(OFFSET($H$3,0,0,'Données projet'!$E$14+1,1))</f>
        <v>296.376932094327</v>
      </c>
      <c r="DU43" s="59">
        <f t="shared" si="44"/>
        <v>350.93658329210882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2.2142822453548927</v>
      </c>
      <c r="EB43" s="21">
        <f>EXP(-LN(2)/25)*EB42+(1-EXP(-LN(2)/25))/(LN(2)/25)*Calculateur!DW43*Calculateur!DY43*VLOOKUP('Données projet'!$B$14,Paramètres!$A$1:$I$89,3,0)*0.475*44/12</f>
        <v>12.864197631961805</v>
      </c>
      <c r="EC43" s="21">
        <f>EXP(-LN(2)/2)*EC42+(1-EXP(-LN(2)/2))/(LN(2)/2)*DW43*DZ43*VLOOKUP('Données projet'!$B$14,Paramètres!$A$1:$I$89,3,0)*0.475*44/12</f>
        <v>0.76594962079863949</v>
      </c>
      <c r="ED43" s="22">
        <f t="shared" si="18"/>
        <v>15.844429498115337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12.1</v>
      </c>
      <c r="EI43" s="12">
        <f t="array" ref="EI43">INDEX(EH:EH,MIN(IF(ISNUMBER(EH43:EH239),ROW(EH43:EH239),"")))</f>
        <v>12.1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172.31759999999994</v>
      </c>
      <c r="EL43" s="13">
        <f t="shared" si="45"/>
        <v>43.608679117600254</v>
      </c>
      <c r="EM43" s="20">
        <f t="shared" si="19"/>
        <v>376.07160279648701</v>
      </c>
      <c r="EN43" s="59">
        <f t="shared" si="20"/>
        <v>669.40493612982027</v>
      </c>
      <c r="EO43" s="59">
        <f ca="1">AVERAGE(OFFSET($EN$3,0,0,'Données projet'!$E$15+1,1))-AVERAGE(OFFSET($H$3,0,0,'Données projet'!$E$15+1,1))</f>
        <v>231.03244099494077</v>
      </c>
      <c r="EP43" s="59">
        <f t="shared" si="46"/>
        <v>280.29723026390741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1.7884587366327975</v>
      </c>
      <c r="EW43" s="21">
        <f>EXP(-LN(2)/25)*EW42+(1-EXP(-LN(2)/25))/(LN(2)/25)*Calculateur!ER43*Calculateur!ET43*VLOOKUP('Données projet'!$B$15,Paramètres!$A$1:$I$89,3,0)*0.475*44/12</f>
        <v>10.390313471969149</v>
      </c>
      <c r="EX43" s="21">
        <f>EXP(-LN(2)/2)*EX42+(1-EXP(-LN(2)/2))/(LN(2)/2)*ER43*EU43*VLOOKUP('Données projet'!$B$15,Paramètres!$A$1:$I$89,3,0)*0.475*44/12</f>
        <v>0.61865161679890079</v>
      </c>
      <c r="EY43" s="22">
        <f t="shared" si="21"/>
        <v>12.797423825400848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143.13935999999998</v>
      </c>
      <c r="P44" s="13">
        <f t="shared" si="33"/>
        <v>37.015257937854066</v>
      </c>
      <c r="Q44" s="20">
        <f t="shared" si="53"/>
        <v>313.76929290842912</v>
      </c>
      <c r="R44" s="59">
        <f t="shared" si="0"/>
        <v>607.10262624176244</v>
      </c>
      <c r="S44" s="59">
        <f ca="1">AVERAGE(OFFSET($R$3,0,0,'Données projet'!$E$9+1,1))-AVERAGE(OFFSET($H$3,0,0,'Données projet'!$E$9+1,1))</f>
        <v>351.15781452544906</v>
      </c>
      <c r="T44" s="59">
        <f t="shared" si="34"/>
        <v>271.54361159160169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1.9370764342143543</v>
      </c>
      <c r="AA44" s="21">
        <f>EXP(-LN(2)/25)*AA43+(1-EXP(-LN(2)/25))/(LN(2)/25)*Calculateur!V44*Calculateur!X44*VLOOKUP('Données projet'!$B$9,Paramètres!$A$1:$I$89,3,0)*0.475*44/12</f>
        <v>8.3169559260785704</v>
      </c>
      <c r="AB44" s="21">
        <f>EXP(-LN(2)/2)*AB43+(1-EXP(-LN(2)/2))/(LN(2)/2)*V44*Y44*VLOOKUP('Données projet'!$B$9,Paramètres!$A$1:$I$89,3,0)*0.475*44/12</f>
        <v>0.47626595594275495</v>
      </c>
      <c r="AC44" s="22">
        <f t="shared" si="3"/>
        <v>10.730298316235681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146.00000000000006</v>
      </c>
      <c r="AJ44" s="13">
        <f>AI44*VLOOKUP('Données projet'!$B$10,Paramètres!$A$1:$I$89,3,0)*VLOOKUP('Données projet'!$B$10,Paramètres!$A$1:$I$89,5,0)</f>
        <v>125.26800000000007</v>
      </c>
      <c r="AK44" s="13">
        <f t="shared" si="35"/>
        <v>32.9005846700787</v>
      </c>
      <c r="AL44" s="20">
        <f t="shared" si="4"/>
        <v>275.47695163372049</v>
      </c>
      <c r="AM44" s="59">
        <f t="shared" si="5"/>
        <v>568.8102849670538</v>
      </c>
      <c r="AN44" s="59">
        <f ca="1">AVERAGE(OFFSET($AM$3,0,0,'Données projet'!$E$10+1,1))-AVERAGE(OFFSET($H$3,0,0,'Données projet'!$E$10+1,1))</f>
        <v>405.59933429804329</v>
      </c>
      <c r="AO44" s="59">
        <f t="shared" si="36"/>
        <v>208.64922573363776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3.2296225192469534</v>
      </c>
      <c r="AW44" s="21">
        <f>EXP(-LN(2)/2)*AW43+(1-EXP(-LN(2)/2))/(LN(2)/2)*AQ44*AT44*VLOOKUP('Données projet'!$B$10,Paramètres!$A$1:$I$89,3,0)*0.475*44/12</f>
        <v>0.15652534074118132</v>
      </c>
      <c r="AX44" s="21">
        <f t="shared" si="6"/>
        <v>3.3861478599881347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8.3000000000000007</v>
      </c>
      <c r="BD44" s="12">
        <f>IF('Données projet'!$A$88&gt;35,BD43+BC44-BL43,IF(A44&lt;'Données projet'!$A$88,$BA$205^A44,IF(A44='Données projet'!$A$88,'Données projet'!$B$88,BD43+BC44-BL43)))</f>
        <v>124.29999999999995</v>
      </c>
      <c r="BE44" s="13">
        <f>BD44*VLOOKUP('Données projet'!$B$11,Paramètres!$A$1:$I$89,3,0)*VLOOKUP('Données projet'!$B$11,Paramètres!$A$1:$I$89,5,0)</f>
        <v>120.22295999999996</v>
      </c>
      <c r="BF44" s="13">
        <f t="shared" si="37"/>
        <v>31.726995433347049</v>
      </c>
      <c r="BG44" s="20">
        <f t="shared" si="7"/>
        <v>264.64617237974602</v>
      </c>
      <c r="BH44" s="59">
        <f t="shared" si="8"/>
        <v>557.97950571307933</v>
      </c>
      <c r="BI44" s="59">
        <f ca="1">AVERAGE(OFFSET($BH$3,0,0,'Données projet'!$E$11+1,1))-AVERAGE(OFFSET($H$3,0,0,'Données projet'!$E$11+1,1))</f>
        <v>293.19327646293601</v>
      </c>
      <c r="BJ44" s="59">
        <f t="shared" si="38"/>
        <v>200.0769581869605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2.4473906929973928</v>
      </c>
      <c r="BR44" s="21">
        <f>EXP(-LN(2)/2)*BR43+(1-EXP(-LN(2)/2))/(LN(2)/2)*BL44*BO44*VLOOKUP('Données projet'!$B$11,Paramètres!$A$1:$I$89,3,0)*0.475*44/12</f>
        <v>0.14619873384552931</v>
      </c>
      <c r="BS44" s="22">
        <f t="shared" si="9"/>
        <v>2.593589426842922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</v>
      </c>
      <c r="BY44" s="12">
        <f>IF('Données projet'!$A$114&gt;35,BY43+BX44-CG43,IF(A44&lt;'Données projet'!$A$114,$BV$205^A44,IF(A44='Données projet'!$A$114,'Données projet'!$B$114,BY43+BX44-CG43)))</f>
        <v>220.00000000000006</v>
      </c>
      <c r="BZ44" s="13">
        <f>BY44*VLOOKUP('Données projet'!$B$12,Paramètres!$A$1:$I$89,3,0)*VLOOKUP('Données projet'!$B$12,Paramètres!$A$1:$I$89,5,0)</f>
        <v>171.60000000000005</v>
      </c>
      <c r="CA44" s="13">
        <f t="shared" si="39"/>
        <v>43.44817475464852</v>
      </c>
      <c r="CB44" s="20">
        <f t="shared" si="10"/>
        <v>374.54223769767958</v>
      </c>
      <c r="CC44" s="59">
        <f t="shared" si="11"/>
        <v>667.8755710310129</v>
      </c>
      <c r="CD44" s="59">
        <f ca="1">AVERAGE(OFFSET($CC$3,0,0,'Données projet'!$E$12+1,1))-AVERAGE(OFFSET($H$3,0,0,'Données projet'!$E$12+1,1))</f>
        <v>295.95249585728561</v>
      </c>
      <c r="CE44" s="59">
        <f t="shared" si="40"/>
        <v>306.85862495052709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1.1629615291619433</v>
      </c>
      <c r="CL44" s="21">
        <f>EXP(-LN(2)/25)*CL43+(1-EXP(-LN(2)/25))/(LN(2)/25)*Calculateur!CG44*Calculateur!CI44*VLOOKUP('Données projet'!$B$12,Paramètres!$A$1:$I$89,3,0)*0.475*44/12</f>
        <v>6.1703492767730896</v>
      </c>
      <c r="CM44" s="21">
        <f>EXP(-LN(2)/2)*CM43+(1-EXP(-LN(2)/2))/(LN(2)/2)*CG44*CJ44*VLOOKUP('Données projet'!$B$12,Paramètres!$A$1:$I$89,3,0)*0.475*44/12</f>
        <v>0.28883499159172216</v>
      </c>
      <c r="CN44" s="22">
        <f t="shared" si="12"/>
        <v>7.6221457975267555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</v>
      </c>
      <c r="CT44" s="12">
        <f>IF('Données projet'!$A$140&gt;35,CT43+CS44-DB43,IF(A44&lt;'Données projet'!$A$140,$CQ$205^A44,IF(A44='Données projet'!$A$140,'Données projet'!$B$140,CT43+CS44-DB43)))</f>
        <v>146.00000000000006</v>
      </c>
      <c r="CU44" s="17">
        <f>CT44*VLOOKUP('Données projet'!$B$13,Paramètres!$A$1:$I$89,3,0)*VLOOKUP('Données projet'!$B$13,Paramètres!$A$1:$I$89,5,0)</f>
        <v>138.93360000000004</v>
      </c>
      <c r="CV44" s="13">
        <f t="shared" si="41"/>
        <v>36.052599620350527</v>
      </c>
      <c r="CW44" s="20">
        <f t="shared" si="13"/>
        <v>304.76763100544389</v>
      </c>
      <c r="CX44" s="59">
        <f t="shared" si="14"/>
        <v>598.1009643387772</v>
      </c>
      <c r="CY44" s="59">
        <f ca="1">AVERAGE(OFFSET($CX$3,0,0,'Données projet'!$E$13+1,1))-AVERAGE(OFFSET($H$3,0,0,'Données projet'!$E$13+1,1))</f>
        <v>461.10546083340631</v>
      </c>
      <c r="CZ44" s="59">
        <f t="shared" si="42"/>
        <v>233.41883071412587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2.9061063011954582</v>
      </c>
      <c r="DH44" s="21">
        <f>EXP(-LN(2)/2)*DH43+(1-EXP(-LN(2)/2))/(LN(2)/2)*DB44*DE44*VLOOKUP('Données projet'!$B$13,Paramètres!$A$1:$I$89,3,0)*0.475*44/12</f>
        <v>0.17360083245840119</v>
      </c>
      <c r="DI44" s="22">
        <f t="shared" si="15"/>
        <v>3.0797071336538595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164.02463999999995</v>
      </c>
      <c r="DQ44" s="13">
        <f t="shared" si="43"/>
        <v>41.748967529794783</v>
      </c>
      <c r="DR44" s="20">
        <f t="shared" si="16"/>
        <v>358.38903311439248</v>
      </c>
      <c r="DS44" s="59">
        <f t="shared" si="17"/>
        <v>651.72236644772579</v>
      </c>
      <c r="DT44" s="59">
        <f ca="1">AVERAGE(OFFSET($DS$3,0,0,'Données projet'!$E$14+1,1))-AVERAGE(OFFSET($H$3,0,0,'Données projet'!$E$14+1,1))</f>
        <v>296.376932094327</v>
      </c>
      <c r="DU44" s="59">
        <f t="shared" si="44"/>
        <v>350.93658329210882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2.1708615211022941</v>
      </c>
      <c r="EB44" s="21">
        <f>EXP(-LN(2)/25)*EB43+(1-EXP(-LN(2)/25))/(LN(2)/25)*Calculateur!DW44*Calculateur!DY44*VLOOKUP('Données projet'!$B$14,Paramètres!$A$1:$I$89,3,0)*0.475*44/12</f>
        <v>12.512425471217057</v>
      </c>
      <c r="EC44" s="21">
        <f>EXP(-LN(2)/2)*EC43+(1-EXP(-LN(2)/2))/(LN(2)/2)*DW44*DZ44*VLOOKUP('Données projet'!$B$14,Paramètres!$A$1:$I$89,3,0)*0.475*44/12</f>
        <v>0.54160817091398261</v>
      </c>
      <c r="ED44" s="22">
        <f t="shared" si="18"/>
        <v>15.224895163233334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9.1999999999999993</v>
      </c>
      <c r="EJ44" s="12">
        <f>IF('Données projet'!$A$192&gt;35,EJ43+EI44-ER43,IF(A44&lt;'Données projet'!$A$192,$EG$205^A44,IF(A44='Données projet'!$A$192,'Données projet'!$B$192,EJ43+EI44-ER43)))</f>
        <v>202.19999999999993</v>
      </c>
      <c r="EK44" s="17">
        <f>EJ44*VLOOKUP('Données projet'!$B$15,Paramètres!$A$1:$I$89,3,0)*VLOOKUP('Données projet'!$B$15,Paramètres!$A$1:$I$89,5,0)</f>
        <v>132.48143999999994</v>
      </c>
      <c r="EL44" s="13">
        <f t="shared" si="45"/>
        <v>34.569114749996508</v>
      </c>
      <c r="EM44" s="20">
        <f t="shared" si="19"/>
        <v>290.94638285624382</v>
      </c>
      <c r="EN44" s="59">
        <f t="shared" si="20"/>
        <v>584.27971618957713</v>
      </c>
      <c r="EO44" s="59">
        <f ca="1">AVERAGE(OFFSET($EN$3,0,0,'Données projet'!$E$15+1,1))-AVERAGE(OFFSET($H$3,0,0,'Données projet'!$E$15+1,1))</f>
        <v>231.03244099494077</v>
      </c>
      <c r="EP44" s="59">
        <f t="shared" si="46"/>
        <v>280.29723026390741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1.7533881516595451</v>
      </c>
      <c r="EW44" s="21">
        <f>EXP(-LN(2)/25)*EW43+(1-EXP(-LN(2)/25))/(LN(2)/25)*Calculateur!ER44*Calculateur!ET44*VLOOKUP('Données projet'!$B$15,Paramètres!$A$1:$I$89,3,0)*0.475*44/12</f>
        <v>10.106189803675315</v>
      </c>
      <c r="EX44" s="21">
        <f>EXP(-LN(2)/2)*EX43+(1-EXP(-LN(2)/2))/(LN(2)/2)*ER44*EU44*VLOOKUP('Données projet'!$B$15,Paramètres!$A$1:$I$89,3,0)*0.475*44/12</f>
        <v>0.4374527534305242</v>
      </c>
      <c r="EY44" s="22">
        <f t="shared" si="21"/>
        <v>12.297030708765384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153.27311999999998</v>
      </c>
      <c r="P45" s="13">
        <f t="shared" si="33"/>
        <v>39.321476829336504</v>
      </c>
      <c r="Q45" s="20">
        <f t="shared" si="53"/>
        <v>335.43558947776097</v>
      </c>
      <c r="R45" s="59">
        <f t="shared" si="0"/>
        <v>628.76892281109428</v>
      </c>
      <c r="S45" s="59">
        <f ca="1">AVERAGE(OFFSET($R$3,0,0,'Données projet'!$E$9+1,1))-AVERAGE(OFFSET($H$3,0,0,'Données projet'!$E$9+1,1))</f>
        <v>351.15781452544906</v>
      </c>
      <c r="T45" s="59">
        <f t="shared" si="34"/>
        <v>271.54361159160169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1.8990915468393723</v>
      </c>
      <c r="AA45" s="21">
        <f>EXP(-LN(2)/25)*AA44+(1-EXP(-LN(2)/25))/(LN(2)/25)*Calculateur!V45*Calculateur!X45*VLOOKUP('Données projet'!$B$9,Paramètres!$A$1:$I$89,3,0)*0.475*44/12</f>
        <v>8.089528328910248</v>
      </c>
      <c r="AB45" s="21">
        <f>EXP(-LN(2)/2)*AB44+(1-EXP(-LN(2)/2))/(LN(2)/2)*V45*Y45*VLOOKUP('Données projet'!$B$9,Paramètres!$A$1:$I$89,3,0)*0.475*44/12</f>
        <v>0.33677088709541553</v>
      </c>
      <c r="AC45" s="22">
        <f t="shared" si="3"/>
        <v>10.325390762845036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157.00000000000006</v>
      </c>
      <c r="AJ45" s="13">
        <f>AI45*VLOOKUP('Données projet'!$B$10,Paramètres!$A$1:$I$89,3,0)*VLOOKUP('Données projet'!$B$10,Paramètres!$A$1:$I$89,5,0)</f>
        <v>134.70600000000007</v>
      </c>
      <c r="AK45" s="13">
        <f t="shared" si="35"/>
        <v>35.081517028838533</v>
      </c>
      <c r="AL45" s="20">
        <f t="shared" si="4"/>
        <v>295.71325882522723</v>
      </c>
      <c r="AM45" s="59">
        <f t="shared" si="5"/>
        <v>589.04659215856054</v>
      </c>
      <c r="AN45" s="59">
        <f ca="1">AVERAGE(OFFSET($AM$3,0,0,'Données projet'!$E$10+1,1))-AVERAGE(OFFSET($H$3,0,0,'Données projet'!$E$10+1,1))</f>
        <v>405.59933429804329</v>
      </c>
      <c r="AO45" s="59">
        <f t="shared" si="36"/>
        <v>208.64922573363776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3.1413083216196784</v>
      </c>
      <c r="AW45" s="21">
        <f>EXP(-LN(2)/2)*AW44+(1-EXP(-LN(2)/2))/(LN(2)/2)*AQ45*AT45*VLOOKUP('Données projet'!$B$10,Paramètres!$A$1:$I$89,3,0)*0.475*44/12</f>
        <v>0.1106801298656243</v>
      </c>
      <c r="AX45" s="21">
        <f t="shared" si="6"/>
        <v>3.2519884514853028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8.3000000000000007</v>
      </c>
      <c r="BD45" s="12">
        <f>IF('Données projet'!$A$88&gt;35,BD44+BC45-BL44,IF(A45&lt;'Données projet'!$A$88,$BA$205^A45,IF(A45='Données projet'!$A$88,'Données projet'!$B$88,BD44+BC45-BL44)))</f>
        <v>132.59999999999997</v>
      </c>
      <c r="BE45" s="13">
        <f>BD45*VLOOKUP('Données projet'!$B$11,Paramètres!$A$1:$I$89,3,0)*VLOOKUP('Données projet'!$B$11,Paramètres!$A$1:$I$89,5,0)</f>
        <v>128.25071999999997</v>
      </c>
      <c r="BF45" s="13">
        <f t="shared" si="37"/>
        <v>33.591833937449593</v>
      </c>
      <c r="BG45" s="20">
        <f t="shared" si="7"/>
        <v>281.875781441058</v>
      </c>
      <c r="BH45" s="59">
        <f t="shared" si="8"/>
        <v>575.20911477439131</v>
      </c>
      <c r="BI45" s="59">
        <f ca="1">AVERAGE(OFFSET($BH$3,0,0,'Données projet'!$E$11+1,1))-AVERAGE(OFFSET($H$3,0,0,'Données projet'!$E$11+1,1))</f>
        <v>293.19327646293601</v>
      </c>
      <c r="BJ45" s="59">
        <f t="shared" si="38"/>
        <v>200.0769581869605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2.380466665794696</v>
      </c>
      <c r="BR45" s="21">
        <f>EXP(-LN(2)/2)*BR44+(1-EXP(-LN(2)/2))/(LN(2)/2)*BL45*BO45*VLOOKUP('Données projet'!$B$11,Paramètres!$A$1:$I$89,3,0)*0.475*44/12</f>
        <v>0.103378116103061</v>
      </c>
      <c r="BS45" s="22">
        <f t="shared" si="9"/>
        <v>2.4838447818977571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</v>
      </c>
      <c r="BY45" s="12">
        <f>IF('Données projet'!$A$114&gt;35,BY44+BX45-CG44,IF(A45&lt;'Données projet'!$A$114,$BV$205^A45,IF(A45='Données projet'!$A$114,'Données projet'!$B$114,BY44+BX45-CG44)))</f>
        <v>231.00000000000006</v>
      </c>
      <c r="BZ45" s="13">
        <f>BY45*VLOOKUP('Données projet'!$B$12,Paramètres!$A$1:$I$89,3,0)*VLOOKUP('Données projet'!$B$12,Paramètres!$A$1:$I$89,5,0)</f>
        <v>180.18000000000006</v>
      </c>
      <c r="CA45" s="13">
        <f t="shared" si="39"/>
        <v>45.362230520410691</v>
      </c>
      <c r="CB45" s="20">
        <f t="shared" si="10"/>
        <v>392.81938482304872</v>
      </c>
      <c r="CC45" s="59">
        <f t="shared" si="11"/>
        <v>686.15271815638198</v>
      </c>
      <c r="CD45" s="59">
        <f ca="1">AVERAGE(OFFSET($CC$3,0,0,'Données projet'!$E$12+1,1))-AVERAGE(OFFSET($H$3,0,0,'Données projet'!$E$12+1,1))</f>
        <v>295.95249585728561</v>
      </c>
      <c r="CE45" s="59">
        <f t="shared" si="40"/>
        <v>306.85862495052709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1.1401565629115693</v>
      </c>
      <c r="CL45" s="21">
        <f>EXP(-LN(2)/25)*CL44+(1-EXP(-LN(2)/25))/(LN(2)/25)*Calculateur!CG45*Calculateur!CI45*VLOOKUP('Données projet'!$B$12,Paramètres!$A$1:$I$89,3,0)*0.475*44/12</f>
        <v>6.0016207513151638</v>
      </c>
      <c r="CM45" s="21">
        <f>EXP(-LN(2)/2)*CM44+(1-EXP(-LN(2)/2))/(LN(2)/2)*CG45*CJ45*VLOOKUP('Données projet'!$B$12,Paramètres!$A$1:$I$89,3,0)*0.475*44/12</f>
        <v>0.20423718119846618</v>
      </c>
      <c r="CN45" s="22">
        <f t="shared" si="12"/>
        <v>7.3460144954251989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</v>
      </c>
      <c r="CT45" s="12">
        <f>IF('Données projet'!$A$140&gt;35,CT44+CS45-DB44,IF(A45&lt;'Données projet'!$A$140,$CQ$205^A45,IF(A45='Données projet'!$A$140,'Données projet'!$B$140,CT44+CS45-DB44)))</f>
        <v>157.00000000000006</v>
      </c>
      <c r="CU45" s="17">
        <f>CT45*VLOOKUP('Données projet'!$B$13,Paramètres!$A$1:$I$89,3,0)*VLOOKUP('Données projet'!$B$13,Paramètres!$A$1:$I$89,5,0)</f>
        <v>149.40120000000007</v>
      </c>
      <c r="CV45" s="13">
        <f t="shared" si="41"/>
        <v>38.442474509137625</v>
      </c>
      <c r="CW45" s="20">
        <f t="shared" si="13"/>
        <v>327.16106643674817</v>
      </c>
      <c r="CX45" s="59">
        <f t="shared" si="14"/>
        <v>620.49439977008149</v>
      </c>
      <c r="CY45" s="59">
        <f ca="1">AVERAGE(OFFSET($CX$3,0,0,'Données projet'!$E$13+1,1))-AVERAGE(OFFSET($H$3,0,0,'Données projet'!$E$13+1,1))</f>
        <v>461.10546083340631</v>
      </c>
      <c r="CZ45" s="59">
        <f t="shared" si="42"/>
        <v>233.41883071412587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2.8266386715637801</v>
      </c>
      <c r="DH45" s="21">
        <f>EXP(-LN(2)/2)*DH44+(1-EXP(-LN(2)/2))/(LN(2)/2)*DB45*DE45*VLOOKUP('Données projet'!$B$13,Paramètres!$A$1:$I$89,3,0)*0.475*44/12</f>
        <v>0.1227543258509652</v>
      </c>
      <c r="DI45" s="22">
        <f t="shared" si="15"/>
        <v>2.9493929974147455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171.48767999999995</v>
      </c>
      <c r="DQ45" s="13">
        <f t="shared" si="43"/>
        <v>43.423045268797694</v>
      </c>
      <c r="DR45" s="20">
        <f t="shared" si="16"/>
        <v>374.30284650982253</v>
      </c>
      <c r="DS45" s="59">
        <f t="shared" si="17"/>
        <v>667.63617984315579</v>
      </c>
      <c r="DT45" s="59">
        <f ca="1">AVERAGE(OFFSET($DS$3,0,0,'Données projet'!$E$14+1,1))-AVERAGE(OFFSET($H$3,0,0,'Données projet'!$E$14+1,1))</f>
        <v>296.376932094327</v>
      </c>
      <c r="DU45" s="59">
        <f t="shared" si="44"/>
        <v>350.93658329210882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2.1282922507682627</v>
      </c>
      <c r="EB45" s="21">
        <f>EXP(-LN(2)/25)*EB44+(1-EXP(-LN(2)/25))/(LN(2)/25)*Calculateur!DW45*Calculateur!DY45*VLOOKUP('Données projet'!$B$14,Paramètres!$A$1:$I$89,3,0)*0.475*44/12</f>
        <v>12.170272538706769</v>
      </c>
      <c r="EC45" s="21">
        <f>EXP(-LN(2)/2)*EC44+(1-EXP(-LN(2)/2))/(LN(2)/2)*DW45*DZ45*VLOOKUP('Données projet'!$B$14,Paramètres!$A$1:$I$89,3,0)*0.475*44/12</f>
        <v>0.38297481039931974</v>
      </c>
      <c r="ED45" s="22">
        <f t="shared" si="18"/>
        <v>14.681539599874352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9.1999999999999993</v>
      </c>
      <c r="EJ45" s="12">
        <f>IF('Données projet'!$A$192&gt;35,EJ44+EI45-ER44,IF(A45&lt;'Données projet'!$A$192,$EG$205^A45,IF(A45='Données projet'!$A$192,'Données projet'!$B$192,EJ44+EI45-ER44)))</f>
        <v>211.39999999999992</v>
      </c>
      <c r="EK45" s="17">
        <f>EJ45*VLOOKUP('Données projet'!$B$15,Paramètres!$A$1:$I$89,3,0)*VLOOKUP('Données projet'!$B$15,Paramètres!$A$1:$I$89,5,0)</f>
        <v>138.50927999999996</v>
      </c>
      <c r="EL45" s="13">
        <f t="shared" si="45"/>
        <v>35.955289998970166</v>
      </c>
      <c r="EM45" s="20">
        <f t="shared" si="19"/>
        <v>303.85912608153961</v>
      </c>
      <c r="EN45" s="59">
        <f t="shared" si="20"/>
        <v>597.19245941487293</v>
      </c>
      <c r="EO45" s="59">
        <f ca="1">AVERAGE(OFFSET($EN$3,0,0,'Données projet'!$E$15+1,1))-AVERAGE(OFFSET($H$3,0,0,'Données projet'!$E$15+1,1))</f>
        <v>231.03244099494077</v>
      </c>
      <c r="EP45" s="59">
        <f t="shared" si="46"/>
        <v>280.29723026390741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1.7190052794666735</v>
      </c>
      <c r="EW45" s="21">
        <f>EXP(-LN(2)/25)*EW44+(1-EXP(-LN(2)/25))/(LN(2)/25)*Calculateur!ER45*Calculateur!ET45*VLOOKUP('Données projet'!$B$15,Paramètres!$A$1:$I$89,3,0)*0.475*44/12</f>
        <v>9.8298355120323908</v>
      </c>
      <c r="EX45" s="21">
        <f>EXP(-LN(2)/2)*EX44+(1-EXP(-LN(2)/2))/(LN(2)/2)*ER45*EU45*VLOOKUP('Données projet'!$B$15,Paramètres!$A$1:$I$89,3,0)*0.475*44/12</f>
        <v>0.3093258083994504</v>
      </c>
      <c r="EY45" s="22">
        <f t="shared" si="21"/>
        <v>11.858166599898514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163.40687999999997</v>
      </c>
      <c r="P46" s="13">
        <f t="shared" si="33"/>
        <v>41.610001881769797</v>
      </c>
      <c r="Q46" s="20">
        <f t="shared" si="53"/>
        <v>357.07106927741569</v>
      </c>
      <c r="R46" s="59">
        <f t="shared" si="0"/>
        <v>650.404402610749</v>
      </c>
      <c r="S46" s="59">
        <f ca="1">AVERAGE(OFFSET($R$3,0,0,'Données projet'!$E$9+1,1))-AVERAGE(OFFSET($H$3,0,0,'Données projet'!$E$9+1,1))</f>
        <v>351.15781452544906</v>
      </c>
      <c r="T46" s="59">
        <f t="shared" si="34"/>
        <v>271.54361159160169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1.86185151993732</v>
      </c>
      <c r="AA46" s="21">
        <f>EXP(-LN(2)/25)*AA45+(1-EXP(-LN(2)/25))/(LN(2)/25)*Calculateur!V46*Calculateur!X46*VLOOKUP('Données projet'!$B$9,Paramètres!$A$1:$I$89,3,0)*0.475*44/12</f>
        <v>7.8683197513463909</v>
      </c>
      <c r="AB46" s="21">
        <f>EXP(-LN(2)/2)*AB45+(1-EXP(-LN(2)/2))/(LN(2)/2)*V46*Y46*VLOOKUP('Données projet'!$B$9,Paramètres!$A$1:$I$89,3,0)*0.475*44/12</f>
        <v>0.2381329779713775</v>
      </c>
      <c r="AC46" s="22">
        <f t="shared" si="3"/>
        <v>9.9683042492550875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168.00000000000006</v>
      </c>
      <c r="AJ46" s="13">
        <f>AI46*VLOOKUP('Données projet'!$B$10,Paramètres!$A$1:$I$89,3,0)*VLOOKUP('Données projet'!$B$10,Paramètres!$A$1:$I$89,5,0)</f>
        <v>144.14400000000006</v>
      </c>
      <c r="AK46" s="13">
        <f t="shared" si="35"/>
        <v>37.244720006976252</v>
      </c>
      <c r="AL46" s="20">
        <f t="shared" si="4"/>
        <v>315.91868734548376</v>
      </c>
      <c r="AM46" s="59">
        <f t="shared" si="5"/>
        <v>609.25202067881708</v>
      </c>
      <c r="AN46" s="59">
        <f ca="1">AVERAGE(OFFSET($AM$3,0,0,'Données projet'!$E$10+1,1))-AVERAGE(OFFSET($H$3,0,0,'Données projet'!$E$10+1,1))</f>
        <v>405.59933429804329</v>
      </c>
      <c r="AO46" s="59">
        <f t="shared" si="36"/>
        <v>208.64922573363776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3.0554090803707634</v>
      </c>
      <c r="AW46" s="21">
        <f>EXP(-LN(2)/2)*AW45+(1-EXP(-LN(2)/2))/(LN(2)/2)*AQ46*AT46*VLOOKUP('Données projet'!$B$10,Paramètres!$A$1:$I$89,3,0)*0.475*44/12</f>
        <v>7.8262670370590662E-2</v>
      </c>
      <c r="AX46" s="21">
        <f t="shared" si="6"/>
        <v>3.1336717507413541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8.3000000000000007</v>
      </c>
      <c r="BD46" s="12">
        <f>IF('Données projet'!$A$88&gt;35,BD45+BC46-BL45,IF(A46&lt;'Données projet'!$A$88,$BA$205^A46,IF(A46='Données projet'!$A$88,'Données projet'!$B$88,BD45+BC46-BL45)))</f>
        <v>140.89999999999998</v>
      </c>
      <c r="BE46" s="13">
        <f>BD46*VLOOKUP('Données projet'!$B$11,Paramètres!$A$1:$I$89,3,0)*VLOOKUP('Données projet'!$B$11,Paramètres!$A$1:$I$89,5,0)</f>
        <v>136.27848</v>
      </c>
      <c r="BF46" s="13">
        <f t="shared" si="37"/>
        <v>35.443125320657884</v>
      </c>
      <c r="BG46" s="20">
        <f t="shared" si="7"/>
        <v>299.08179593347916</v>
      </c>
      <c r="BH46" s="59">
        <f t="shared" si="8"/>
        <v>592.41512926681253</v>
      </c>
      <c r="BI46" s="59">
        <f ca="1">AVERAGE(OFFSET($BH$3,0,0,'Données projet'!$E$11+1,1))-AVERAGE(OFFSET($H$3,0,0,'Données projet'!$E$11+1,1))</f>
        <v>293.19327646293601</v>
      </c>
      <c r="BJ46" s="59">
        <f t="shared" si="38"/>
        <v>200.0769581869605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2.3153726796352387</v>
      </c>
      <c r="BR46" s="21">
        <f>EXP(-LN(2)/2)*BR45+(1-EXP(-LN(2)/2))/(LN(2)/2)*BL46*BO46*VLOOKUP('Données projet'!$B$11,Paramètres!$A$1:$I$89,3,0)*0.475*44/12</f>
        <v>7.3099366922764655E-2</v>
      </c>
      <c r="BS46" s="22">
        <f t="shared" si="9"/>
        <v>2.3884720465580034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</v>
      </c>
      <c r="BY46" s="12">
        <f>IF('Données projet'!$A$114&gt;35,BY45+BX46-CG45,IF(A46&lt;'Données projet'!$A$114,$BV$205^A46,IF(A46='Données projet'!$A$114,'Données projet'!$B$114,BY45+BX46-CG45)))</f>
        <v>242.00000000000006</v>
      </c>
      <c r="BZ46" s="13">
        <f>BY46*VLOOKUP('Données projet'!$B$12,Paramètres!$A$1:$I$89,3,0)*VLOOKUP('Données projet'!$B$12,Paramètres!$A$1:$I$89,5,0)</f>
        <v>188.76000000000005</v>
      </c>
      <c r="CA46" s="13">
        <f t="shared" si="39"/>
        <v>47.265702073783714</v>
      </c>
      <c r="CB46" s="20">
        <f t="shared" si="10"/>
        <v>411.07809777850667</v>
      </c>
      <c r="CC46" s="59">
        <f t="shared" si="11"/>
        <v>704.41143111183999</v>
      </c>
      <c r="CD46" s="59">
        <f ca="1">AVERAGE(OFFSET($CC$3,0,0,'Données projet'!$E$12+1,1))-AVERAGE(OFFSET($H$3,0,0,'Données projet'!$E$12+1,1))</f>
        <v>295.95249585728561</v>
      </c>
      <c r="CE46" s="59">
        <f t="shared" si="40"/>
        <v>306.85862495052709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1.1177987881397091</v>
      </c>
      <c r="CL46" s="21">
        <f>EXP(-LN(2)/25)*CL45+(1-EXP(-LN(2)/25))/(LN(2)/25)*Calculateur!CG46*Calculateur!CI46*VLOOKUP('Données projet'!$B$12,Paramètres!$A$1:$I$89,3,0)*0.475*44/12</f>
        <v>5.8375061162589326</v>
      </c>
      <c r="CM46" s="21">
        <f>EXP(-LN(2)/2)*CM45+(1-EXP(-LN(2)/2))/(LN(2)/2)*CG46*CJ46*VLOOKUP('Données projet'!$B$12,Paramètres!$A$1:$I$89,3,0)*0.475*44/12</f>
        <v>0.14441749579586108</v>
      </c>
      <c r="CN46" s="22">
        <f t="shared" si="12"/>
        <v>7.0997224001945023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</v>
      </c>
      <c r="CT46" s="12">
        <f>IF('Données projet'!$A$140&gt;35,CT45+CS46-DB45,IF(A46&lt;'Données projet'!$A$140,$CQ$205^A46,IF(A46='Données projet'!$A$140,'Données projet'!$B$140,CT45+CS46-DB45)))</f>
        <v>168.00000000000006</v>
      </c>
      <c r="CU46" s="17">
        <f>CT46*VLOOKUP('Données projet'!$B$13,Paramètres!$A$1:$I$89,3,0)*VLOOKUP('Données projet'!$B$13,Paramètres!$A$1:$I$89,5,0)</f>
        <v>159.86880000000005</v>
      </c>
      <c r="CV46" s="13">
        <f t="shared" si="41"/>
        <v>40.812921467768035</v>
      </c>
      <c r="CW46" s="20">
        <f t="shared" si="13"/>
        <v>349.52066488969604</v>
      </c>
      <c r="CX46" s="59">
        <f t="shared" si="14"/>
        <v>642.85399822302929</v>
      </c>
      <c r="CY46" s="59">
        <f ca="1">AVERAGE(OFFSET($CX$3,0,0,'Données projet'!$E$13+1,1))-AVERAGE(OFFSET($H$3,0,0,'Données projet'!$E$13+1,1))</f>
        <v>461.10546083340631</v>
      </c>
      <c r="CZ46" s="59">
        <f t="shared" si="42"/>
        <v>233.41883071412587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2.7493440884434013</v>
      </c>
      <c r="DH46" s="21">
        <f>EXP(-LN(2)/2)*DH45+(1-EXP(-LN(2)/2))/(LN(2)/2)*DB46*DE46*VLOOKUP('Données projet'!$B$13,Paramètres!$A$1:$I$89,3,0)*0.475*44/12</f>
        <v>8.6800416229200608E-2</v>
      </c>
      <c r="DI46" s="22">
        <f t="shared" si="15"/>
        <v>2.8361445046726019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178.95071999999993</v>
      </c>
      <c r="DQ46" s="13">
        <f t="shared" si="43"/>
        <v>45.088661325670202</v>
      </c>
      <c r="DR46" s="20">
        <f t="shared" si="16"/>
        <v>390.20192247554218</v>
      </c>
      <c r="DS46" s="59">
        <f t="shared" si="17"/>
        <v>683.53525580887549</v>
      </c>
      <c r="DT46" s="59">
        <f ca="1">AVERAGE(OFFSET($DS$3,0,0,'Données projet'!$E$14+1,1))-AVERAGE(OFFSET($H$3,0,0,'Données projet'!$E$14+1,1))</f>
        <v>296.376932094327</v>
      </c>
      <c r="DU46" s="59">
        <f t="shared" si="44"/>
        <v>350.93658329210882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2.0865577378607902</v>
      </c>
      <c r="EB46" s="21">
        <f>EXP(-LN(2)/25)*EB45+(1-EXP(-LN(2)/25))/(LN(2)/25)*Calculateur!DW46*Calculateur!DY46*VLOOKUP('Données projet'!$B$14,Paramètres!$A$1:$I$89,3,0)*0.475*44/12</f>
        <v>11.837475796129015</v>
      </c>
      <c r="EC46" s="21">
        <f>EXP(-LN(2)/2)*EC45+(1-EXP(-LN(2)/2))/(LN(2)/2)*DW46*DZ46*VLOOKUP('Données projet'!$B$14,Paramètres!$A$1:$I$89,3,0)*0.475*44/12</f>
        <v>0.27080408545699131</v>
      </c>
      <c r="ED46" s="22">
        <f t="shared" si="18"/>
        <v>14.194837619446796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9.1999999999999993</v>
      </c>
      <c r="EJ46" s="12">
        <f>IF('Données projet'!$A$192&gt;35,EJ45+EI46-ER45,IF(A46&lt;'Données projet'!$A$192,$EG$205^A46,IF(A46='Données projet'!$A$192,'Données projet'!$B$192,EJ45+EI46-ER45)))</f>
        <v>220.59999999999991</v>
      </c>
      <c r="EK46" s="17">
        <f>EJ46*VLOOKUP('Données projet'!$B$15,Paramètres!$A$1:$I$89,3,0)*VLOOKUP('Données projet'!$B$15,Paramètres!$A$1:$I$89,5,0)</f>
        <v>144.53711999999993</v>
      </c>
      <c r="EL46" s="13">
        <f t="shared" si="45"/>
        <v>37.334458778614128</v>
      </c>
      <c r="EM46" s="20">
        <f t="shared" si="19"/>
        <v>316.75966637275286</v>
      </c>
      <c r="EN46" s="59">
        <f t="shared" si="20"/>
        <v>610.09299970608618</v>
      </c>
      <c r="EO46" s="59">
        <f ca="1">AVERAGE(OFFSET($EN$3,0,0,'Données projet'!$E$15+1,1))-AVERAGE(OFFSET($H$3,0,0,'Données projet'!$E$15+1,1))</f>
        <v>231.03244099494077</v>
      </c>
      <c r="EP46" s="59">
        <f t="shared" si="46"/>
        <v>280.29723026390741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1.6852966344260227</v>
      </c>
      <c r="EW46" s="21">
        <f>EXP(-LN(2)/25)*EW45+(1-EXP(-LN(2)/25))/(LN(2)/25)*Calculateur!ER46*Calculateur!ET46*VLOOKUP('Données projet'!$B$15,Paramètres!$A$1:$I$89,3,0)*0.475*44/12</f>
        <v>9.5610381430272824</v>
      </c>
      <c r="EX46" s="21">
        <f>EXP(-LN(2)/2)*EX45+(1-EXP(-LN(2)/2))/(LN(2)/2)*ER46*EU46*VLOOKUP('Données projet'!$B$15,Paramètres!$A$1:$I$89,3,0)*0.475*44/12</f>
        <v>0.2187263767152621</v>
      </c>
      <c r="EY46" s="22">
        <f t="shared" si="21"/>
        <v>11.465061154168566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173.54063999999997</v>
      </c>
      <c r="P47" s="13">
        <f t="shared" si="33"/>
        <v>43.882055316228445</v>
      </c>
      <c r="Q47" s="20">
        <f t="shared" si="53"/>
        <v>378.6778610090978</v>
      </c>
      <c r="R47" s="59">
        <f t="shared" si="0"/>
        <v>672.01119434243105</v>
      </c>
      <c r="S47" s="59">
        <f ca="1">AVERAGE(OFFSET($R$3,0,0,'Données projet'!$E$9+1,1))-AVERAGE(OFFSET($H$3,0,0,'Données projet'!$E$9+1,1))</f>
        <v>351.15781452544906</v>
      </c>
      <c r="T47" s="59">
        <f t="shared" si="34"/>
        <v>271.54361159160169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1.8253417472486435</v>
      </c>
      <c r="AA47" s="21">
        <f>EXP(-LN(2)/25)*AA46+(1-EXP(-LN(2)/25))/(LN(2)/25)*Calculateur!V47*Calculateur!X47*VLOOKUP('Données projet'!$B$9,Paramètres!$A$1:$I$89,3,0)*0.475*44/12</f>
        <v>7.6531601339688713</v>
      </c>
      <c r="AB47" s="21">
        <f>EXP(-LN(2)/2)*AB46+(1-EXP(-LN(2)/2))/(LN(2)/2)*V47*Y47*VLOOKUP('Données projet'!$B$9,Paramètres!$A$1:$I$89,3,0)*0.475*44/12</f>
        <v>0.16838544354770779</v>
      </c>
      <c r="AC47" s="22">
        <f t="shared" si="3"/>
        <v>9.6468873247652223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179.00000000000006</v>
      </c>
      <c r="AJ47" s="13">
        <f>AI47*VLOOKUP('Données projet'!$B$10,Paramètres!$A$1:$I$89,3,0)*VLOOKUP('Données projet'!$B$10,Paramètres!$A$1:$I$89,5,0)</f>
        <v>153.58200000000008</v>
      </c>
      <c r="AK47" s="13">
        <f t="shared" si="35"/>
        <v>39.391486561628568</v>
      </c>
      <c r="AL47" s="20">
        <f t="shared" si="4"/>
        <v>336.09548909483652</v>
      </c>
      <c r="AM47" s="59">
        <f t="shared" si="5"/>
        <v>629.42882242816984</v>
      </c>
      <c r="AN47" s="59">
        <f ca="1">AVERAGE(OFFSET($AM$3,0,0,'Données projet'!$E$10+1,1))-AVERAGE(OFFSET($H$3,0,0,'Données projet'!$E$10+1,1))</f>
        <v>405.59933429804329</v>
      </c>
      <c r="AO47" s="59">
        <f t="shared" si="36"/>
        <v>208.64922573363776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2.9718587583910447</v>
      </c>
      <c r="AW47" s="21">
        <f>EXP(-LN(2)/2)*AW46+(1-EXP(-LN(2)/2))/(LN(2)/2)*AQ47*AT47*VLOOKUP('Données projet'!$B$10,Paramètres!$A$1:$I$89,3,0)*0.475*44/12</f>
        <v>5.5340064932812148E-2</v>
      </c>
      <c r="AX47" s="21">
        <f t="shared" si="6"/>
        <v>3.0271988233238569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8.3000000000000007</v>
      </c>
      <c r="BD47" s="12">
        <f>IF('Données projet'!$A$88&gt;35,BD46+BC47-BL46,IF(A47&lt;'Données projet'!$A$88,$BA$205^A47,IF(A47='Données projet'!$A$88,'Données projet'!$B$88,BD46+BC47-BL46)))</f>
        <v>149.19999999999999</v>
      </c>
      <c r="BE47" s="13">
        <f>BD47*VLOOKUP('Données projet'!$B$11,Paramètres!$A$1:$I$89,3,0)*VLOOKUP('Données projet'!$B$11,Paramètres!$A$1:$I$89,5,0)</f>
        <v>144.30624</v>
      </c>
      <c r="BF47" s="13">
        <f t="shared" si="37"/>
        <v>37.281758503629554</v>
      </c>
      <c r="BG47" s="20">
        <f t="shared" si="7"/>
        <v>316.26576406048815</v>
      </c>
      <c r="BH47" s="59">
        <f t="shared" si="8"/>
        <v>609.59909739382147</v>
      </c>
      <c r="BI47" s="59">
        <f ca="1">AVERAGE(OFFSET($BH$3,0,0,'Données projet'!$E$11+1,1))-AVERAGE(OFFSET($H$3,0,0,'Données projet'!$E$11+1,1))</f>
        <v>293.19327646293601</v>
      </c>
      <c r="BJ47" s="59">
        <f t="shared" si="38"/>
        <v>200.0769581869605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2.2520586919504559</v>
      </c>
      <c r="BR47" s="21">
        <f>EXP(-LN(2)/2)*BR46+(1-EXP(-LN(2)/2))/(LN(2)/2)*BL47*BO47*VLOOKUP('Données projet'!$B$11,Paramètres!$A$1:$I$89,3,0)*0.475*44/12</f>
        <v>5.1689058051530498E-2</v>
      </c>
      <c r="BS47" s="22">
        <f t="shared" si="9"/>
        <v>2.3037477500019863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</v>
      </c>
      <c r="BY47" s="12">
        <f>IF('Données projet'!$A$114&gt;35,BY46+BX47-CG46,IF(A47&lt;'Données projet'!$A$114,$BV$205^A47,IF(A47='Données projet'!$A$114,'Données projet'!$B$114,BY46+BX47-CG46)))</f>
        <v>253.00000000000006</v>
      </c>
      <c r="BZ47" s="13">
        <f>BY47*VLOOKUP('Données projet'!$B$12,Paramètres!$A$1:$I$89,3,0)*VLOOKUP('Données projet'!$B$12,Paramètres!$A$1:$I$89,5,0)</f>
        <v>197.34000000000006</v>
      </c>
      <c r="CA47" s="13">
        <f t="shared" si="39"/>
        <v>49.15912547427002</v>
      </c>
      <c r="CB47" s="20">
        <f t="shared" si="10"/>
        <v>429.3193102010203</v>
      </c>
      <c r="CC47" s="59">
        <f t="shared" si="11"/>
        <v>722.65264353435361</v>
      </c>
      <c r="CD47" s="59">
        <f ca="1">AVERAGE(OFFSET($CC$3,0,0,'Données projet'!$E$12+1,1))-AVERAGE(OFFSET($H$3,0,0,'Données projet'!$E$12+1,1))</f>
        <v>295.95249585728561</v>
      </c>
      <c r="CE47" s="59">
        <f t="shared" si="40"/>
        <v>306.85862495052709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1.095879435694229</v>
      </c>
      <c r="CL47" s="21">
        <f>EXP(-LN(2)/25)*CL46+(1-EXP(-LN(2)/25))/(LN(2)/25)*Calculateur!CG47*Calculateur!CI47*VLOOKUP('Données projet'!$B$12,Paramètres!$A$1:$I$89,3,0)*0.475*44/12</f>
        <v>5.6778792045287272</v>
      </c>
      <c r="CM47" s="21">
        <f>EXP(-LN(2)/2)*CM46+(1-EXP(-LN(2)/2))/(LN(2)/2)*CG47*CJ47*VLOOKUP('Données projet'!$B$12,Paramètres!$A$1:$I$89,3,0)*0.475*44/12</f>
        <v>0.10211859059923309</v>
      </c>
      <c r="CN47" s="22">
        <f t="shared" si="12"/>
        <v>6.8758772308221898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</v>
      </c>
      <c r="CT47" s="12">
        <f>IF('Données projet'!$A$140&gt;35,CT46+CS47-DB46,IF(A47&lt;'Données projet'!$A$140,$CQ$205^A47,IF(A47='Données projet'!$A$140,'Données projet'!$B$140,CT46+CS47-DB46)))</f>
        <v>179.00000000000006</v>
      </c>
      <c r="CU47" s="17">
        <f>CT47*VLOOKUP('Données projet'!$B$13,Paramètres!$A$1:$I$89,3,0)*VLOOKUP('Données projet'!$B$13,Paramètres!$A$1:$I$89,5,0)</f>
        <v>170.33640000000005</v>
      </c>
      <c r="CV47" s="13">
        <f t="shared" si="41"/>
        <v>43.165357324132231</v>
      </c>
      <c r="CW47" s="20">
        <f t="shared" si="13"/>
        <v>371.84889400619704</v>
      </c>
      <c r="CX47" s="59">
        <f t="shared" si="14"/>
        <v>665.1822273395303</v>
      </c>
      <c r="CY47" s="59">
        <f ca="1">AVERAGE(OFFSET($CX$3,0,0,'Données projet'!$E$13+1,1))-AVERAGE(OFFSET($H$3,0,0,'Données projet'!$E$13+1,1))</f>
        <v>461.10546083340631</v>
      </c>
      <c r="CZ47" s="59">
        <f t="shared" si="42"/>
        <v>233.41883071412587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2.6741631297631945</v>
      </c>
      <c r="DH47" s="21">
        <f>EXP(-LN(2)/2)*DH46+(1-EXP(-LN(2)/2))/(LN(2)/2)*DB47*DE47*VLOOKUP('Données projet'!$B$13,Paramètres!$A$1:$I$89,3,0)*0.475*44/12</f>
        <v>6.1377162925482606E-2</v>
      </c>
      <c r="DI47" s="22">
        <f t="shared" si="15"/>
        <v>2.7355402926886772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186.41375999999994</v>
      </c>
      <c r="DQ47" s="13">
        <f t="shared" si="43"/>
        <v>46.746208944321289</v>
      </c>
      <c r="DR47" s="20">
        <f t="shared" si="16"/>
        <v>406.08694591135946</v>
      </c>
      <c r="DS47" s="59">
        <f t="shared" si="17"/>
        <v>699.42027924469278</v>
      </c>
      <c r="DT47" s="59">
        <f ca="1">AVERAGE(OFFSET($DS$3,0,0,'Données projet'!$E$14+1,1))-AVERAGE(OFFSET($H$3,0,0,'Données projet'!$E$14+1,1))</f>
        <v>296.376932094327</v>
      </c>
      <c r="DU47" s="59">
        <f t="shared" si="44"/>
        <v>350.93658329210882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2.0456416132958939</v>
      </c>
      <c r="EB47" s="21">
        <f>EXP(-LN(2)/25)*EB46+(1-EXP(-LN(2)/25))/(LN(2)/25)*Calculateur!DW47*Calculateur!DY47*VLOOKUP('Données projet'!$B$14,Paramètres!$A$1:$I$89,3,0)*0.475*44/12</f>
        <v>11.51377939797807</v>
      </c>
      <c r="EC47" s="21">
        <f>EXP(-LN(2)/2)*EC46+(1-EXP(-LN(2)/2))/(LN(2)/2)*DW47*DZ47*VLOOKUP('Données projet'!$B$14,Paramètres!$A$1:$I$89,3,0)*0.475*44/12</f>
        <v>0.19148740519965987</v>
      </c>
      <c r="ED47" s="22">
        <f t="shared" si="18"/>
        <v>13.750908416473623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9.1999999999999993</v>
      </c>
      <c r="EJ47" s="12">
        <f>IF('Données projet'!$A$192&gt;35,EJ46+EI47-ER46,IF(A47&lt;'Données projet'!$A$192,$EG$205^A47,IF(A47='Données projet'!$A$192,'Données projet'!$B$192,EJ46+EI47-ER46)))</f>
        <v>229.7999999999999</v>
      </c>
      <c r="EK47" s="17">
        <f>EJ47*VLOOKUP('Données projet'!$B$15,Paramètres!$A$1:$I$89,3,0)*VLOOKUP('Données projet'!$B$15,Paramètres!$A$1:$I$89,5,0)</f>
        <v>150.56495999999993</v>
      </c>
      <c r="EL47" s="13">
        <f t="shared" si="45"/>
        <v>38.706946704018272</v>
      </c>
      <c r="EM47" s="20">
        <f t="shared" si="19"/>
        <v>329.6485708428317</v>
      </c>
      <c r="EN47" s="59">
        <f t="shared" si="20"/>
        <v>622.98190417616502</v>
      </c>
      <c r="EO47" s="59">
        <f ca="1">AVERAGE(OFFSET($EN$3,0,0,'Données projet'!$E$15+1,1))-AVERAGE(OFFSET($H$3,0,0,'Données projet'!$E$15+1,1))</f>
        <v>231.03244099494077</v>
      </c>
      <c r="EP47" s="59">
        <f t="shared" si="46"/>
        <v>280.29723026390741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1.6522489953543757</v>
      </c>
      <c r="EW47" s="21">
        <f>EXP(-LN(2)/25)*EW46+(1-EXP(-LN(2)/25))/(LN(2)/25)*Calculateur!ER47*Calculateur!ET47*VLOOKUP('Données projet'!$B$15,Paramètres!$A$1:$I$89,3,0)*0.475*44/12</f>
        <v>9.2995910522130583</v>
      </c>
      <c r="EX47" s="21">
        <f>EXP(-LN(2)/2)*EX46+(1-EXP(-LN(2)/2))/(LN(2)/2)*ER47*EU47*VLOOKUP('Données projet'!$B$15,Paramètres!$A$1:$I$89,3,0)*0.475*44/12</f>
        <v>0.1546629041997252</v>
      </c>
      <c r="EY47" s="22">
        <f t="shared" si="21"/>
        <v>11.106502951767158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183.67439999999993</v>
      </c>
      <c r="P48" s="13">
        <f t="shared" si="33"/>
        <v>46.138708549418673</v>
      </c>
      <c r="Q48" s="20">
        <f t="shared" si="53"/>
        <v>400.25783072357075</v>
      </c>
      <c r="R48" s="59">
        <f t="shared" si="0"/>
        <v>693.59116405690406</v>
      </c>
      <c r="S48" s="59">
        <f ca="1">AVERAGE(OFFSET($R$3,0,0,'Données projet'!$E$9+1,1))-AVERAGE(OFFSET($H$3,0,0,'Données projet'!$E$9+1,1))</f>
        <v>351.15781452544906</v>
      </c>
      <c r="T48" s="59">
        <f t="shared" si="34"/>
        <v>271.54361159160169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1.7895479089336295</v>
      </c>
      <c r="AA48" s="21">
        <f>EXP(-LN(2)/25)*AA47+(1-EXP(-LN(2)/25))/(LN(2)/25)*Calculateur!V48*Calculateur!X48*VLOOKUP('Données projet'!$B$9,Paramètres!$A$1:$I$89,3,0)*0.475*44/12</f>
        <v>7.4438840676432925</v>
      </c>
      <c r="AB48" s="21">
        <f>EXP(-LN(2)/2)*AB47+(1-EXP(-LN(2)/2))/(LN(2)/2)*V48*Y48*VLOOKUP('Données projet'!$B$9,Paramètres!$A$1:$I$89,3,0)*0.475*44/12</f>
        <v>0.11906648898568878</v>
      </c>
      <c r="AC48" s="22">
        <f t="shared" si="3"/>
        <v>9.3524984655626113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190.00000000000006</v>
      </c>
      <c r="AJ48" s="13">
        <f>AI48*VLOOKUP('Données projet'!$B$10,Paramètres!$A$1:$I$89,3,0)*VLOOKUP('Données projet'!$B$10,Paramètres!$A$1:$I$89,5,0)</f>
        <v>163.02000000000007</v>
      </c>
      <c r="AK48" s="13">
        <f t="shared" si="35"/>
        <v>41.52294175893757</v>
      </c>
      <c r="AL48" s="20">
        <f t="shared" si="4"/>
        <v>356.24562356348309</v>
      </c>
      <c r="AM48" s="59">
        <f t="shared" si="5"/>
        <v>649.57895689681641</v>
      </c>
      <c r="AN48" s="59">
        <f ca="1">AVERAGE(OFFSET($AM$3,0,0,'Données projet'!$E$10+1,1))-AVERAGE(OFFSET($H$3,0,0,'Données projet'!$E$10+1,1))</f>
        <v>405.59933429804329</v>
      </c>
      <c r="AO48" s="59">
        <f t="shared" si="36"/>
        <v>208.64922573363776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2.8905931243595817</v>
      </c>
      <c r="AW48" s="21">
        <f>EXP(-LN(2)/2)*AW47+(1-EXP(-LN(2)/2))/(LN(2)/2)*AQ48*AT48*VLOOKUP('Données projet'!$B$10,Paramètres!$A$1:$I$89,3,0)*0.475*44/12</f>
        <v>3.9131335185295331E-2</v>
      </c>
      <c r="AX48" s="21">
        <f t="shared" si="6"/>
        <v>2.929724459544877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8.3000000000000007</v>
      </c>
      <c r="BD48" s="12">
        <f>IF('Données projet'!$A$88&gt;35,BD47+BC48-BL47,IF(A48&lt;'Données projet'!$A$88,$BA$205^A48,IF(A48='Données projet'!$A$88,'Données projet'!$B$88,BD47+BC48-BL47)))</f>
        <v>157.5</v>
      </c>
      <c r="BE48" s="13">
        <f>BD48*VLOOKUP('Données projet'!$B$11,Paramètres!$A$1:$I$89,3,0)*VLOOKUP('Données projet'!$B$11,Paramètres!$A$1:$I$89,5,0)</f>
        <v>152.334</v>
      </c>
      <c r="BF48" s="13">
        <f t="shared" si="37"/>
        <v>39.108517919805784</v>
      </c>
      <c r="BG48" s="20">
        <f t="shared" si="7"/>
        <v>333.42905204366178</v>
      </c>
      <c r="BH48" s="59">
        <f t="shared" si="8"/>
        <v>626.7623853769951</v>
      </c>
      <c r="BI48" s="59">
        <f ca="1">AVERAGE(OFFSET($BH$3,0,0,'Données projet'!$E$11+1,1))-AVERAGE(OFFSET($H$3,0,0,'Données projet'!$E$11+1,1))</f>
        <v>293.19327646293601</v>
      </c>
      <c r="BJ48" s="59">
        <f t="shared" si="38"/>
        <v>200.0769581869605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2.1904760285884515</v>
      </c>
      <c r="BR48" s="21">
        <f>EXP(-LN(2)/2)*BR47+(1-EXP(-LN(2)/2))/(LN(2)/2)*BL48*BO48*VLOOKUP('Données projet'!$B$11,Paramètres!$A$1:$I$89,3,0)*0.475*44/12</f>
        <v>3.6549683461382328E-2</v>
      </c>
      <c r="BS48" s="22">
        <f t="shared" si="9"/>
        <v>2.227025712049834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</v>
      </c>
      <c r="BY48" s="12">
        <f>IF('Données projet'!$A$114&gt;35,BY47+BX48-CG47,IF(A48&lt;'Données projet'!$A$114,$BV$205^A48,IF(A48='Données projet'!$A$114,'Données projet'!$B$114,BY47+BX48-CG47)))</f>
        <v>264.00000000000006</v>
      </c>
      <c r="BZ48" s="13">
        <f>BY48*VLOOKUP('Données projet'!$B$12,Paramètres!$A$1:$I$89,3,0)*VLOOKUP('Données projet'!$B$12,Paramètres!$A$1:$I$89,5,0)</f>
        <v>205.92000000000004</v>
      </c>
      <c r="CA48" s="13">
        <f t="shared" si="39"/>
        <v>51.042987531485686</v>
      </c>
      <c r="CB48" s="20">
        <f t="shared" si="10"/>
        <v>447.54386995067097</v>
      </c>
      <c r="CC48" s="59">
        <f t="shared" si="11"/>
        <v>740.87720328400428</v>
      </c>
      <c r="CD48" s="59">
        <f ca="1">AVERAGE(OFFSET($CC$3,0,0,'Données projet'!$E$12+1,1))-AVERAGE(OFFSET($H$3,0,0,'Données projet'!$E$12+1,1))</f>
        <v>295.95249585728561</v>
      </c>
      <c r="CE48" s="59">
        <f t="shared" si="40"/>
        <v>306.85862495052709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1.0743899083807198</v>
      </c>
      <c r="CL48" s="21">
        <f>EXP(-LN(2)/25)*CL47+(1-EXP(-LN(2)/25))/(LN(2)/25)*Calculateur!CG48*Calculateur!CI48*VLOOKUP('Données projet'!$B$12,Paramètres!$A$1:$I$89,3,0)*0.475*44/12</f>
        <v>5.5226172990941986</v>
      </c>
      <c r="CM48" s="21">
        <f>EXP(-LN(2)/2)*CM47+(1-EXP(-LN(2)/2))/(LN(2)/2)*CG48*CJ48*VLOOKUP('Données projet'!$B$12,Paramètres!$A$1:$I$89,3,0)*0.475*44/12</f>
        <v>7.2208747897930539E-2</v>
      </c>
      <c r="CN48" s="22">
        <f t="shared" si="12"/>
        <v>6.6692159553728496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</v>
      </c>
      <c r="CT48" s="12">
        <f>IF('Données projet'!$A$140&gt;35,CT47+CS48-DB47,IF(A48&lt;'Données projet'!$A$140,$CQ$205^A48,IF(A48='Données projet'!$A$140,'Données projet'!$B$140,CT47+CS48-DB47)))</f>
        <v>190.00000000000006</v>
      </c>
      <c r="CU48" s="17">
        <f>CT48*VLOOKUP('Données projet'!$B$13,Paramètres!$A$1:$I$89,3,0)*VLOOKUP('Données projet'!$B$13,Paramètres!$A$1:$I$89,5,0)</f>
        <v>180.80400000000006</v>
      </c>
      <c r="CV48" s="13">
        <f t="shared" si="41"/>
        <v>45.501014930459895</v>
      </c>
      <c r="CW48" s="20">
        <f t="shared" si="13"/>
        <v>394.14790100388433</v>
      </c>
      <c r="CX48" s="59">
        <f t="shared" si="14"/>
        <v>687.48123433721764</v>
      </c>
      <c r="CY48" s="59">
        <f ca="1">AVERAGE(OFFSET($CX$3,0,0,'Données projet'!$E$13+1,1))-AVERAGE(OFFSET($H$3,0,0,'Données projet'!$E$13+1,1))</f>
        <v>461.10546083340631</v>
      </c>
      <c r="CZ48" s="59">
        <f t="shared" si="42"/>
        <v>233.41883071412587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2.6010379983516927</v>
      </c>
      <c r="DH48" s="21">
        <f>EXP(-LN(2)/2)*DH47+(1-EXP(-LN(2)/2))/(LN(2)/2)*DB48*DE48*VLOOKUP('Données projet'!$B$13,Paramètres!$A$1:$I$89,3,0)*0.475*44/12</f>
        <v>4.3400208114600311E-2</v>
      </c>
      <c r="DI48" s="22">
        <f t="shared" si="15"/>
        <v>2.644438206466293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193.87679999999992</v>
      </c>
      <c r="DQ48" s="13">
        <f t="shared" si="43"/>
        <v>48.396048099527562</v>
      </c>
      <c r="DR48" s="20">
        <f t="shared" si="16"/>
        <v>421.95854377334371</v>
      </c>
      <c r="DS48" s="59">
        <f t="shared" si="17"/>
        <v>715.29187710667702</v>
      </c>
      <c r="DT48" s="59">
        <f ca="1">AVERAGE(OFFSET($DS$3,0,0,'Données projet'!$E$14+1,1))-AVERAGE(OFFSET($H$3,0,0,'Données projet'!$E$14+1,1))</f>
        <v>296.376932094327</v>
      </c>
      <c r="DU48" s="59">
        <f t="shared" si="44"/>
        <v>350.93658329210882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2.0055278289773435</v>
      </c>
      <c r="EB48" s="21">
        <f>EXP(-LN(2)/25)*EB47+(1-EXP(-LN(2)/25))/(LN(2)/25)*Calculateur!DW48*Calculateur!DY48*VLOOKUP('Données projet'!$B$14,Paramètres!$A$1:$I$89,3,0)*0.475*44/12</f>
        <v>11.198934494857015</v>
      </c>
      <c r="EC48" s="21">
        <f>EXP(-LN(2)/2)*EC47+(1-EXP(-LN(2)/2))/(LN(2)/2)*DW48*DZ48*VLOOKUP('Données projet'!$B$14,Paramètres!$A$1:$I$89,3,0)*0.475*44/12</f>
        <v>0.13540204272849565</v>
      </c>
      <c r="ED48" s="22">
        <f t="shared" si="18"/>
        <v>13.339864366562855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9.1999999999999993</v>
      </c>
      <c r="EJ48" s="12">
        <f>IF('Données projet'!$A$192&gt;35,EJ47+EI48-ER47,IF(A48&lt;'Données projet'!$A$192,$EG$205^A48,IF(A48='Données projet'!$A$192,'Données projet'!$B$192,EJ47+EI48-ER47)))</f>
        <v>238.99999999999989</v>
      </c>
      <c r="EK48" s="17">
        <f>EJ48*VLOOKUP('Données projet'!$B$15,Paramètres!$A$1:$I$89,3,0)*VLOOKUP('Données projet'!$B$15,Paramètres!$A$1:$I$89,5,0)</f>
        <v>156.59279999999993</v>
      </c>
      <c r="EL48" s="13">
        <f t="shared" si="45"/>
        <v>40.073051842658174</v>
      </c>
      <c r="EM48" s="20">
        <f t="shared" si="19"/>
        <v>342.52635862596281</v>
      </c>
      <c r="EN48" s="59">
        <f t="shared" si="20"/>
        <v>635.85969195929613</v>
      </c>
      <c r="EO48" s="59">
        <f ca="1">AVERAGE(OFFSET($EN$3,0,0,'Données projet'!$E$15+1,1))-AVERAGE(OFFSET($H$3,0,0,'Données projet'!$E$15+1,1))</f>
        <v>231.03244099494077</v>
      </c>
      <c r="EP48" s="59">
        <f t="shared" si="46"/>
        <v>280.29723026390741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1.6198494003278543</v>
      </c>
      <c r="EW48" s="21">
        <f>EXP(-LN(2)/25)*EW47+(1-EXP(-LN(2)/25))/(LN(2)/25)*Calculateur!ER48*Calculateur!ET48*VLOOKUP('Données projet'!$B$15,Paramètres!$A$1:$I$89,3,0)*0.475*44/12</f>
        <v>9.0452932458460538</v>
      </c>
      <c r="EX48" s="21">
        <f>EXP(-LN(2)/2)*EX47+(1-EXP(-LN(2)/2))/(LN(2)/2)*ER48*EU48*VLOOKUP('Données projet'!$B$15,Paramètres!$A$1:$I$89,3,0)*0.475*44/12</f>
        <v>0.10936318835763105</v>
      </c>
      <c r="EY48" s="22">
        <f t="shared" si="21"/>
        <v>10.77450583453154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193.80815999999993</v>
      </c>
      <c r="P49" s="13">
        <f t="shared" si="33"/>
        <v>48.380908095574689</v>
      </c>
      <c r="Q49" s="20">
        <f t="shared" si="53"/>
        <v>421.81262693312578</v>
      </c>
      <c r="R49" s="59">
        <f t="shared" si="0"/>
        <v>715.14596026645904</v>
      </c>
      <c r="S49" s="59">
        <f ca="1">AVERAGE(OFFSET($R$3,0,0,'Données projet'!$E$9+1,1))-AVERAGE(OFFSET($H$3,0,0,'Données projet'!$E$9+1,1))</f>
        <v>351.15781452544906</v>
      </c>
      <c r="T49" s="59">
        <f t="shared" si="34"/>
        <v>271.54361159160169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1.7544559659558872</v>
      </c>
      <c r="AA49" s="21">
        <f>EXP(-LN(2)/25)*AA48+(1-EXP(-LN(2)/25))/(LN(2)/25)*Calculateur!V49*Calculateur!X49*VLOOKUP('Données projet'!$B$9,Paramètres!$A$1:$I$89,3,0)*0.475*44/12</f>
        <v>7.2403306663567371</v>
      </c>
      <c r="AB49" s="21">
        <f>EXP(-LN(2)/2)*AB48+(1-EXP(-LN(2)/2))/(LN(2)/2)*V49*Y49*VLOOKUP('Données projet'!$B$9,Paramètres!$A$1:$I$89,3,0)*0.475*44/12</f>
        <v>8.419272177385391E-2</v>
      </c>
      <c r="AC49" s="22">
        <f t="shared" si="3"/>
        <v>9.0789793540864796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201.00000000000006</v>
      </c>
      <c r="AJ49" s="13">
        <f>AI49*VLOOKUP('Données projet'!$B$10,Paramètres!$A$1:$I$89,3,0)*VLOOKUP('Données projet'!$B$10,Paramètres!$A$1:$I$89,5,0)</f>
        <v>172.45800000000006</v>
      </c>
      <c r="AK49" s="13">
        <f t="shared" si="35"/>
        <v>43.640073035750284</v>
      </c>
      <c r="AL49" s="20">
        <f t="shared" si="4"/>
        <v>376.37081053726519</v>
      </c>
      <c r="AM49" s="59">
        <f t="shared" si="5"/>
        <v>669.7041438705985</v>
      </c>
      <c r="AN49" s="59">
        <f ca="1">AVERAGE(OFFSET($AM$3,0,0,'Données projet'!$E$10+1,1))-AVERAGE(OFFSET($H$3,0,0,'Données projet'!$E$10+1,1))</f>
        <v>405.59933429804329</v>
      </c>
      <c r="AO49" s="59">
        <f t="shared" si="36"/>
        <v>208.64922573363776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2.8115497033642831</v>
      </c>
      <c r="AW49" s="21">
        <f>EXP(-LN(2)/2)*AW48+(1-EXP(-LN(2)/2))/(LN(2)/2)*AQ49*AT49*VLOOKUP('Données projet'!$B$10,Paramètres!$A$1:$I$89,3,0)*0.475*44/12</f>
        <v>2.7670032466406074E-2</v>
      </c>
      <c r="AX49" s="21">
        <f t="shared" si="6"/>
        <v>2.8392197358306892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8.3000000000000007</v>
      </c>
      <c r="BD49" s="12">
        <f>IF('Données projet'!$A$88&gt;35,BD48+BC49-BL48,IF(A49&lt;'Données projet'!$A$88,$BA$205^A49,IF(A49='Données projet'!$A$88,'Données projet'!$B$88,BD48+BC49-BL48)))</f>
        <v>165.8</v>
      </c>
      <c r="BE49" s="13">
        <f>BD49*VLOOKUP('Données projet'!$B$11,Paramètres!$A$1:$I$89,3,0)*VLOOKUP('Données projet'!$B$11,Paramètres!$A$1:$I$89,5,0)</f>
        <v>160.36176</v>
      </c>
      <c r="BF49" s="13">
        <f t="shared" si="37"/>
        <v>40.924100656281027</v>
      </c>
      <c r="BG49" s="20">
        <f t="shared" si="7"/>
        <v>350.57287397635611</v>
      </c>
      <c r="BH49" s="59">
        <f t="shared" si="8"/>
        <v>643.90620730968942</v>
      </c>
      <c r="BI49" s="59">
        <f ca="1">AVERAGE(OFFSET($BH$3,0,0,'Données projet'!$E$11+1,1))-AVERAGE(OFFSET($H$3,0,0,'Données projet'!$E$11+1,1))</f>
        <v>293.19327646293601</v>
      </c>
      <c r="BJ49" s="59">
        <f t="shared" si="38"/>
        <v>200.0769581869605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2.1305773463945723</v>
      </c>
      <c r="BR49" s="21">
        <f>EXP(-LN(2)/2)*BR48+(1-EXP(-LN(2)/2))/(LN(2)/2)*BL49*BO49*VLOOKUP('Données projet'!$B$11,Paramètres!$A$1:$I$89,3,0)*0.475*44/12</f>
        <v>2.5844529025765249E-2</v>
      </c>
      <c r="BS49" s="22">
        <f t="shared" si="9"/>
        <v>2.1564218754203375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275.00000000000006</v>
      </c>
      <c r="BZ49" s="13">
        <f>BY49*VLOOKUP('Données projet'!$B$12,Paramètres!$A$1:$I$89,3,0)*VLOOKUP('Données projet'!$B$12,Paramètres!$A$1:$I$89,5,0)</f>
        <v>214.50000000000006</v>
      </c>
      <c r="CA49" s="13">
        <f t="shared" si="39"/>
        <v>52.917732192436588</v>
      </c>
      <c r="CB49" s="20">
        <f t="shared" si="10"/>
        <v>465.75255023516047</v>
      </c>
      <c r="CC49" s="59">
        <f t="shared" si="11"/>
        <v>759.08588356849373</v>
      </c>
      <c r="CD49" s="59">
        <f ca="1">AVERAGE(OFFSET($CC$3,0,0,'Données projet'!$E$12+1,1))-AVERAGE(OFFSET($H$3,0,0,'Données projet'!$E$12+1,1))</f>
        <v>295.95249585728561</v>
      </c>
      <c r="CE49" s="59">
        <f t="shared" si="40"/>
        <v>306.85862495052709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1.0533217775905113</v>
      </c>
      <c r="CL49" s="21">
        <f>EXP(-LN(2)/25)*CL48+(1-EXP(-LN(2)/25))/(LN(2)/25)*Calculateur!CG49*Calculateur!CI49*VLOOKUP('Données projet'!$B$12,Paramètres!$A$1:$I$89,3,0)*0.475*44/12</f>
        <v>5.3716010386286461</v>
      </c>
      <c r="CM49" s="21">
        <f>EXP(-LN(2)/2)*CM48+(1-EXP(-LN(2)/2))/(LN(2)/2)*CG49*CJ49*VLOOKUP('Données projet'!$B$12,Paramètres!$A$1:$I$89,3,0)*0.475*44/12</f>
        <v>5.1059295299616544E-2</v>
      </c>
      <c r="CN49" s="22">
        <f t="shared" si="12"/>
        <v>6.4759821115187739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201.00000000000006</v>
      </c>
      <c r="CU49" s="17">
        <f>CT49*VLOOKUP('Données projet'!$B$13,Paramètres!$A$1:$I$89,3,0)*VLOOKUP('Données projet'!$B$13,Paramètres!$A$1:$I$89,5,0)</f>
        <v>191.27160000000006</v>
      </c>
      <c r="CV49" s="13">
        <f t="shared" si="41"/>
        <v>47.820976324217895</v>
      </c>
      <c r="CW49" s="20">
        <f t="shared" si="13"/>
        <v>416.41957043134624</v>
      </c>
      <c r="CX49" s="59">
        <f t="shared" si="14"/>
        <v>709.75290376467956</v>
      </c>
      <c r="CY49" s="59">
        <f ca="1">AVERAGE(OFFSET($CX$3,0,0,'Données projet'!$E$13+1,1))-AVERAGE(OFFSET($H$3,0,0,'Données projet'!$E$13+1,1))</f>
        <v>461.10546083340631</v>
      </c>
      <c r="CZ49" s="59">
        <f t="shared" si="42"/>
        <v>233.41883071412587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2.529912477504122</v>
      </c>
      <c r="DH49" s="21">
        <f>EXP(-LN(2)/2)*DH48+(1-EXP(-LN(2)/2))/(LN(2)/2)*DB49*DE49*VLOOKUP('Données projet'!$B$13,Paramètres!$A$1:$I$89,3,0)*0.475*44/12</f>
        <v>3.068858146274131E-2</v>
      </c>
      <c r="DI49" s="22">
        <f t="shared" si="15"/>
        <v>2.5606010589668631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201.3398399999999</v>
      </c>
      <c r="DQ49" s="13">
        <f t="shared" si="43"/>
        <v>50.038509483090699</v>
      </c>
      <c r="DR49" s="20">
        <f t="shared" si="16"/>
        <v>437.81729201638274</v>
      </c>
      <c r="DS49" s="59">
        <f t="shared" si="17"/>
        <v>731.15062534971605</v>
      </c>
      <c r="DT49" s="59">
        <f ca="1">AVERAGE(OFFSET($DS$3,0,0,'Données projet'!$E$14+1,1))-AVERAGE(OFFSET($H$3,0,0,'Données projet'!$E$14+1,1))</f>
        <v>296.376932094327</v>
      </c>
      <c r="DU49" s="59">
        <f t="shared" si="44"/>
        <v>350.93658329210882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1.9662006515022874</v>
      </c>
      <c r="EB49" s="21">
        <f>EXP(-LN(2)/25)*EB48+(1-EXP(-LN(2)/25))/(LN(2)/25)*Calculateur!DW49*Calculateur!DY49*VLOOKUP('Données projet'!$B$14,Paramètres!$A$1:$I$89,3,0)*0.475*44/12</f>
        <v>10.892699042168781</v>
      </c>
      <c r="EC49" s="21">
        <f>EXP(-LN(2)/2)*EC48+(1-EXP(-LN(2)/2))/(LN(2)/2)*DW49*DZ49*VLOOKUP('Données projet'!$B$14,Paramètres!$A$1:$I$89,3,0)*0.475*44/12</f>
        <v>9.5743702599829936E-2</v>
      </c>
      <c r="ED49" s="22">
        <f t="shared" si="18"/>
        <v>12.954643396270898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9.1999999999999993</v>
      </c>
      <c r="EJ49" s="12">
        <f>IF('Données projet'!$A$192&gt;35,EJ48+EI49-ER48,IF(A49&lt;'Données projet'!$A$192,$EG$205^A49,IF(A49='Données projet'!$A$192,'Données projet'!$B$192,EJ48+EI49-ER48)))</f>
        <v>248.19999999999987</v>
      </c>
      <c r="EK49" s="17">
        <f>EJ49*VLOOKUP('Données projet'!$B$15,Paramètres!$A$1:$I$89,3,0)*VLOOKUP('Données projet'!$B$15,Paramètres!$A$1:$I$89,5,0)</f>
        <v>162.62063999999992</v>
      </c>
      <c r="EL49" s="13">
        <f t="shared" si="45"/>
        <v>41.43304801502606</v>
      </c>
      <c r="EM49" s="20">
        <f t="shared" si="19"/>
        <v>355.39350662617022</v>
      </c>
      <c r="EN49" s="59">
        <f t="shared" si="20"/>
        <v>648.72683995950354</v>
      </c>
      <c r="EO49" s="59">
        <f ca="1">AVERAGE(OFFSET($EN$3,0,0,'Données projet'!$E$15+1,1))-AVERAGE(OFFSET($H$3,0,0,'Données projet'!$E$15+1,1))</f>
        <v>231.03244099494077</v>
      </c>
      <c r="EP49" s="59">
        <f t="shared" si="46"/>
        <v>280.29723026390741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1.5880851415980013</v>
      </c>
      <c r="EW49" s="21">
        <f>EXP(-LN(2)/25)*EW48+(1-EXP(-LN(2)/25))/(LN(2)/25)*Calculateur!ER49*Calculateur!ET49*VLOOKUP('Données projet'!$B$15,Paramètres!$A$1:$I$89,3,0)*0.475*44/12</f>
        <v>8.7979492263670949</v>
      </c>
      <c r="EX49" s="21">
        <f>EXP(-LN(2)/2)*EX48+(1-EXP(-LN(2)/2))/(LN(2)/2)*ER49*EU49*VLOOKUP('Données projet'!$B$15,Paramètres!$A$1:$I$89,3,0)*0.475*44/12</f>
        <v>7.7331452099862599E-2</v>
      </c>
      <c r="EY49" s="22">
        <f t="shared" si="21"/>
        <v>10.463365820064958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203.94191999999993</v>
      </c>
      <c r="P50" s="13">
        <f t="shared" si="33"/>
        <v>50.609495896501116</v>
      </c>
      <c r="Q50" s="20">
        <f t="shared" si="53"/>
        <v>443.3437160197393</v>
      </c>
      <c r="R50" s="59">
        <f t="shared" si="0"/>
        <v>736.67704935307256</v>
      </c>
      <c r="S50" s="59">
        <f ca="1">AVERAGE(OFFSET($R$3,0,0,'Données projet'!$E$9+1,1))-AVERAGE(OFFSET($H$3,0,0,'Données projet'!$E$9+1,1))</f>
        <v>351.15781452544906</v>
      </c>
      <c r="T50" s="59">
        <f t="shared" si="34"/>
        <v>271.54361159160169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1.7200521545759666</v>
      </c>
      <c r="AA50" s="21">
        <f>EXP(-LN(2)/25)*AA49+(1-EXP(-LN(2)/25))/(LN(2)/25)*Calculateur!V50*Calculateur!X50*VLOOKUP('Données projet'!$B$9,Paramètres!$A$1:$I$89,3,0)*0.475*44/12</f>
        <v>7.0423434435327703</v>
      </c>
      <c r="AB50" s="21">
        <f>EXP(-LN(2)/2)*AB49+(1-EXP(-LN(2)/2))/(LN(2)/2)*V50*Y50*VLOOKUP('Données projet'!$B$9,Paramètres!$A$1:$I$89,3,0)*0.475*44/12</f>
        <v>5.9533244492844396E-2</v>
      </c>
      <c r="AC50" s="22">
        <f t="shared" si="3"/>
        <v>8.8219288426015812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212.00000000000006</v>
      </c>
      <c r="AJ50" s="13">
        <f>AI50*VLOOKUP('Données projet'!$B$10,Paramètres!$A$1:$I$89,3,0)*VLOOKUP('Données projet'!$B$10,Paramètres!$A$1:$I$89,5,0)</f>
        <v>181.89600000000007</v>
      </c>
      <c r="AK50" s="13">
        <f t="shared" si="35"/>
        <v>45.743753647228822</v>
      </c>
      <c r="AL50" s="20">
        <f t="shared" si="4"/>
        <v>396.47257093559028</v>
      </c>
      <c r="AM50" s="59">
        <f t="shared" si="5"/>
        <v>689.80590426892354</v>
      </c>
      <c r="AN50" s="59">
        <f ca="1">AVERAGE(OFFSET($AM$3,0,0,'Données projet'!$E$10+1,1))-AVERAGE(OFFSET($H$3,0,0,'Données projet'!$E$10+1,1))</f>
        <v>405.59933429804329</v>
      </c>
      <c r="AO50" s="59">
        <f t="shared" si="36"/>
        <v>208.64922573363776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2.7346677288728136</v>
      </c>
      <c r="AW50" s="21">
        <f>EXP(-LN(2)/2)*AW49+(1-EXP(-LN(2)/2))/(LN(2)/2)*AQ50*AT50*VLOOKUP('Données projet'!$B$10,Paramètres!$A$1:$I$89,3,0)*0.475*44/12</f>
        <v>1.9565667592647665E-2</v>
      </c>
      <c r="AX50" s="21">
        <f t="shared" si="6"/>
        <v>2.7542333964654615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8.3000000000000007</v>
      </c>
      <c r="BD50" s="12">
        <f>IF('Données projet'!$A$88&gt;35,BD49+BC50-BL49,IF(A50&lt;'Données projet'!$A$88,$BA$205^A50,IF(A50='Données projet'!$A$88,'Données projet'!$B$88,BD49+BC50-BL49)))</f>
        <v>174.10000000000002</v>
      </c>
      <c r="BE50" s="13">
        <f>BD50*VLOOKUP('Données projet'!$B$11,Paramètres!$A$1:$I$89,3,0)*VLOOKUP('Données projet'!$B$11,Paramètres!$A$1:$I$89,5,0)</f>
        <v>168.38952</v>
      </c>
      <c r="BF50" s="13">
        <f t="shared" si="37"/>
        <v>42.729130064815024</v>
      </c>
      <c r="BG50" s="20">
        <f t="shared" si="7"/>
        <v>367.69831552955276</v>
      </c>
      <c r="BH50" s="59">
        <f t="shared" si="8"/>
        <v>661.03164886288607</v>
      </c>
      <c r="BI50" s="59">
        <f ca="1">AVERAGE(OFFSET($BH$3,0,0,'Données projet'!$E$11+1,1))-AVERAGE(OFFSET($H$3,0,0,'Données projet'!$E$11+1,1))</f>
        <v>293.19327646293601</v>
      </c>
      <c r="BJ50" s="59">
        <f t="shared" si="38"/>
        <v>200.0769581869605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2.0723165968152197</v>
      </c>
      <c r="BR50" s="21">
        <f>EXP(-LN(2)/2)*BR49+(1-EXP(-LN(2)/2))/(LN(2)/2)*BL50*BO50*VLOOKUP('Données projet'!$B$11,Paramètres!$A$1:$I$89,3,0)*0.475*44/12</f>
        <v>1.8274841730691164E-2</v>
      </c>
      <c r="BS50" s="22">
        <f t="shared" si="9"/>
        <v>2.090591438545911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286.00000000000006</v>
      </c>
      <c r="BZ50" s="13">
        <f>BY50*VLOOKUP('Données projet'!$B$12,Paramètres!$A$1:$I$89,3,0)*VLOOKUP('Données projet'!$B$12,Paramètres!$A$1:$I$89,5,0)</f>
        <v>223.08000000000004</v>
      </c>
      <c r="CA50" s="13">
        <f t="shared" si="39"/>
        <v>54.783765878062667</v>
      </c>
      <c r="CB50" s="20">
        <f t="shared" si="10"/>
        <v>483.94605890429256</v>
      </c>
      <c r="CC50" s="59">
        <f t="shared" si="11"/>
        <v>777.27939223762587</v>
      </c>
      <c r="CD50" s="59">
        <f ca="1">AVERAGE(OFFSET($CC$3,0,0,'Données projet'!$E$12+1,1))-AVERAGE(OFFSET($H$3,0,0,'Données projet'!$E$12+1,1))</f>
        <v>295.95249585728561</v>
      </c>
      <c r="CE50" s="59">
        <f t="shared" si="40"/>
        <v>306.85862495052709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1.0326667799948077</v>
      </c>
      <c r="CL50" s="21">
        <f>EXP(-LN(2)/25)*CL49+(1-EXP(-LN(2)/25))/(LN(2)/25)*Calculateur!CG50*Calculateur!CI50*VLOOKUP('Données projet'!$B$12,Paramètres!$A$1:$I$89,3,0)*0.475*44/12</f>
        <v>5.224714325747124</v>
      </c>
      <c r="CM50" s="21">
        <f>EXP(-LN(2)/2)*CM49+(1-EXP(-LN(2)/2))/(LN(2)/2)*CG50*CJ50*VLOOKUP('Données projet'!$B$12,Paramètres!$A$1:$I$89,3,0)*0.475*44/12</f>
        <v>3.610437394896527E-2</v>
      </c>
      <c r="CN50" s="22">
        <f t="shared" si="12"/>
        <v>6.2934854796908963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212.00000000000006</v>
      </c>
      <c r="CU50" s="17">
        <f>CT50*VLOOKUP('Données projet'!$B$13,Paramètres!$A$1:$I$89,3,0)*VLOOKUP('Données projet'!$B$13,Paramètres!$A$1:$I$89,5,0)</f>
        <v>201.73920000000004</v>
      </c>
      <c r="CV50" s="13">
        <f t="shared" si="41"/>
        <v>50.126198422100714</v>
      </c>
      <c r="CW50" s="20">
        <f t="shared" si="13"/>
        <v>438.66556891849217</v>
      </c>
      <c r="CX50" s="59">
        <f t="shared" si="14"/>
        <v>731.99890225182548</v>
      </c>
      <c r="CY50" s="59">
        <f ca="1">AVERAGE(OFFSET($CX$3,0,0,'Données projet'!$E$13+1,1))-AVERAGE(OFFSET($H$3,0,0,'Données projet'!$E$13+1,1))</f>
        <v>461.10546083340631</v>
      </c>
      <c r="CZ50" s="59">
        <f t="shared" si="42"/>
        <v>233.41883071412587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2.4607318877644566</v>
      </c>
      <c r="DH50" s="21">
        <f>EXP(-LN(2)/2)*DH49+(1-EXP(-LN(2)/2))/(LN(2)/2)*DB50*DE50*VLOOKUP('Données projet'!$B$13,Paramètres!$A$1:$I$89,3,0)*0.475*44/12</f>
        <v>2.1700104057300159E-2</v>
      </c>
      <c r="DI50" s="22">
        <f t="shared" si="15"/>
        <v>2.4824319918217568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208.8028799999999</v>
      </c>
      <c r="DQ50" s="13">
        <f t="shared" si="43"/>
        <v>51.67389788236224</v>
      </c>
      <c r="DR50" s="20">
        <f t="shared" si="16"/>
        <v>453.66372147844748</v>
      </c>
      <c r="DS50" s="59">
        <f t="shared" si="17"/>
        <v>746.9970548117808</v>
      </c>
      <c r="DT50" s="59">
        <f ca="1">AVERAGE(OFFSET($DS$3,0,0,'Données projet'!$E$14+1,1))-AVERAGE(OFFSET($H$3,0,0,'Données projet'!$E$14+1,1))</f>
        <v>296.376932094327</v>
      </c>
      <c r="DU50" s="59">
        <f t="shared" si="44"/>
        <v>350.93658329210882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1.9276446559903075</v>
      </c>
      <c r="EB50" s="21">
        <f>EXP(-LN(2)/25)*EB49+(1-EXP(-LN(2)/25))/(LN(2)/25)*Calculateur!DW50*Calculateur!DY50*VLOOKUP('Données projet'!$B$14,Paramètres!$A$1:$I$89,3,0)*0.475*44/12</f>
        <v>10.594837614038529</v>
      </c>
      <c r="EC50" s="21">
        <f>EXP(-LN(2)/2)*EC49+(1-EXP(-LN(2)/2))/(LN(2)/2)*DW50*DZ50*VLOOKUP('Données projet'!$B$14,Paramètres!$A$1:$I$89,3,0)*0.475*44/12</f>
        <v>6.7701021364247826E-2</v>
      </c>
      <c r="ED50" s="22">
        <f t="shared" si="18"/>
        <v>12.590183291393085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9.1999999999999993</v>
      </c>
      <c r="EJ50" s="12">
        <f>IF('Données projet'!$A$192&gt;35,EJ49+EI50-ER49,IF(A50&lt;'Données projet'!$A$192,$EG$205^A50,IF(A50='Données projet'!$A$192,'Données projet'!$B$192,EJ49+EI50-ER49)))</f>
        <v>257.39999999999986</v>
      </c>
      <c r="EK50" s="17">
        <f>EJ50*VLOOKUP('Données projet'!$B$15,Paramètres!$A$1:$I$89,3,0)*VLOOKUP('Données projet'!$B$15,Paramètres!$A$1:$I$89,5,0)</f>
        <v>168.64847999999989</v>
      </c>
      <c r="EL50" s="13">
        <f t="shared" si="45"/>
        <v>42.787187592127808</v>
      </c>
      <c r="EM50" s="20">
        <f t="shared" si="19"/>
        <v>368.25045438962235</v>
      </c>
      <c r="EN50" s="59">
        <f t="shared" si="20"/>
        <v>661.58378772295566</v>
      </c>
      <c r="EO50" s="59">
        <f ca="1">AVERAGE(OFFSET($EN$3,0,0,'Données projet'!$E$15+1,1))-AVERAGE(OFFSET($H$3,0,0,'Données projet'!$E$15+1,1))</f>
        <v>231.03244099494077</v>
      </c>
      <c r="EP50" s="59">
        <f t="shared" si="46"/>
        <v>280.29723026390741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1.556943760607556</v>
      </c>
      <c r="EW50" s="21">
        <f>EXP(-LN(2)/25)*EW49+(1-EXP(-LN(2)/25))/(LN(2)/25)*Calculateur!ER50*Calculateur!ET50*VLOOKUP('Données projet'!$B$15,Paramètres!$A$1:$I$89,3,0)*0.475*44/12</f>
        <v>8.557368842108044</v>
      </c>
      <c r="EX50" s="21">
        <f>EXP(-LN(2)/2)*EX49+(1-EXP(-LN(2)/2))/(LN(2)/2)*ER50*EU50*VLOOKUP('Données projet'!$B$15,Paramètres!$A$1:$I$89,3,0)*0.475*44/12</f>
        <v>5.4681594178815525E-2</v>
      </c>
      <c r="EY50" s="22">
        <f t="shared" si="21"/>
        <v>10.168994196894415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214.07567999999992</v>
      </c>
      <c r="P51" s="13">
        <f t="shared" si="33"/>
        <v>52.825225496078176</v>
      </c>
      <c r="Q51" s="20">
        <f t="shared" si="53"/>
        <v>464.85241040566939</v>
      </c>
      <c r="R51" s="59">
        <f t="shared" si="0"/>
        <v>758.18574373900265</v>
      </c>
      <c r="S51" s="59">
        <f ca="1">AVERAGE(OFFSET($R$3,0,0,'Données projet'!$E$9+1,1))-AVERAGE(OFFSET($H$3,0,0,'Données projet'!$E$9+1,1))</f>
        <v>351.15781452544906</v>
      </c>
      <c r="T51" s="59">
        <f t="shared" si="34"/>
        <v>271.54361159160169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1.6863229809529534</v>
      </c>
      <c r="AA51" s="21">
        <f>EXP(-LN(2)/25)*AA50+(1-EXP(-LN(2)/25))/(LN(2)/25)*Calculateur!V51*Calculateur!X51*VLOOKUP('Données projet'!$B$9,Paramètres!$A$1:$I$89,3,0)*0.475*44/12</f>
        <v>6.8497701917286209</v>
      </c>
      <c r="AB51" s="21">
        <f>EXP(-LN(2)/2)*AB50+(1-EXP(-LN(2)/2))/(LN(2)/2)*V51*Y51*VLOOKUP('Données projet'!$B$9,Paramètres!$A$1:$I$89,3,0)*0.475*44/12</f>
        <v>4.2096360886926962E-2</v>
      </c>
      <c r="AC51" s="22">
        <f t="shared" si="3"/>
        <v>8.5781895335685014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223.00000000000006</v>
      </c>
      <c r="AJ51" s="13">
        <f>AI51*VLOOKUP('Données projet'!$B$10,Paramètres!$A$1:$I$89,3,0)*VLOOKUP('Données projet'!$B$10,Paramètres!$A$1:$I$89,5,0)</f>
        <v>191.33400000000006</v>
      </c>
      <c r="AK51" s="13">
        <f t="shared" si="35"/>
        <v>47.834761109304836</v>
      </c>
      <c r="AL51" s="20">
        <f t="shared" si="4"/>
        <v>416.55225893203936</v>
      </c>
      <c r="AM51" s="59">
        <f t="shared" si="5"/>
        <v>709.88559226537268</v>
      </c>
      <c r="AN51" s="59">
        <f ca="1">AVERAGE(OFFSET($AM$3,0,0,'Données projet'!$E$10+1,1))-AVERAGE(OFFSET($H$3,0,0,'Données projet'!$E$10+1,1))</f>
        <v>405.59933429804329</v>
      </c>
      <c r="AO51" s="59">
        <f t="shared" si="36"/>
        <v>208.64922573363776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2.6598880960168607</v>
      </c>
      <c r="AW51" s="21">
        <f>EXP(-LN(2)/2)*AW50+(1-EXP(-LN(2)/2))/(LN(2)/2)*AQ51*AT51*VLOOKUP('Données projet'!$B$10,Paramètres!$A$1:$I$89,3,0)*0.475*44/12</f>
        <v>1.3835016233203037E-2</v>
      </c>
      <c r="AX51" s="21">
        <f t="shared" si="6"/>
        <v>2.6737231122500638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8.3000000000000007</v>
      </c>
      <c r="BD51" s="12">
        <f>IF('Données projet'!$A$88&gt;35,BD50+BC51-BL50,IF(A51&lt;'Données projet'!$A$88,$BA$205^A51,IF(A51='Données projet'!$A$88,'Données projet'!$B$88,BD50+BC51-BL50)))</f>
        <v>182.40000000000003</v>
      </c>
      <c r="BE51" s="13">
        <f>BD51*VLOOKUP('Données projet'!$B$11,Paramètres!$A$1:$I$89,3,0)*VLOOKUP('Données projet'!$B$11,Paramètres!$A$1:$I$89,5,0)</f>
        <v>176.41728000000003</v>
      </c>
      <c r="BF51" s="13">
        <f t="shared" si="37"/>
        <v>44.524166703747291</v>
      </c>
      <c r="BG51" s="20">
        <f t="shared" si="7"/>
        <v>384.80635300902651</v>
      </c>
      <c r="BH51" s="59">
        <f t="shared" si="8"/>
        <v>678.13968634235982</v>
      </c>
      <c r="BI51" s="59">
        <f ca="1">AVERAGE(OFFSET($BH$3,0,0,'Données projet'!$E$11+1,1))-AVERAGE(OFFSET($H$3,0,0,'Données projet'!$E$11+1,1))</f>
        <v>293.19327646293601</v>
      </c>
      <c r="BJ51" s="59">
        <f t="shared" si="38"/>
        <v>200.0769581869605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2.0156489904969139</v>
      </c>
      <c r="BR51" s="21">
        <f>EXP(-LN(2)/2)*BR50+(1-EXP(-LN(2)/2))/(LN(2)/2)*BL51*BO51*VLOOKUP('Données projet'!$B$11,Paramètres!$A$1:$I$89,3,0)*0.475*44/12</f>
        <v>1.2922264512882625E-2</v>
      </c>
      <c r="BS51" s="22">
        <f t="shared" si="9"/>
        <v>2.0285712550097967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297.00000000000006</v>
      </c>
      <c r="BZ51" s="13">
        <f>BY51*VLOOKUP('Données projet'!$B$12,Paramètres!$A$1:$I$89,3,0)*VLOOKUP('Données projet'!$B$12,Paramètres!$A$1:$I$89,5,0)</f>
        <v>231.66000000000005</v>
      </c>
      <c r="CA51" s="13">
        <f t="shared" si="39"/>
        <v>56.641461975682823</v>
      </c>
      <c r="CB51" s="20">
        <f t="shared" si="10"/>
        <v>502.12504627431434</v>
      </c>
      <c r="CC51" s="59">
        <f t="shared" si="11"/>
        <v>795.45837960764766</v>
      </c>
      <c r="CD51" s="59">
        <f ca="1">AVERAGE(OFFSET($CC$3,0,0,'Données projet'!$E$12+1,1))-AVERAGE(OFFSET($H$3,0,0,'Données projet'!$E$12+1,1))</f>
        <v>295.95249585728561</v>
      </c>
      <c r="CE51" s="59">
        <f t="shared" si="40"/>
        <v>306.85862495052709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1.0124168143036514</v>
      </c>
      <c r="CL51" s="21">
        <f>EXP(-LN(2)/25)*CL50+(1-EXP(-LN(2)/25))/(LN(2)/25)*Calculateur!CG51*Calculateur!CI51*VLOOKUP('Données projet'!$B$12,Paramètres!$A$1:$I$89,3,0)*0.475*44/12</f>
        <v>5.081844237753784</v>
      </c>
      <c r="CM51" s="21">
        <f>EXP(-LN(2)/2)*CM50+(1-EXP(-LN(2)/2))/(LN(2)/2)*CG51*CJ51*VLOOKUP('Données projet'!$B$12,Paramètres!$A$1:$I$89,3,0)*0.475*44/12</f>
        <v>2.5529647649808272E-2</v>
      </c>
      <c r="CN51" s="22">
        <f t="shared" si="12"/>
        <v>6.1197906997072433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223.00000000000006</v>
      </c>
      <c r="CU51" s="17">
        <f>CT51*VLOOKUP('Données projet'!$B$13,Paramètres!$A$1:$I$89,3,0)*VLOOKUP('Données projet'!$B$13,Paramètres!$A$1:$I$89,5,0)</f>
        <v>212.20680000000004</v>
      </c>
      <c r="CV51" s="13">
        <f t="shared" si="41"/>
        <v>52.417533229349679</v>
      </c>
      <c r="CW51" s="20">
        <f t="shared" si="13"/>
        <v>460.88738037445069</v>
      </c>
      <c r="CX51" s="59">
        <f t="shared" si="14"/>
        <v>754.22071370778394</v>
      </c>
      <c r="CY51" s="59">
        <f ca="1">AVERAGE(OFFSET($CX$3,0,0,'Données projet'!$E$13+1,1))-AVERAGE(OFFSET($H$3,0,0,'Données projet'!$E$13+1,1))</f>
        <v>461.10546083340631</v>
      </c>
      <c r="CZ51" s="59">
        <f t="shared" si="42"/>
        <v>233.41883071412587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2.3934430448892718</v>
      </c>
      <c r="DH51" s="21">
        <f>EXP(-LN(2)/2)*DH50+(1-EXP(-LN(2)/2))/(LN(2)/2)*DB51*DE51*VLOOKUP('Données projet'!$B$13,Paramètres!$A$1:$I$89,3,0)*0.475*44/12</f>
        <v>1.5344290731370657E-2</v>
      </c>
      <c r="DI51" s="22">
        <f t="shared" si="15"/>
        <v>2.4087873356206426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216.26591999999988</v>
      </c>
      <c r="DQ51" s="13">
        <f t="shared" si="43"/>
        <v>53.302495062173776</v>
      </c>
      <c r="DR51" s="20">
        <f t="shared" si="16"/>
        <v>469.49832289995237</v>
      </c>
      <c r="DS51" s="59">
        <f t="shared" si="17"/>
        <v>762.83165623328568</v>
      </c>
      <c r="DT51" s="59">
        <f ca="1">AVERAGE(OFFSET($DS$3,0,0,'Données projet'!$E$14+1,1))-AVERAGE(OFFSET($H$3,0,0,'Données projet'!$E$14+1,1))</f>
        <v>296.376932094327</v>
      </c>
      <c r="DU51" s="59">
        <f t="shared" si="44"/>
        <v>350.93658329210882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1.8898447200334825</v>
      </c>
      <c r="EB51" s="21">
        <f>EXP(-LN(2)/25)*EB50+(1-EXP(-LN(2)/25))/(LN(2)/25)*Calculateur!DW51*Calculateur!DY51*VLOOKUP('Données projet'!$B$14,Paramètres!$A$1:$I$89,3,0)*0.475*44/12</f>
        <v>10.305121222324349</v>
      </c>
      <c r="EC51" s="21">
        <f>EXP(-LN(2)/2)*EC50+(1-EXP(-LN(2)/2))/(LN(2)/2)*DW51*DZ51*VLOOKUP('Données projet'!$B$14,Paramètres!$A$1:$I$89,3,0)*0.475*44/12</f>
        <v>4.7871851299914968E-2</v>
      </c>
      <c r="ED51" s="22">
        <f t="shared" si="18"/>
        <v>12.242837793657745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9.1999999999999993</v>
      </c>
      <c r="EJ51" s="12">
        <f>IF('Données projet'!$A$192&gt;35,EJ50+EI51-ER50,IF(A51&lt;'Données projet'!$A$192,$EG$205^A51,IF(A51='Données projet'!$A$192,'Données projet'!$B$192,EJ50+EI51-ER50)))</f>
        <v>266.59999999999985</v>
      </c>
      <c r="EK51" s="17">
        <f>EJ51*VLOOKUP('Données projet'!$B$15,Paramètres!$A$1:$I$89,3,0)*VLOOKUP('Données projet'!$B$15,Paramètres!$A$1:$I$89,5,0)</f>
        <v>174.67631999999992</v>
      </c>
      <c r="EL51" s="13">
        <f t="shared" si="45"/>
        <v>44.135703881788075</v>
      </c>
      <c r="EM51" s="20">
        <f t="shared" si="19"/>
        <v>381.09760826078076</v>
      </c>
      <c r="EN51" s="59">
        <f t="shared" si="20"/>
        <v>674.43094159411407</v>
      </c>
      <c r="EO51" s="59">
        <f ca="1">AVERAGE(OFFSET($EN$3,0,0,'Données projet'!$E$15+1,1))-AVERAGE(OFFSET($H$3,0,0,'Données projet'!$E$15+1,1))</f>
        <v>231.03244099494077</v>
      </c>
      <c r="EP51" s="59">
        <f t="shared" si="46"/>
        <v>280.29723026390741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1.5264130431039664</v>
      </c>
      <c r="EW51" s="21">
        <f>EXP(-LN(2)/25)*EW50+(1-EXP(-LN(2)/25))/(LN(2)/25)*Calculateur!ER51*Calculateur!ET51*VLOOKUP('Données projet'!$B$15,Paramètres!$A$1:$I$89,3,0)*0.475*44/12</f>
        <v>8.3233671411081307</v>
      </c>
      <c r="EX51" s="21">
        <f>EXP(-LN(2)/2)*EX50+(1-EXP(-LN(2)/2))/(LN(2)/2)*ER51*EU51*VLOOKUP('Données projet'!$B$15,Paramètres!$A$1:$I$89,3,0)*0.475*44/12</f>
        <v>3.86657260499313E-2</v>
      </c>
      <c r="EY51" s="22">
        <f t="shared" si="21"/>
        <v>9.8884459102620283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224.20943999999992</v>
      </c>
      <c r="P52" s="13">
        <f t="shared" si="33"/>
        <v>55.028775065392324</v>
      </c>
      <c r="Q52" s="20">
        <f t="shared" si="53"/>
        <v>486.33989123889143</v>
      </c>
      <c r="R52" s="59">
        <f t="shared" si="0"/>
        <v>779.67322457222474</v>
      </c>
      <c r="S52" s="59">
        <f ca="1">AVERAGE(OFFSET($R$3,0,0,'Données projet'!$E$9+1,1))-AVERAGE(OFFSET($H$3,0,0,'Données projet'!$E$9+1,1))</f>
        <v>351.15781452544906</v>
      </c>
      <c r="T52" s="59">
        <f t="shared" si="34"/>
        <v>271.54361159160169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1.6532552158519229</v>
      </c>
      <c r="AA52" s="21">
        <f>EXP(-LN(2)/25)*AA51+(1-EXP(-LN(2)/25))/(LN(2)/25)*Calculateur!V52*Calculateur!X52*VLOOKUP('Données projet'!$B$9,Paramètres!$A$1:$I$89,3,0)*0.475*44/12</f>
        <v>6.662462865622043</v>
      </c>
      <c r="AB52" s="21">
        <f>EXP(-LN(2)/2)*AB51+(1-EXP(-LN(2)/2))/(LN(2)/2)*V52*Y52*VLOOKUP('Données projet'!$B$9,Paramètres!$A$1:$I$89,3,0)*0.475*44/12</f>
        <v>2.9766622246422202E-2</v>
      </c>
      <c r="AC52" s="22">
        <f t="shared" si="3"/>
        <v>8.3454847037203876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234.00000000000006</v>
      </c>
      <c r="AJ52" s="13">
        <f>AI52*VLOOKUP('Données projet'!$B$10,Paramètres!$A$1:$I$89,3,0)*VLOOKUP('Données projet'!$B$10,Paramètres!$A$1:$I$89,5,0)</f>
        <v>200.77200000000008</v>
      </c>
      <c r="AK52" s="13">
        <f t="shared" si="35"/>
        <v>49.913791898945412</v>
      </c>
      <c r="AL52" s="20">
        <f t="shared" si="4"/>
        <v>436.61108755732999</v>
      </c>
      <c r="AM52" s="59">
        <f t="shared" si="5"/>
        <v>729.94442089066331</v>
      </c>
      <c r="AN52" s="59">
        <f ca="1">AVERAGE(OFFSET($AM$3,0,0,'Données projet'!$E$10+1,1))-AVERAGE(OFFSET($H$3,0,0,'Données projet'!$E$10+1,1))</f>
        <v>405.59933429804329</v>
      </c>
      <c r="AO52" s="59">
        <f t="shared" si="36"/>
        <v>208.64922573363776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2.5871533161538438</v>
      </c>
      <c r="AW52" s="21">
        <f>EXP(-LN(2)/2)*AW51+(1-EXP(-LN(2)/2))/(LN(2)/2)*AQ52*AT52*VLOOKUP('Données projet'!$B$10,Paramètres!$A$1:$I$89,3,0)*0.475*44/12</f>
        <v>9.7828337963238327E-3</v>
      </c>
      <c r="AX52" s="21">
        <f t="shared" si="6"/>
        <v>2.5969361499501677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8.3000000000000007</v>
      </c>
      <c r="BD52" s="12">
        <f>IF('Données projet'!$A$88&gt;35,BD51+BC52-BL51,IF(A52&lt;'Données projet'!$A$88,$BA$205^A52,IF(A52='Données projet'!$A$88,'Données projet'!$B$88,BD51+BC52-BL51)))</f>
        <v>190.70000000000005</v>
      </c>
      <c r="BE52" s="13">
        <f>BD52*VLOOKUP('Données projet'!$B$11,Paramètres!$A$1:$I$89,3,0)*VLOOKUP('Données projet'!$B$11,Paramètres!$A$1:$I$89,5,0)</f>
        <v>184.44504000000003</v>
      </c>
      <c r="BF52" s="13">
        <f t="shared" si="37"/>
        <v>46.309717231989865</v>
      </c>
      <c r="BG52" s="20">
        <f t="shared" si="7"/>
        <v>401.89786884571572</v>
      </c>
      <c r="BH52" s="59">
        <f t="shared" si="8"/>
        <v>695.23120217904898</v>
      </c>
      <c r="BI52" s="59">
        <f ca="1">AVERAGE(OFFSET($BH$3,0,0,'Données projet'!$E$11+1,1))-AVERAGE(OFFSET($H$3,0,0,'Données projet'!$E$11+1,1))</f>
        <v>293.19327646293601</v>
      </c>
      <c r="BJ52" s="59">
        <f t="shared" si="38"/>
        <v>200.0769581869605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1.9605309628534022</v>
      </c>
      <c r="BR52" s="21">
        <f>EXP(-LN(2)/2)*BR51+(1-EXP(-LN(2)/2))/(LN(2)/2)*BL52*BO52*VLOOKUP('Données projet'!$B$11,Paramètres!$A$1:$I$89,3,0)*0.475*44/12</f>
        <v>9.1374208653455819E-3</v>
      </c>
      <c r="BS52" s="22">
        <f t="shared" si="9"/>
        <v>1.9696683837187479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308.00000000000006</v>
      </c>
      <c r="BZ52" s="13">
        <f>BY52*VLOOKUP('Données projet'!$B$12,Paramètres!$A$1:$I$89,3,0)*VLOOKUP('Données projet'!$B$12,Paramètres!$A$1:$I$89,5,0)</f>
        <v>240.24000000000007</v>
      </c>
      <c r="CA52" s="13">
        <f t="shared" si="39"/>
        <v>58.491164647183133</v>
      </c>
      <c r="CB52" s="20">
        <f t="shared" si="10"/>
        <v>520.29011176051074</v>
      </c>
      <c r="CC52" s="59">
        <f t="shared" si="11"/>
        <v>813.62344509384411</v>
      </c>
      <c r="CD52" s="59">
        <f ca="1">AVERAGE(OFFSET($CC$3,0,0,'Données projet'!$E$12+1,1))-AVERAGE(OFFSET($H$3,0,0,'Données projet'!$E$12+1,1))</f>
        <v>295.95249585728561</v>
      </c>
      <c r="CE52" s="59">
        <f t="shared" si="40"/>
        <v>306.85862495052709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0.99256393808843912</v>
      </c>
      <c r="CL52" s="21">
        <f>EXP(-LN(2)/25)*CL51+(1-EXP(-LN(2)/25))/(LN(2)/25)*Calculateur!CG52*Calculateur!CI52*VLOOKUP('Données projet'!$B$12,Paramètres!$A$1:$I$89,3,0)*0.475*44/12</f>
        <v>4.9428809398298332</v>
      </c>
      <c r="CM52" s="21">
        <f>EXP(-LN(2)/2)*CM51+(1-EXP(-LN(2)/2))/(LN(2)/2)*CG52*CJ52*VLOOKUP('Données projet'!$B$12,Paramètres!$A$1:$I$89,3,0)*0.475*44/12</f>
        <v>1.8052186974482635E-2</v>
      </c>
      <c r="CN52" s="22">
        <f t="shared" si="12"/>
        <v>5.9534970648927557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234.00000000000006</v>
      </c>
      <c r="CU52" s="17">
        <f>CT52*VLOOKUP('Données projet'!$B$13,Paramètres!$A$1:$I$89,3,0)*VLOOKUP('Données projet'!$B$13,Paramètres!$A$1:$I$89,5,0)</f>
        <v>222.67440000000008</v>
      </c>
      <c r="CV52" s="13">
        <f t="shared" si="41"/>
        <v>54.695743948366477</v>
      </c>
      <c r="CW52" s="20">
        <f t="shared" si="13"/>
        <v>483.08633404340503</v>
      </c>
      <c r="CX52" s="59">
        <f t="shared" si="14"/>
        <v>776.41966737673829</v>
      </c>
      <c r="CY52" s="59">
        <f ca="1">AVERAGE(OFFSET($CX$3,0,0,'Données projet'!$E$13+1,1))-AVERAGE(OFFSET($H$3,0,0,'Données projet'!$E$13+1,1))</f>
        <v>461.10546083340631</v>
      </c>
      <c r="CZ52" s="59">
        <f t="shared" si="42"/>
        <v>233.41883071412587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2.3279942189610754</v>
      </c>
      <c r="DH52" s="21">
        <f>EXP(-LN(2)/2)*DH51+(1-EXP(-LN(2)/2))/(LN(2)/2)*DB52*DE52*VLOOKUP('Données projet'!$B$13,Paramètres!$A$1:$I$89,3,0)*0.475*44/12</f>
        <v>1.0850052028650081E-2</v>
      </c>
      <c r="DI52" s="22">
        <f t="shared" si="15"/>
        <v>2.3388442709897257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223.72895999999986</v>
      </c>
      <c r="DQ52" s="13">
        <f t="shared" si="43"/>
        <v>54.924562237784592</v>
      </c>
      <c r="DR52" s="20">
        <f t="shared" si="16"/>
        <v>485.32155123080787</v>
      </c>
      <c r="DS52" s="59">
        <f t="shared" si="17"/>
        <v>778.65488456414118</v>
      </c>
      <c r="DT52" s="59">
        <f ca="1">AVERAGE(OFFSET($DS$3,0,0,'Données projet'!$E$14+1,1))-AVERAGE(OFFSET($H$3,0,0,'Données projet'!$E$14+1,1))</f>
        <v>296.376932094327</v>
      </c>
      <c r="DU52" s="59">
        <f t="shared" si="44"/>
        <v>350.93658329210882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1.8527860177650863</v>
      </c>
      <c r="EB52" s="21">
        <f>EXP(-LN(2)/25)*EB51+(1-EXP(-LN(2)/25))/(LN(2)/25)*Calculateur!DW52*Calculateur!DY52*VLOOKUP('Données projet'!$B$14,Paramètres!$A$1:$I$89,3,0)*0.475*44/12</f>
        <v>10.023327140577118</v>
      </c>
      <c r="EC52" s="21">
        <f>EXP(-LN(2)/2)*EC51+(1-EXP(-LN(2)/2))/(LN(2)/2)*DW52*DZ52*VLOOKUP('Données projet'!$B$14,Paramètres!$A$1:$I$89,3,0)*0.475*44/12</f>
        <v>3.3850510682123913E-2</v>
      </c>
      <c r="ED52" s="22">
        <f t="shared" si="18"/>
        <v>11.909963669024327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9.1999999999999993</v>
      </c>
      <c r="EJ52" s="12">
        <f>IF('Données projet'!$A$192&gt;35,EJ51+EI52-ER51,IF(A52&lt;'Données projet'!$A$192,$EG$205^A52,IF(A52='Données projet'!$A$192,'Données projet'!$B$192,EJ51+EI52-ER51)))</f>
        <v>275.79999999999984</v>
      </c>
      <c r="EK52" s="17">
        <f>EJ52*VLOOKUP('Données projet'!$B$15,Paramètres!$A$1:$I$89,3,0)*VLOOKUP('Données projet'!$B$15,Paramètres!$A$1:$I$89,5,0)</f>
        <v>180.70415999999989</v>
      </c>
      <c r="EL52" s="13">
        <f t="shared" si="45"/>
        <v>45.4788131763084</v>
      </c>
      <c r="EM52" s="20">
        <f t="shared" si="19"/>
        <v>393.93534494873688</v>
      </c>
      <c r="EN52" s="59">
        <f t="shared" si="20"/>
        <v>687.26867828207014</v>
      </c>
      <c r="EO52" s="59">
        <f ca="1">AVERAGE(OFFSET($EN$3,0,0,'Données projet'!$E$15+1,1))-AVERAGE(OFFSET($H$3,0,0,'Données projet'!$E$15+1,1))</f>
        <v>231.03244099494077</v>
      </c>
      <c r="EP52" s="59">
        <f t="shared" si="46"/>
        <v>280.29723026390741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1.4964810143487233</v>
      </c>
      <c r="EW52" s="21">
        <f>EXP(-LN(2)/25)*EW51+(1-EXP(-LN(2)/25))/(LN(2)/25)*Calculateur!ER52*Calculateur!ET52*VLOOKUP('Données projet'!$B$15,Paramètres!$A$1:$I$89,3,0)*0.475*44/12</f>
        <v>8.0957642289276741</v>
      </c>
      <c r="EX52" s="21">
        <f>EXP(-LN(2)/2)*EX51+(1-EXP(-LN(2)/2))/(LN(2)/2)*ER52*EU52*VLOOKUP('Données projet'!$B$15,Paramètres!$A$1:$I$89,3,0)*0.475*44/12</f>
        <v>2.7340797089407762E-2</v>
      </c>
      <c r="EY52" s="22">
        <f t="shared" si="21"/>
        <v>9.6195860403658067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234.34319999999988</v>
      </c>
      <c r="P53" s="13">
        <f t="shared" si="33"/>
        <v>57.220758006491614</v>
      </c>
      <c r="Q53" s="20">
        <f t="shared" si="53"/>
        <v>507.80722686130594</v>
      </c>
      <c r="R53" s="59">
        <f t="shared" si="0"/>
        <v>801.14056019463919</v>
      </c>
      <c r="S53" s="59">
        <f ca="1">AVERAGE(OFFSET($R$3,0,0,'Données projet'!$E$9+1,1))-AVERAGE(OFFSET($H$3,0,0,'Données projet'!$E$9+1,1))</f>
        <v>351.15781452544906</v>
      </c>
      <c r="T53" s="59">
        <f t="shared" si="34"/>
        <v>271.54361159160169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1.6208358894551784</v>
      </c>
      <c r="AA53" s="21">
        <f>EXP(-LN(2)/25)*AA52+(1-EXP(-LN(2)/25))/(LN(2)/25)*Calculateur!V53*Calculateur!X53*VLOOKUP('Données projet'!$B$9,Paramètres!$A$1:$I$89,3,0)*0.475*44/12</f>
        <v>6.4802774681979134</v>
      </c>
      <c r="AB53" s="21">
        <f>EXP(-LN(2)/2)*AB52+(1-EXP(-LN(2)/2))/(LN(2)/2)*V53*Y53*VLOOKUP('Données projet'!$B$9,Paramètres!$A$1:$I$89,3,0)*0.475*44/12</f>
        <v>2.1048180443463484E-2</v>
      </c>
      <c r="AC53" s="22">
        <f t="shared" si="3"/>
        <v>8.1221615380965542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245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245.00000000000006</v>
      </c>
      <c r="AJ53" s="13">
        <f>AI53*VLOOKUP('Données projet'!$B$10,Paramètres!$A$1:$I$89,3,0)*VLOOKUP('Données projet'!$B$10,Paramètres!$A$1:$I$89,5,0)</f>
        <v>210.21000000000006</v>
      </c>
      <c r="AK53" s="13">
        <f t="shared" si="35"/>
        <v>51.981473312002848</v>
      </c>
      <c r="AL53" s="20">
        <f t="shared" si="4"/>
        <v>456.65014935173843</v>
      </c>
      <c r="AM53" s="59">
        <f t="shared" si="5"/>
        <v>749.98348268507175</v>
      </c>
      <c r="AN53" s="59">
        <f ca="1">AVERAGE(OFFSET($AM$3,0,0,'Données projet'!$E$10+1,1))-AVERAGE(OFFSET($H$3,0,0,'Données projet'!$E$10+1,1))</f>
        <v>405.59933429804329</v>
      </c>
      <c r="AO53" s="59">
        <f t="shared" si="36"/>
        <v>208.64922573363776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2.516407472671137</v>
      </c>
      <c r="AW53" s="21">
        <f>EXP(-LN(2)/2)*AW52+(1-EXP(-LN(2)/2))/(LN(2)/2)*AQ53*AT53*VLOOKUP('Données projet'!$B$10,Paramètres!$A$1:$I$89,3,0)*0.475*44/12</f>
        <v>6.9175081166015185E-3</v>
      </c>
      <c r="AX53" s="21">
        <f t="shared" si="6"/>
        <v>2.5233249807877383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199</v>
      </c>
      <c r="BB53" s="12">
        <f>VLOOKUP(A53,'Données projet'!$A$87:$I$107,9,0)</f>
        <v>8.3000000000000007</v>
      </c>
      <c r="BC53" s="12">
        <f t="array" ref="BC53">INDEX(BB:BB,MIN(IF(ISNUMBER(BB53:BB249),ROW(BB53:BB249),"")))</f>
        <v>8.3000000000000007</v>
      </c>
      <c r="BD53" s="12">
        <f>IF('Données projet'!$A$88&gt;35,BD52+BC53-BL52,IF(A53&lt;'Données projet'!$A$88,$BA$205^A53,IF(A53='Données projet'!$A$88,'Données projet'!$B$88,BD52+BC53-BL52)))</f>
        <v>199.00000000000006</v>
      </c>
      <c r="BE53" s="13">
        <f>BD53*VLOOKUP('Données projet'!$B$11,Paramètres!$A$1:$I$89,3,0)*VLOOKUP('Données projet'!$B$11,Paramètres!$A$1:$I$89,5,0)</f>
        <v>192.47280000000006</v>
      </c>
      <c r="BF53" s="13">
        <f t="shared" si="37"/>
        <v>48.086241710923829</v>
      </c>
      <c r="BG53" s="20">
        <f t="shared" si="7"/>
        <v>418.97366431319239</v>
      </c>
      <c r="BH53" s="59">
        <f t="shared" si="8"/>
        <v>712.3069976465257</v>
      </c>
      <c r="BI53" s="59">
        <f ca="1">AVERAGE(OFFSET($BH$3,0,0,'Données projet'!$E$11+1,1))-AVERAGE(OFFSET($H$3,0,0,'Données projet'!$E$11+1,1))</f>
        <v>293.19327646293601</v>
      </c>
      <c r="BJ53" s="59">
        <f t="shared" si="38"/>
        <v>200.0769581869605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1.9069201405743335</v>
      </c>
      <c r="BR53" s="21">
        <f>EXP(-LN(2)/2)*BR52+(1-EXP(-LN(2)/2))/(LN(2)/2)*BL53*BO53*VLOOKUP('Données projet'!$B$11,Paramètres!$A$1:$I$89,3,0)*0.475*44/12</f>
        <v>6.4611322564413123E-3</v>
      </c>
      <c r="BS53" s="22">
        <f t="shared" si="9"/>
        <v>1.9133812728307749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319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319.00000000000006</v>
      </c>
      <c r="BZ53" s="13">
        <f>BY53*VLOOKUP('Données projet'!$B$12,Paramètres!$A$1:$I$89,3,0)*VLOOKUP('Données projet'!$B$12,Paramètres!$A$1:$I$89,5,0)</f>
        <v>248.82000000000005</v>
      </c>
      <c r="CA53" s="13">
        <f t="shared" si="39"/>
        <v>60.333192077890068</v>
      </c>
      <c r="CB53" s="20">
        <f t="shared" si="10"/>
        <v>538.44180953565865</v>
      </c>
      <c r="CC53" s="59">
        <f t="shared" si="11"/>
        <v>831.77514286899191</v>
      </c>
      <c r="CD53" s="59">
        <f ca="1">AVERAGE(OFFSET($CC$3,0,0,'Données projet'!$E$12+1,1))-AVERAGE(OFFSET($H$3,0,0,'Données projet'!$E$12+1,1))</f>
        <v>295.95249585728561</v>
      </c>
      <c r="CE53" s="59">
        <f t="shared" si="40"/>
        <v>306.85862495052709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71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0.97310036466674832</v>
      </c>
      <c r="CL53" s="21">
        <f>EXP(-LN(2)/25)*CL52+(1-EXP(-LN(2)/25))/(LN(2)/25)*Calculateur!CG53*Calculateur!CI53*VLOOKUP('Données projet'!$B$12,Paramètres!$A$1:$I$89,3,0)*0.475*44/12</f>
        <v>4.8077176005953746</v>
      </c>
      <c r="CM53" s="21">
        <f>EXP(-LN(2)/2)*CM52+(1-EXP(-LN(2)/2))/(LN(2)/2)*CG53*CJ53*VLOOKUP('Données projet'!$B$12,Paramètres!$A$1:$I$89,3,0)*0.475*44/12</f>
        <v>1.2764823824904136E-2</v>
      </c>
      <c r="CN53" s="22">
        <f t="shared" si="12"/>
        <v>5.7935827890870266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245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245.00000000000006</v>
      </c>
      <c r="CU53" s="17">
        <f>CT53*VLOOKUP('Données projet'!$B$13,Paramètres!$A$1:$I$89,3,0)*VLOOKUP('Données projet'!$B$13,Paramètres!$A$1:$I$89,5,0)</f>
        <v>233.14200000000008</v>
      </c>
      <c r="CV53" s="13">
        <f t="shared" si="41"/>
        <v>56.961517972595153</v>
      </c>
      <c r="CW53" s="20">
        <f t="shared" si="13"/>
        <v>505.26362713560337</v>
      </c>
      <c r="CX53" s="59">
        <f t="shared" si="14"/>
        <v>798.59696046893669</v>
      </c>
      <c r="CY53" s="59">
        <f ca="1">AVERAGE(OFFSET($CX$3,0,0,'Données projet'!$E$13+1,1))-AVERAGE(OFFSET($H$3,0,0,'Données projet'!$E$13+1,1))</f>
        <v>461.10546083340631</v>
      </c>
      <c r="CZ53" s="59">
        <f t="shared" si="42"/>
        <v>233.41883071412587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56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2.2643350946196894</v>
      </c>
      <c r="DH53" s="21">
        <f>EXP(-LN(2)/2)*DH52+(1-EXP(-LN(2)/2))/(LN(2)/2)*DB53*DE53*VLOOKUP('Données projet'!$B$13,Paramètres!$A$1:$I$89,3,0)*0.475*44/12</f>
        <v>7.6721453656853292E-3</v>
      </c>
      <c r="DI53" s="22">
        <f t="shared" si="15"/>
        <v>2.2720072399853746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231.19199999999987</v>
      </c>
      <c r="DQ53" s="13">
        <f t="shared" si="43"/>
        <v>56.540342208595177</v>
      </c>
      <c r="DR53" s="20">
        <f t="shared" si="16"/>
        <v>501.13382934663628</v>
      </c>
      <c r="DS53" s="59">
        <f t="shared" si="17"/>
        <v>794.46716267996953</v>
      </c>
      <c r="DT53" s="59">
        <f ca="1">AVERAGE(OFFSET($DS$3,0,0,'Données projet'!$E$14+1,1))-AVERAGE(OFFSET($H$3,0,0,'Données projet'!$E$14+1,1))</f>
        <v>296.376932094327</v>
      </c>
      <c r="DU53" s="59">
        <f t="shared" si="44"/>
        <v>350.93658329210882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1.8164540140445968</v>
      </c>
      <c r="EB53" s="21">
        <f>EXP(-LN(2)/25)*EB52+(1-EXP(-LN(2)/25))/(LN(2)/25)*Calculateur!DW53*Calculateur!DY53*VLOOKUP('Données projet'!$B$14,Paramètres!$A$1:$I$89,3,0)*0.475*44/12</f>
        <v>9.7492387328141703</v>
      </c>
      <c r="EC53" s="21">
        <f>EXP(-LN(2)/2)*EC52+(1-EXP(-LN(2)/2))/(LN(2)/2)*DW53*DZ53*VLOOKUP('Données projet'!$B$14,Paramètres!$A$1:$I$89,3,0)*0.475*44/12</f>
        <v>2.3935925649957484E-2</v>
      </c>
      <c r="ED53" s="22">
        <f t="shared" si="18"/>
        <v>11.589628672508725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285</v>
      </c>
      <c r="EH53" s="12">
        <f>VLOOKUP(A53,'Données projet'!$A$191:$I$211,9,0)</f>
        <v>9.1999999999999993</v>
      </c>
      <c r="EI53" s="12">
        <f t="array" ref="EI53">INDEX(EH:EH,MIN(IF(ISNUMBER(EH53:EH249),ROW(EH53:EH249),"")))</f>
        <v>9.1999999999999993</v>
      </c>
      <c r="EJ53" s="12">
        <f>IF('Données projet'!$A$192&gt;35,EJ52+EI53-ER52,IF(A53&lt;'Données projet'!$A$192,$EG$205^A53,IF(A53='Données projet'!$A$192,'Données projet'!$B$192,EJ52+EI53-ER52)))</f>
        <v>284.99999999999983</v>
      </c>
      <c r="EK53" s="17">
        <f>EJ53*VLOOKUP('Données projet'!$B$15,Paramètres!$A$1:$I$89,3,0)*VLOOKUP('Données projet'!$B$15,Paramètres!$A$1:$I$89,5,0)</f>
        <v>186.73199999999989</v>
      </c>
      <c r="EL53" s="13">
        <f t="shared" si="45"/>
        <v>46.816716519231377</v>
      </c>
      <c r="EM53" s="20">
        <f t="shared" si="19"/>
        <v>406.76401460432777</v>
      </c>
      <c r="EN53" s="59">
        <f t="shared" si="20"/>
        <v>700.09734793766108</v>
      </c>
      <c r="EO53" s="59">
        <f ca="1">AVERAGE(OFFSET($EN$3,0,0,'Données projet'!$E$15+1,1))-AVERAGE(OFFSET($H$3,0,0,'Données projet'!$E$15+1,1))</f>
        <v>231.03244099494077</v>
      </c>
      <c r="EP53" s="59">
        <f t="shared" si="46"/>
        <v>280.29723026390741</v>
      </c>
      <c r="EQ53" s="15">
        <f>IF(ISNA(VLOOKUP(A53,'Données projet'!$A$191:$I$211,3,0)),0,VLOOKUP(A53,'Données projet'!$A$191:$I$211,3,0))</f>
        <v>5</v>
      </c>
      <c r="ER53" s="15">
        <f>IF(ISNA(VLOOKUP(A53,'Données projet'!$A$191:$I$211,4,0)),0,VLOOKUP(A53,'Données projet'!$A$191:$I$211,4,0))</f>
        <v>43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1.4671359344206356</v>
      </c>
      <c r="EW53" s="21">
        <f>EXP(-LN(2)/25)*EW52+(1-EXP(-LN(2)/25))/(LN(2)/25)*Calculateur!ER53*Calculateur!ET53*VLOOKUP('Données projet'!$B$15,Paramètres!$A$1:$I$89,3,0)*0.475*44/12</f>
        <v>7.8743851303499088</v>
      </c>
      <c r="EX53" s="21">
        <f>EXP(-LN(2)/2)*EX52+(1-EXP(-LN(2)/2))/(LN(2)/2)*ER53*EU53*VLOOKUP('Données projet'!$B$15,Paramètres!$A$1:$I$89,3,0)*0.475*44/12</f>
        <v>1.933286302496565E-2</v>
      </c>
      <c r="EY53" s="22">
        <f t="shared" si="21"/>
        <v>9.3608539277955103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192.54143999999991</v>
      </c>
      <c r="P54" s="13">
        <f t="shared" si="33"/>
        <v>48.101393902059698</v>
      </c>
      <c r="Q54" s="20">
        <f t="shared" si="53"/>
        <v>419.11960237942048</v>
      </c>
      <c r="R54" s="59">
        <f t="shared" si="0"/>
        <v>712.45293571275374</v>
      </c>
      <c r="S54" s="59">
        <f ca="1">AVERAGE(OFFSET($R$3,0,0,'Données projet'!$E$9+1,1))-AVERAGE(OFFSET($H$3,0,0,'Données projet'!$E$9+1,1))</f>
        <v>351.15781452544906</v>
      </c>
      <c r="T54" s="59">
        <f t="shared" si="34"/>
        <v>271.54361159160169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1.5890522862752376</v>
      </c>
      <c r="AA54" s="21">
        <f>EXP(-LN(2)/25)*AA53+(1-EXP(-LN(2)/25))/(LN(2)/25)*Calculateur!V54*Calculateur!X54*VLOOKUP('Données projet'!$B$9,Paramètres!$A$1:$I$89,3,0)*0.475*44/12</f>
        <v>6.3030739400470601</v>
      </c>
      <c r="AB54" s="21">
        <f>EXP(-LN(2)/2)*AB53+(1-EXP(-LN(2)/2))/(LN(2)/2)*V54*Y54*VLOOKUP('Données projet'!$B$9,Paramètres!$A$1:$I$89,3,0)*0.475*44/12</f>
        <v>1.4883311123211104E-2</v>
      </c>
      <c r="AC54" s="22">
        <f t="shared" si="3"/>
        <v>7.9070095374455089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10.9</v>
      </c>
      <c r="AI54" s="13">
        <f>IF('Données projet'!$A$62&gt;35,AI53+AH54-AQ53,IF(A54&lt;'Données projet'!$A$62,$AF$205^A54,IF(A54='Données projet'!$A$62,'Données projet'!$B$62,AI53+AH54-AQ53)))</f>
        <v>199.90000000000006</v>
      </c>
      <c r="AJ54" s="13">
        <f>AI54*VLOOKUP('Données projet'!$B$10,Paramètres!$A$1:$I$89,3,0)*VLOOKUP('Données projet'!$B$10,Paramètres!$A$1:$I$89,5,0)</f>
        <v>171.51420000000007</v>
      </c>
      <c r="AK54" s="13">
        <f t="shared" si="35"/>
        <v>43.428978792351757</v>
      </c>
      <c r="AL54" s="20">
        <f t="shared" si="4"/>
        <v>374.35936973001276</v>
      </c>
      <c r="AM54" s="59">
        <f t="shared" si="5"/>
        <v>667.69270306334602</v>
      </c>
      <c r="AN54" s="59">
        <f ca="1">AVERAGE(OFFSET($AM$3,0,0,'Données projet'!$E$10+1,1))-AVERAGE(OFFSET($H$3,0,0,'Données projet'!$E$10+1,1))</f>
        <v>405.59933429804329</v>
      </c>
      <c r="AO54" s="59">
        <f t="shared" si="36"/>
        <v>208.64922573363776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2.4475961779988271</v>
      </c>
      <c r="AW54" s="21">
        <f>EXP(-LN(2)/2)*AW53+(1-EXP(-LN(2)/2))/(LN(2)/2)*AQ54*AT54*VLOOKUP('Données projet'!$B$10,Paramètres!$A$1:$I$89,3,0)*0.475*44/12</f>
        <v>4.8914168981619164E-3</v>
      </c>
      <c r="AX54" s="21">
        <f t="shared" si="6"/>
        <v>2.4524875948969891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164.80000000000007</v>
      </c>
      <c r="BE54" s="13">
        <f>BD54*VLOOKUP('Données projet'!$B$11,Paramètres!$A$1:$I$89,3,0)*VLOOKUP('Données projet'!$B$11,Paramètres!$A$1:$I$89,5,0)</f>
        <v>159.39456000000007</v>
      </c>
      <c r="BF54" s="13">
        <f t="shared" si="37"/>
        <v>40.70592660812224</v>
      </c>
      <c r="BG54" s="20">
        <f t="shared" si="7"/>
        <v>348.5083475091464</v>
      </c>
      <c r="BH54" s="59">
        <f t="shared" si="8"/>
        <v>641.84168084247972</v>
      </c>
      <c r="BI54" s="59">
        <f ca="1">AVERAGE(OFFSET($BH$3,0,0,'Données projet'!$E$11+1,1))-AVERAGE(OFFSET($H$3,0,0,'Données projet'!$E$11+1,1))</f>
        <v>293.19327646293601</v>
      </c>
      <c r="BJ54" s="59">
        <f t="shared" si="38"/>
        <v>200.0769581869605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1.8547753090497565</v>
      </c>
      <c r="BR54" s="21">
        <f>EXP(-LN(2)/2)*BR53+(1-EXP(-LN(2)/2))/(LN(2)/2)*BL54*BO54*VLOOKUP('Données projet'!$B$11,Paramètres!$A$1:$I$89,3,0)*0.475*44/12</f>
        <v>4.568710432672791E-3</v>
      </c>
      <c r="BS54" s="22">
        <f t="shared" si="9"/>
        <v>1.8593440194824293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9.6999999999999993</v>
      </c>
      <c r="BY54" s="12">
        <f>IF('Données projet'!$A$114&gt;35,BY53+BX54-CG53,IF(A54&lt;'Données projet'!$A$114,$BV$205^A54,IF(A54='Données projet'!$A$114,'Données projet'!$B$114,BY53+BX54-CG53)))</f>
        <v>257.70000000000005</v>
      </c>
      <c r="BZ54" s="13">
        <f>BY54*VLOOKUP('Données projet'!$B$12,Paramètres!$A$1:$I$89,3,0)*VLOOKUP('Données projet'!$B$12,Paramètres!$A$1:$I$89,5,0)</f>
        <v>201.00600000000003</v>
      </c>
      <c r="CA54" s="13">
        <f t="shared" si="39"/>
        <v>49.965191474890041</v>
      </c>
      <c r="CB54" s="20">
        <f t="shared" si="10"/>
        <v>437.10815848543353</v>
      </c>
      <c r="CC54" s="59">
        <f t="shared" si="11"/>
        <v>730.44149181876685</v>
      </c>
      <c r="CD54" s="59">
        <f ca="1">AVERAGE(OFFSET($CC$3,0,0,'Données projet'!$E$12+1,1))-AVERAGE(OFFSET($H$3,0,0,'Données projet'!$E$12+1,1))</f>
        <v>295.95249585728561</v>
      </c>
      <c r="CE54" s="59">
        <f t="shared" si="40"/>
        <v>306.85862495052709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0.95401846004824931</v>
      </c>
      <c r="CL54" s="21">
        <f>EXP(-LN(2)/25)*CL53+(1-EXP(-LN(2)/25))/(LN(2)/25)*Calculateur!CG54*Calculateur!CI54*VLOOKUP('Données projet'!$B$12,Paramètres!$A$1:$I$89,3,0)*0.475*44/12</f>
        <v>4.6762503099802135</v>
      </c>
      <c r="CM54" s="21">
        <f>EXP(-LN(2)/2)*CM53+(1-EXP(-LN(2)/2))/(LN(2)/2)*CG54*CJ54*VLOOKUP('Données projet'!$B$12,Paramètres!$A$1:$I$89,3,0)*0.475*44/12</f>
        <v>9.0260934872413174E-3</v>
      </c>
      <c r="CN54" s="22">
        <f t="shared" si="12"/>
        <v>5.6392948635157047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10.9</v>
      </c>
      <c r="CT54" s="12">
        <f>IF('Données projet'!$A$140&gt;35,CT53+CS54-DB53,IF(A54&lt;'Données projet'!$A$140,$CQ$205^A54,IF(A54='Données projet'!$A$140,'Données projet'!$B$140,CT53+CS54-DB53)))</f>
        <v>199.90000000000006</v>
      </c>
      <c r="CU54" s="17">
        <f>CT54*VLOOKUP('Données projet'!$B$13,Paramètres!$A$1:$I$89,3,0)*VLOOKUP('Données projet'!$B$13,Paramètres!$A$1:$I$89,5,0)</f>
        <v>190.22484000000006</v>
      </c>
      <c r="CV54" s="13">
        <f t="shared" si="41"/>
        <v>47.589658360852667</v>
      </c>
      <c r="CW54" s="20">
        <f t="shared" si="13"/>
        <v>414.19358464515182</v>
      </c>
      <c r="CX54" s="59">
        <f t="shared" si="14"/>
        <v>707.52691797848513</v>
      </c>
      <c r="CY54" s="59">
        <f ca="1">AVERAGE(OFFSET($CX$3,0,0,'Données projet'!$E$13+1,1))-AVERAGE(OFFSET($H$3,0,0,'Données projet'!$E$13+1,1))</f>
        <v>461.10546083340631</v>
      </c>
      <c r="CZ54" s="59">
        <f t="shared" si="42"/>
        <v>233.41883071412587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2.2024167323811064</v>
      </c>
      <c r="DH54" s="21">
        <f>EXP(-LN(2)/2)*DH53+(1-EXP(-LN(2)/2))/(LN(2)/2)*DB54*DE54*VLOOKUP('Données projet'!$B$13,Paramètres!$A$1:$I$89,3,0)*0.475*44/12</f>
        <v>5.4250260143250415E-3</v>
      </c>
      <c r="DI54" s="22">
        <f t="shared" si="15"/>
        <v>2.2078417583954315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201.82655999999989</v>
      </c>
      <c r="DQ54" s="13">
        <f t="shared" si="43"/>
        <v>50.145377682843773</v>
      </c>
      <c r="DR54" s="20">
        <f t="shared" si="16"/>
        <v>438.85112479761938</v>
      </c>
      <c r="DS54" s="59">
        <f t="shared" si="17"/>
        <v>732.18445813095263</v>
      </c>
      <c r="DT54" s="59">
        <f ca="1">AVERAGE(OFFSET($DS$3,0,0,'Données projet'!$E$14+1,1))-AVERAGE(OFFSET($H$3,0,0,'Données projet'!$E$14+1,1))</f>
        <v>296.376932094327</v>
      </c>
      <c r="DU54" s="59">
        <f t="shared" si="44"/>
        <v>350.93658329210882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1.7808344587567322</v>
      </c>
      <c r="EB54" s="21">
        <f>EXP(-LN(2)/25)*EB53+(1-EXP(-LN(2)/25))/(LN(2)/25)*Calculateur!DW54*Calculateur!DY54*VLOOKUP('Données projet'!$B$14,Paramètres!$A$1:$I$89,3,0)*0.475*44/12</f>
        <v>9.4826452869751847</v>
      </c>
      <c r="EC54" s="21">
        <f>EXP(-LN(2)/2)*EC53+(1-EXP(-LN(2)/2))/(LN(2)/2)*DW54*DZ54*VLOOKUP('Données projet'!$B$14,Paramètres!$A$1:$I$89,3,0)*0.475*44/12</f>
        <v>1.6925255341061957E-2</v>
      </c>
      <c r="ED54" s="22">
        <f t="shared" si="18"/>
        <v>11.28040500107298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6.8</v>
      </c>
      <c r="EJ54" s="12">
        <f>IF('Données projet'!$A$192&gt;35,EJ53+EI54-ER53,IF(A54&lt;'Données projet'!$A$192,$EG$205^A54,IF(A54='Données projet'!$A$192,'Données projet'!$B$192,EJ53+EI54-ER53)))</f>
        <v>248.79999999999984</v>
      </c>
      <c r="EK54" s="17">
        <f>EJ54*VLOOKUP('Données projet'!$B$15,Paramètres!$A$1:$I$89,3,0)*VLOOKUP('Données projet'!$B$15,Paramètres!$A$1:$I$89,5,0)</f>
        <v>163.01375999999988</v>
      </c>
      <c r="EL54" s="13">
        <f t="shared" si="45"/>
        <v>41.521537366475364</v>
      </c>
      <c r="EM54" s="20">
        <f t="shared" si="19"/>
        <v>356.23230957994434</v>
      </c>
      <c r="EN54" s="59">
        <f t="shared" si="20"/>
        <v>649.56564291327766</v>
      </c>
      <c r="EO54" s="59">
        <f ca="1">AVERAGE(OFFSET($EN$3,0,0,'Données projet'!$E$15+1,1))-AVERAGE(OFFSET($H$3,0,0,'Données projet'!$E$15+1,1))</f>
        <v>231.03244099494077</v>
      </c>
      <c r="EP54" s="59">
        <f t="shared" si="46"/>
        <v>280.29723026390741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1.4383662936112065</v>
      </c>
      <c r="EW54" s="21">
        <f>EXP(-LN(2)/25)*EW53+(1-EXP(-LN(2)/25))/(LN(2)/25)*Calculateur!ER54*Calculateur!ET54*VLOOKUP('Données projet'!$B$15,Paramètres!$A$1:$I$89,3,0)*0.475*44/12</f>
        <v>7.6590596548645733</v>
      </c>
      <c r="EX54" s="21">
        <f>EXP(-LN(2)/2)*EX53+(1-EXP(-LN(2)/2))/(LN(2)/2)*ER54*EU54*VLOOKUP('Données projet'!$B$15,Paramètres!$A$1:$I$89,3,0)*0.475*44/12</f>
        <v>1.3670398544703881E-2</v>
      </c>
      <c r="EY54" s="22">
        <f t="shared" si="21"/>
        <v>9.1110963470204833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201.40847999999991</v>
      </c>
      <c r="P55" s="13">
        <f t="shared" si="33"/>
        <v>50.053582459229212</v>
      </c>
      <c r="Q55" s="20">
        <f t="shared" si="53"/>
        <v>437.96309211649071</v>
      </c>
      <c r="R55" s="59">
        <f t="shared" si="0"/>
        <v>731.29642544982403</v>
      </c>
      <c r="S55" s="59">
        <f ca="1">AVERAGE(OFFSET($R$3,0,0,'Données projet'!$E$9+1,1))-AVERAGE(OFFSET($H$3,0,0,'Données projet'!$E$9+1,1))</f>
        <v>351.15781452544906</v>
      </c>
      <c r="T55" s="59">
        <f t="shared" si="34"/>
        <v>271.54361159160169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1.5578919401675717</v>
      </c>
      <c r="AA55" s="21">
        <f>EXP(-LN(2)/25)*AA54+(1-EXP(-LN(2)/25))/(LN(2)/25)*Calculateur!V55*Calculateur!X55*VLOOKUP('Données projet'!$B$9,Paramètres!$A$1:$I$89,3,0)*0.475*44/12</f>
        <v>6.1307160516922208</v>
      </c>
      <c r="AB55" s="21">
        <f>EXP(-LN(2)/2)*AB54+(1-EXP(-LN(2)/2))/(LN(2)/2)*V55*Y55*VLOOKUP('Données projet'!$B$9,Paramètres!$A$1:$I$89,3,0)*0.475*44/12</f>
        <v>1.0524090221731744E-2</v>
      </c>
      <c r="AC55" s="22">
        <f t="shared" si="3"/>
        <v>7.6991320820815243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10.9</v>
      </c>
      <c r="AI55" s="13">
        <f>IF('Données projet'!$A$62&gt;35,AI54+AH55-AQ54,IF(A55&lt;'Données projet'!$A$62,$AF$205^A55,IF(A55='Données projet'!$A$62,'Données projet'!$B$62,AI54+AH55-AQ54)))</f>
        <v>210.80000000000007</v>
      </c>
      <c r="AJ55" s="13">
        <f>AI55*VLOOKUP('Données projet'!$B$10,Paramètres!$A$1:$I$89,3,0)*VLOOKUP('Données projet'!$B$10,Paramètres!$A$1:$I$89,5,0)</f>
        <v>180.86640000000006</v>
      </c>
      <c r="AK55" s="13">
        <f t="shared" si="35"/>
        <v>45.514890302102152</v>
      </c>
      <c r="AL55" s="20">
        <f t="shared" si="4"/>
        <v>394.28074727616132</v>
      </c>
      <c r="AM55" s="59">
        <f t="shared" si="5"/>
        <v>687.61408060949464</v>
      </c>
      <c r="AN55" s="59">
        <f ca="1">AVERAGE(OFFSET($AM$3,0,0,'Données projet'!$E$10+1,1))-AVERAGE(OFFSET($H$3,0,0,'Données projet'!$E$10+1,1))</f>
        <v>405.59933429804329</v>
      </c>
      <c r="AO55" s="59">
        <f t="shared" si="36"/>
        <v>208.64922573363776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2.3806665317979601</v>
      </c>
      <c r="AW55" s="21">
        <f>EXP(-LN(2)/2)*AW54+(1-EXP(-LN(2)/2))/(LN(2)/2)*AQ55*AT55*VLOOKUP('Données projet'!$B$10,Paramètres!$A$1:$I$89,3,0)*0.475*44/12</f>
        <v>3.4587540583007593E-3</v>
      </c>
      <c r="AX55" s="21">
        <f t="shared" si="6"/>
        <v>2.3841252858562609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172.60000000000008</v>
      </c>
      <c r="BE55" s="13">
        <f>BD55*VLOOKUP('Données projet'!$B$11,Paramètres!$A$1:$I$89,3,0)*VLOOKUP('Données projet'!$B$11,Paramètres!$A$1:$I$89,5,0)</f>
        <v>166.93872000000007</v>
      </c>
      <c r="BF55" s="13">
        <f t="shared" si="37"/>
        <v>42.403675278071923</v>
      </c>
      <c r="BG55" s="20">
        <f t="shared" si="7"/>
        <v>364.60467177597531</v>
      </c>
      <c r="BH55" s="59">
        <f t="shared" si="8"/>
        <v>657.93800510930862</v>
      </c>
      <c r="BI55" s="59">
        <f ca="1">AVERAGE(OFFSET($BH$3,0,0,'Données projet'!$E$11+1,1))-AVERAGE(OFFSET($H$3,0,0,'Données projet'!$E$11+1,1))</f>
        <v>293.19327646293601</v>
      </c>
      <c r="BJ55" s="59">
        <f t="shared" si="38"/>
        <v>200.0769581869605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1.8040563806853966</v>
      </c>
      <c r="BR55" s="21">
        <f>EXP(-LN(2)/2)*BR54+(1-EXP(-LN(2)/2))/(LN(2)/2)*BL55*BO55*VLOOKUP('Données projet'!$B$11,Paramètres!$A$1:$I$89,3,0)*0.475*44/12</f>
        <v>3.2305661282206561E-3</v>
      </c>
      <c r="BS55" s="22">
        <f t="shared" si="9"/>
        <v>1.8072869468136172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9.6999999999999993</v>
      </c>
      <c r="BY55" s="12">
        <f>IF('Données projet'!$A$114&gt;35,BY54+BX55-CG54,IF(A55&lt;'Données projet'!$A$114,$BV$205^A55,IF(A55='Données projet'!$A$114,'Données projet'!$B$114,BY54+BX55-CG54)))</f>
        <v>267.40000000000003</v>
      </c>
      <c r="BZ55" s="13">
        <f>BY55*VLOOKUP('Données projet'!$B$12,Paramètres!$A$1:$I$89,3,0)*VLOOKUP('Données projet'!$B$12,Paramètres!$A$1:$I$89,5,0)</f>
        <v>208.57200000000003</v>
      </c>
      <c r="CA55" s="13">
        <f t="shared" si="39"/>
        <v>51.623407958239042</v>
      </c>
      <c r="CB55" s="20">
        <f t="shared" si="10"/>
        <v>453.17366886059966</v>
      </c>
      <c r="CC55" s="59">
        <f t="shared" si="11"/>
        <v>746.50700219393298</v>
      </c>
      <c r="CD55" s="59">
        <f ca="1">AVERAGE(OFFSET($CC$3,0,0,'Données projet'!$E$12+1,1))-AVERAGE(OFFSET($H$3,0,0,'Données projet'!$E$12+1,1))</f>
        <v>295.95249585728561</v>
      </c>
      <c r="CE55" s="59">
        <f t="shared" si="40"/>
        <v>306.85862495052709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0.93531073994050651</v>
      </c>
      <c r="CL55" s="21">
        <f>EXP(-LN(2)/25)*CL54+(1-EXP(-LN(2)/25))/(LN(2)/25)*Calculateur!CG55*Calculateur!CI55*VLOOKUP('Données projet'!$B$12,Paramètres!$A$1:$I$89,3,0)*0.475*44/12</f>
        <v>4.5483779993404889</v>
      </c>
      <c r="CM55" s="21">
        <f>EXP(-LN(2)/2)*CM54+(1-EXP(-LN(2)/2))/(LN(2)/2)*CG55*CJ55*VLOOKUP('Données projet'!$B$12,Paramètres!$A$1:$I$89,3,0)*0.475*44/12</f>
        <v>6.3824119124520681E-3</v>
      </c>
      <c r="CN55" s="22">
        <f t="shared" si="12"/>
        <v>5.4900711511934475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10.9</v>
      </c>
      <c r="CT55" s="12">
        <f>IF('Données projet'!$A$140&gt;35,CT54+CS55-DB54,IF(A55&lt;'Données projet'!$A$140,$CQ$205^A55,IF(A55='Données projet'!$A$140,'Données projet'!$B$140,CT54+CS55-DB54)))</f>
        <v>210.80000000000007</v>
      </c>
      <c r="CU55" s="17">
        <f>CT55*VLOOKUP('Données projet'!$B$13,Paramètres!$A$1:$I$89,3,0)*VLOOKUP('Données projet'!$B$13,Paramètres!$A$1:$I$89,5,0)</f>
        <v>200.5972800000001</v>
      </c>
      <c r="CV55" s="13">
        <f t="shared" si="41"/>
        <v>49.875409002023019</v>
      </c>
      <c r="CW55" s="20">
        <f t="shared" si="13"/>
        <v>436.23993334519031</v>
      </c>
      <c r="CX55" s="59">
        <f t="shared" si="14"/>
        <v>729.57326667852362</v>
      </c>
      <c r="CY55" s="59">
        <f ca="1">AVERAGE(OFFSET($CX$3,0,0,'Données projet'!$E$13+1,1))-AVERAGE(OFFSET($H$3,0,0,'Données projet'!$E$13+1,1))</f>
        <v>461.10546083340631</v>
      </c>
      <c r="CZ55" s="59">
        <f t="shared" si="42"/>
        <v>233.41883071412587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2.1421915310140829</v>
      </c>
      <c r="DH55" s="21">
        <f>EXP(-LN(2)/2)*DH54+(1-EXP(-LN(2)/2))/(LN(2)/2)*DB55*DE55*VLOOKUP('Données projet'!$B$13,Paramètres!$A$1:$I$89,3,0)*0.475*44/12</f>
        <v>3.8360726828426655E-3</v>
      </c>
      <c r="DI55" s="22">
        <f t="shared" si="15"/>
        <v>2.1460276036969255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207.34271999999987</v>
      </c>
      <c r="DQ55" s="13">
        <f t="shared" si="43"/>
        <v>51.354473493382997</v>
      </c>
      <c r="DR55" s="20">
        <f t="shared" si="16"/>
        <v>450.56427866764187</v>
      </c>
      <c r="DS55" s="59">
        <f t="shared" si="17"/>
        <v>743.89761200097519</v>
      </c>
      <c r="DT55" s="59">
        <f ca="1">AVERAGE(OFFSET($DS$3,0,0,'Données projet'!$E$14+1,1))-AVERAGE(OFFSET($H$3,0,0,'Données projet'!$E$14+1,1))</f>
        <v>296.376932094327</v>
      </c>
      <c r="DU55" s="59">
        <f t="shared" si="44"/>
        <v>350.93658329210882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1.7459133812222789</v>
      </c>
      <c r="EB55" s="21">
        <f>EXP(-LN(2)/25)*EB54+(1-EXP(-LN(2)/25))/(LN(2)/25)*Calculateur!DW55*Calculateur!DY55*VLOOKUP('Données projet'!$B$14,Paramètres!$A$1:$I$89,3,0)*0.475*44/12</f>
        <v>9.2233418529322062</v>
      </c>
      <c r="EC55" s="21">
        <f>EXP(-LN(2)/2)*EC54+(1-EXP(-LN(2)/2))/(LN(2)/2)*DW55*DZ55*VLOOKUP('Données projet'!$B$14,Paramètres!$A$1:$I$89,3,0)*0.475*44/12</f>
        <v>1.1967962824978742E-2</v>
      </c>
      <c r="ED55" s="22">
        <f t="shared" si="18"/>
        <v>10.981223196979464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6.8</v>
      </c>
      <c r="EJ55" s="12">
        <f>IF('Données projet'!$A$192&gt;35,EJ54+EI55-ER54,IF(A55&lt;'Données projet'!$A$192,$EG$205^A55,IF(A55='Données projet'!$A$192,'Données projet'!$B$192,EJ54+EI55-ER54)))</f>
        <v>255.59999999999985</v>
      </c>
      <c r="EK55" s="17">
        <f>EJ55*VLOOKUP('Données projet'!$B$15,Paramètres!$A$1:$I$89,3,0)*VLOOKUP('Données projet'!$B$15,Paramètres!$A$1:$I$89,5,0)</f>
        <v>167.46911999999989</v>
      </c>
      <c r="EL55" s="13">
        <f t="shared" si="45"/>
        <v>42.522696779302585</v>
      </c>
      <c r="EM55" s="20">
        <f t="shared" si="19"/>
        <v>365.73574755728509</v>
      </c>
      <c r="EN55" s="59">
        <f t="shared" si="20"/>
        <v>659.06908089061835</v>
      </c>
      <c r="EO55" s="59">
        <f ca="1">AVERAGE(OFFSET($EN$3,0,0,'Données projet'!$E$15+1,1))-AVERAGE(OFFSET($H$3,0,0,'Données projet'!$E$15+1,1))</f>
        <v>231.03244099494077</v>
      </c>
      <c r="EP55" s="59">
        <f t="shared" si="46"/>
        <v>280.29723026390741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1.4101608079103021</v>
      </c>
      <c r="EW55" s="21">
        <f>EXP(-LN(2)/25)*EW54+(1-EXP(-LN(2)/25))/(LN(2)/25)*Calculateur!ER55*Calculateur!ET55*VLOOKUP('Données projet'!$B$15,Paramètres!$A$1:$I$89,3,0)*0.475*44/12</f>
        <v>7.4496222658298592</v>
      </c>
      <c r="EX55" s="21">
        <f>EXP(-LN(2)/2)*EX54+(1-EXP(-LN(2)/2))/(LN(2)/2)*ER55*EU55*VLOOKUP('Données projet'!$B$15,Paramètres!$A$1:$I$89,3,0)*0.475*44/12</f>
        <v>9.6664315124828249E-3</v>
      </c>
      <c r="EY55" s="22">
        <f t="shared" si="21"/>
        <v>8.8694495052526445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210.27551999999991</v>
      </c>
      <c r="P56" s="13">
        <f t="shared" si="33"/>
        <v>51.995789155135654</v>
      </c>
      <c r="Q56" s="20">
        <f t="shared" si="53"/>
        <v>456.78919677852781</v>
      </c>
      <c r="R56" s="59">
        <f t="shared" si="0"/>
        <v>750.12253011186112</v>
      </c>
      <c r="S56" s="59">
        <f ca="1">AVERAGE(OFFSET($R$3,0,0,'Données projet'!$E$9+1,1))-AVERAGE(OFFSET($H$3,0,0,'Données projet'!$E$9+1,1))</f>
        <v>351.15781452544906</v>
      </c>
      <c r="T56" s="59">
        <f t="shared" si="34"/>
        <v>271.54361159160169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1.5273426294411427</v>
      </c>
      <c r="AA56" s="21">
        <f>EXP(-LN(2)/25)*AA55+(1-EXP(-LN(2)/25))/(LN(2)/25)*Calculateur!V56*Calculateur!X56*VLOOKUP('Données projet'!$B$9,Paramètres!$A$1:$I$89,3,0)*0.475*44/12</f>
        <v>5.9630712988583516</v>
      </c>
      <c r="AB56" s="21">
        <f>EXP(-LN(2)/2)*AB55+(1-EXP(-LN(2)/2))/(LN(2)/2)*V56*Y56*VLOOKUP('Données projet'!$B$9,Paramètres!$A$1:$I$89,3,0)*0.475*44/12</f>
        <v>7.441655561605553E-3</v>
      </c>
      <c r="AC56" s="22">
        <f t="shared" si="3"/>
        <v>7.4978555838611003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10.9</v>
      </c>
      <c r="AI56" s="13">
        <f>IF('Données projet'!$A$62&gt;35,AI55+AH56-AQ55,IF(A56&lt;'Données projet'!$A$62,$AF$205^A56,IF(A56='Données projet'!$A$62,'Données projet'!$B$62,AI55+AH56-AQ55)))</f>
        <v>221.70000000000007</v>
      </c>
      <c r="AJ56" s="13">
        <f>AI56*VLOOKUP('Données projet'!$B$10,Paramètres!$A$1:$I$89,3,0)*VLOOKUP('Données projet'!$B$10,Paramètres!$A$1:$I$89,5,0)</f>
        <v>190.21860000000007</v>
      </c>
      <c r="AK56" s="13">
        <f t="shared" si="35"/>
        <v>47.588278972718975</v>
      </c>
      <c r="AL56" s="20">
        <f t="shared" si="4"/>
        <v>414.18031421081895</v>
      </c>
      <c r="AM56" s="59">
        <f t="shared" si="5"/>
        <v>707.51364754415226</v>
      </c>
      <c r="AN56" s="59">
        <f ca="1">AVERAGE(OFFSET($AM$3,0,0,'Données projet'!$E$10+1,1))-AVERAGE(OFFSET($H$3,0,0,'Données projet'!$E$10+1,1))</f>
        <v>405.59933429804329</v>
      </c>
      <c r="AO56" s="59">
        <f t="shared" si="36"/>
        <v>208.64922573363776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2.3155670802921331</v>
      </c>
      <c r="AW56" s="21">
        <f>EXP(-LN(2)/2)*AW55+(1-EXP(-LN(2)/2))/(LN(2)/2)*AQ56*AT56*VLOOKUP('Données projet'!$B$10,Paramètres!$A$1:$I$89,3,0)*0.475*44/12</f>
        <v>2.4457084490809582E-3</v>
      </c>
      <c r="AX56" s="21">
        <f t="shared" si="6"/>
        <v>2.3180127887412141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180.40000000000009</v>
      </c>
      <c r="BE56" s="13">
        <f>BD56*VLOOKUP('Données projet'!$B$11,Paramètres!$A$1:$I$89,3,0)*VLOOKUP('Données projet'!$B$11,Paramètres!$A$1:$I$89,5,0)</f>
        <v>174.48288000000008</v>
      </c>
      <c r="BF56" s="13">
        <f t="shared" si="37"/>
        <v>44.092513602166207</v>
      </c>
      <c r="BG56" s="20">
        <f t="shared" si="7"/>
        <v>380.6854771904396</v>
      </c>
      <c r="BH56" s="59">
        <f t="shared" si="8"/>
        <v>674.01881052377291</v>
      </c>
      <c r="BI56" s="59">
        <f ca="1">AVERAGE(OFFSET($BH$3,0,0,'Données projet'!$E$11+1,1))-AVERAGE(OFFSET($H$3,0,0,'Données projet'!$E$11+1,1))</f>
        <v>293.19327646293601</v>
      </c>
      <c r="BJ56" s="59">
        <f t="shared" si="38"/>
        <v>200.0769581869605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1.7547243640843526</v>
      </c>
      <c r="BR56" s="21">
        <f>EXP(-LN(2)/2)*BR55+(1-EXP(-LN(2)/2))/(LN(2)/2)*BL56*BO56*VLOOKUP('Données projet'!$B$11,Paramètres!$A$1:$I$89,3,0)*0.475*44/12</f>
        <v>2.2843552163363955E-3</v>
      </c>
      <c r="BS56" s="22">
        <f t="shared" si="9"/>
        <v>1.7570087193006889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9.6999999999999993</v>
      </c>
      <c r="BY56" s="12">
        <f>IF('Données projet'!$A$114&gt;35,BY55+BX56-CG55,IF(A56&lt;'Données projet'!$A$114,$BV$205^A56,IF(A56='Données projet'!$A$114,'Données projet'!$B$114,BY55+BX56-CG55)))</f>
        <v>277.10000000000002</v>
      </c>
      <c r="BZ56" s="13">
        <f>BY56*VLOOKUP('Données projet'!$B$12,Paramètres!$A$1:$I$89,3,0)*VLOOKUP('Données projet'!$B$12,Paramètres!$A$1:$I$89,5,0)</f>
        <v>216.13800000000003</v>
      </c>
      <c r="CA56" s="13">
        <f t="shared" si="39"/>
        <v>53.274635867181686</v>
      </c>
      <c r="CB56" s="20">
        <f t="shared" si="10"/>
        <v>469.22700746867486</v>
      </c>
      <c r="CC56" s="59">
        <f t="shared" si="11"/>
        <v>762.56034080200811</v>
      </c>
      <c r="CD56" s="59">
        <f ca="1">AVERAGE(OFFSET($CC$3,0,0,'Données projet'!$E$12+1,1))-AVERAGE(OFFSET($H$3,0,0,'Données projet'!$E$12+1,1))</f>
        <v>295.95249585728561</v>
      </c>
      <c r="CE56" s="59">
        <f t="shared" si="40"/>
        <v>306.85862495052709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0.91696986681349402</v>
      </c>
      <c r="CL56" s="21">
        <f>EXP(-LN(2)/25)*CL55+(1-EXP(-LN(2)/25))/(LN(2)/25)*Calculateur!CG56*Calculateur!CI56*VLOOKUP('Données projet'!$B$12,Paramètres!$A$1:$I$89,3,0)*0.475*44/12</f>
        <v>4.4240023637597199</v>
      </c>
      <c r="CM56" s="21">
        <f>EXP(-LN(2)/2)*CM55+(1-EXP(-LN(2)/2))/(LN(2)/2)*CG56*CJ56*VLOOKUP('Données projet'!$B$12,Paramètres!$A$1:$I$89,3,0)*0.475*44/12</f>
        <v>4.5130467436206587E-3</v>
      </c>
      <c r="CN56" s="22">
        <f t="shared" si="12"/>
        <v>5.3454852773168344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10.9</v>
      </c>
      <c r="CT56" s="12">
        <f>IF('Données projet'!$A$140&gt;35,CT55+CS56-DB55,IF(A56&lt;'Données projet'!$A$140,$CQ$205^A56,IF(A56='Données projet'!$A$140,'Données projet'!$B$140,CT55+CS56-DB55)))</f>
        <v>221.70000000000007</v>
      </c>
      <c r="CU56" s="17">
        <f>CT56*VLOOKUP('Données projet'!$B$13,Paramètres!$A$1:$I$89,3,0)*VLOOKUP('Données projet'!$B$13,Paramètres!$A$1:$I$89,5,0)</f>
        <v>210.96972000000008</v>
      </c>
      <c r="CV56" s="13">
        <f t="shared" si="41"/>
        <v>52.147437063186963</v>
      </c>
      <c r="CW56" s="20">
        <f t="shared" si="13"/>
        <v>458.26238188505073</v>
      </c>
      <c r="CX56" s="59">
        <f t="shared" si="14"/>
        <v>751.59571521838404</v>
      </c>
      <c r="CY56" s="59">
        <f ca="1">AVERAGE(OFFSET($CX$3,0,0,'Données projet'!$E$13+1,1))-AVERAGE(OFFSET($H$3,0,0,'Données projet'!$E$13+1,1))</f>
        <v>461.10546083340631</v>
      </c>
      <c r="CZ56" s="59">
        <f t="shared" si="42"/>
        <v>233.41883071412587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2.0836131909455462</v>
      </c>
      <c r="DH56" s="21">
        <f>EXP(-LN(2)/2)*DH55+(1-EXP(-LN(2)/2))/(LN(2)/2)*DB56*DE56*VLOOKUP('Données projet'!$B$13,Paramètres!$A$1:$I$89,3,0)*0.475*44/12</f>
        <v>2.7125130071625212E-3</v>
      </c>
      <c r="DI56" s="22">
        <f t="shared" si="15"/>
        <v>2.0863257039527086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212.85887999999989</v>
      </c>
      <c r="DQ56" s="13">
        <f t="shared" si="43"/>
        <v>52.559830405800589</v>
      </c>
      <c r="DR56" s="20">
        <f t="shared" si="16"/>
        <v>462.27092062343581</v>
      </c>
      <c r="DS56" s="59">
        <f t="shared" si="17"/>
        <v>755.60425395676907</v>
      </c>
      <c r="DT56" s="59">
        <f ca="1">AVERAGE(OFFSET($DS$3,0,0,'Données projet'!$E$14+1,1))-AVERAGE(OFFSET($H$3,0,0,'Données projet'!$E$14+1,1))</f>
        <v>296.376932094327</v>
      </c>
      <c r="DU56" s="59">
        <f t="shared" si="44"/>
        <v>350.93658329210882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1.7116770847185223</v>
      </c>
      <c r="EB56" s="21">
        <f>EXP(-LN(2)/25)*EB55+(1-EXP(-LN(2)/25))/(LN(2)/25)*Calculateur!DW56*Calculateur!DY56*VLOOKUP('Données projet'!$B$14,Paramètres!$A$1:$I$89,3,0)*0.475*44/12</f>
        <v>8.9711290849293075</v>
      </c>
      <c r="EC56" s="21">
        <f>EXP(-LN(2)/2)*EC55+(1-EXP(-LN(2)/2))/(LN(2)/2)*DW56*DZ56*VLOOKUP('Données projet'!$B$14,Paramètres!$A$1:$I$89,3,0)*0.475*44/12</f>
        <v>8.4626276705309783E-3</v>
      </c>
      <c r="ED56" s="22">
        <f t="shared" si="18"/>
        <v>10.69126879731836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6.8</v>
      </c>
      <c r="EJ56" s="12">
        <f>IF('Données projet'!$A$192&gt;35,EJ55+EI56-ER55,IF(A56&lt;'Données projet'!$A$192,$EG$205^A56,IF(A56='Données projet'!$A$192,'Données projet'!$B$192,EJ55+EI56-ER55)))</f>
        <v>262.39999999999986</v>
      </c>
      <c r="EK56" s="17">
        <f>EJ56*VLOOKUP('Données projet'!$B$15,Paramètres!$A$1:$I$89,3,0)*VLOOKUP('Données projet'!$B$15,Paramètres!$A$1:$I$89,5,0)</f>
        <v>171.9244799999999</v>
      </c>
      <c r="EL56" s="13">
        <f t="shared" si="45"/>
        <v>43.520760297647712</v>
      </c>
      <c r="EM56" s="20">
        <f t="shared" si="19"/>
        <v>375.23379351840293</v>
      </c>
      <c r="EN56" s="59">
        <f t="shared" si="20"/>
        <v>668.56712685173625</v>
      </c>
      <c r="EO56" s="59">
        <f ca="1">AVERAGE(OFFSET($EN$3,0,0,'Données projet'!$E$15+1,1))-AVERAGE(OFFSET($H$3,0,0,'Données projet'!$E$15+1,1))</f>
        <v>231.03244099494077</v>
      </c>
      <c r="EP56" s="59">
        <f t="shared" si="46"/>
        <v>280.29723026390741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1.3825084145803448</v>
      </c>
      <c r="EW56" s="21">
        <f>EXP(-LN(2)/25)*EW55+(1-EXP(-LN(2)/25))/(LN(2)/25)*Calculateur!ER56*Calculateur!ET56*VLOOKUP('Données projet'!$B$15,Paramètres!$A$1:$I$89,3,0)*0.475*44/12</f>
        <v>7.2459119532121328</v>
      </c>
      <c r="EX56" s="21">
        <f>EXP(-LN(2)/2)*EX55+(1-EXP(-LN(2)/2))/(LN(2)/2)*ER56*EU56*VLOOKUP('Données projet'!$B$15,Paramètres!$A$1:$I$89,3,0)*0.475*44/12</f>
        <v>6.8351992723519406E-3</v>
      </c>
      <c r="EY56" s="22">
        <f t="shared" si="21"/>
        <v>8.6352555670648297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219.14255999999992</v>
      </c>
      <c r="P57" s="13">
        <f t="shared" si="33"/>
        <v>53.928483039139707</v>
      </c>
      <c r="Q57" s="20">
        <f t="shared" si="53"/>
        <v>475.59873329316815</v>
      </c>
      <c r="R57" s="59">
        <f t="shared" si="0"/>
        <v>768.93206662650141</v>
      </c>
      <c r="S57" s="59">
        <f ca="1">AVERAGE(OFFSET($R$3,0,0,'Données projet'!$E$9+1,1))-AVERAGE(OFFSET($H$3,0,0,'Données projet'!$E$9+1,1))</f>
        <v>351.15781452544906</v>
      </c>
      <c r="T57" s="59">
        <f t="shared" si="34"/>
        <v>271.54361159160169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1.4973923720648192</v>
      </c>
      <c r="AA57" s="21">
        <f>EXP(-LN(2)/25)*AA56+(1-EXP(-LN(2)/25))/(LN(2)/25)*Calculateur!V57*Calculateur!X57*VLOOKUP('Données projet'!$B$9,Paramètres!$A$1:$I$89,3,0)*0.475*44/12</f>
        <v>5.8000108006067794</v>
      </c>
      <c r="AB57" s="21">
        <f>EXP(-LN(2)/2)*AB56+(1-EXP(-LN(2)/2))/(LN(2)/2)*V57*Y57*VLOOKUP('Données projet'!$B$9,Paramètres!$A$1:$I$89,3,0)*0.475*44/12</f>
        <v>5.2620451108658728E-3</v>
      </c>
      <c r="AC57" s="22">
        <f t="shared" si="3"/>
        <v>7.3026652177824651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10.9</v>
      </c>
      <c r="AI57" s="13">
        <f>IF('Données projet'!$A$62&gt;35,AI56+AH57-AQ56,IF(A57&lt;'Données projet'!$A$62,$AF$205^A57,IF(A57='Données projet'!$A$62,'Données projet'!$B$62,AI56+AH57-AQ56)))</f>
        <v>232.60000000000008</v>
      </c>
      <c r="AJ57" s="13">
        <f>AI57*VLOOKUP('Données projet'!$B$10,Paramètres!$A$1:$I$89,3,0)*VLOOKUP('Données projet'!$B$10,Paramètres!$A$1:$I$89,5,0)</f>
        <v>199.57080000000008</v>
      </c>
      <c r="AK57" s="13">
        <f t="shared" si="35"/>
        <v>49.649830765606488</v>
      </c>
      <c r="AL57" s="20">
        <f t="shared" si="4"/>
        <v>434.05926525009812</v>
      </c>
      <c r="AM57" s="59">
        <f t="shared" si="5"/>
        <v>727.39259858343144</v>
      </c>
      <c r="AN57" s="59">
        <f ca="1">AVERAGE(OFFSET($AM$3,0,0,'Données projet'!$E$10+1,1))-AVERAGE(OFFSET($H$3,0,0,'Données projet'!$E$10+1,1))</f>
        <v>405.59933429804329</v>
      </c>
      <c r="AO57" s="59">
        <f t="shared" si="36"/>
        <v>208.64922573363776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2.2522477767111644</v>
      </c>
      <c r="AW57" s="21">
        <f>EXP(-LN(2)/2)*AW56+(1-EXP(-LN(2)/2))/(LN(2)/2)*AQ57*AT57*VLOOKUP('Données projet'!$B$10,Paramètres!$A$1:$I$89,3,0)*0.475*44/12</f>
        <v>1.7293770291503796E-3</v>
      </c>
      <c r="AX57" s="21">
        <f t="shared" si="6"/>
        <v>2.2539771537403146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188.2000000000001</v>
      </c>
      <c r="BE57" s="13">
        <f>BD57*VLOOKUP('Données projet'!$B$11,Paramètres!$A$1:$I$89,3,0)*VLOOKUP('Données projet'!$B$11,Paramètres!$A$1:$I$89,5,0)</f>
        <v>182.02704000000011</v>
      </c>
      <c r="BF57" s="13">
        <f t="shared" si="37"/>
        <v>45.772870875913057</v>
      </c>
      <c r="BG57" s="20">
        <f t="shared" si="7"/>
        <v>396.75151144221542</v>
      </c>
      <c r="BH57" s="59">
        <f t="shared" si="8"/>
        <v>690.08484477554873</v>
      </c>
      <c r="BI57" s="59">
        <f ca="1">AVERAGE(OFFSET($BH$3,0,0,'Données projet'!$E$11+1,1))-AVERAGE(OFFSET($H$3,0,0,'Données projet'!$E$11+1,1))</f>
        <v>293.19327646293601</v>
      </c>
      <c r="BJ57" s="59">
        <f t="shared" si="38"/>
        <v>200.0769581869605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1.7067413340715221</v>
      </c>
      <c r="BR57" s="21">
        <f>EXP(-LN(2)/2)*BR56+(1-EXP(-LN(2)/2))/(LN(2)/2)*BL57*BO57*VLOOKUP('Données projet'!$B$11,Paramètres!$A$1:$I$89,3,0)*0.475*44/12</f>
        <v>1.6152830641103281E-3</v>
      </c>
      <c r="BS57" s="22">
        <f t="shared" si="9"/>
        <v>1.7083566171356324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9.6999999999999993</v>
      </c>
      <c r="BY57" s="12">
        <f>IF('Données projet'!$A$114&gt;35,BY56+BX57-CG56,IF(A57&lt;'Données projet'!$A$114,$BV$205^A57,IF(A57='Données projet'!$A$114,'Données projet'!$B$114,BY56+BX57-CG56)))</f>
        <v>286.8</v>
      </c>
      <c r="BZ57" s="13">
        <f>BY57*VLOOKUP('Données projet'!$B$12,Paramètres!$A$1:$I$89,3,0)*VLOOKUP('Données projet'!$B$12,Paramètres!$A$1:$I$89,5,0)</f>
        <v>223.70400000000001</v>
      </c>
      <c r="CA57" s="13">
        <f t="shared" si="39"/>
        <v>54.919147873047578</v>
      </c>
      <c r="CB57" s="20">
        <f t="shared" si="10"/>
        <v>485.26864921222455</v>
      </c>
      <c r="CC57" s="59">
        <f t="shared" si="11"/>
        <v>778.6019825455578</v>
      </c>
      <c r="CD57" s="59">
        <f ca="1">AVERAGE(OFFSET($CC$3,0,0,'Données projet'!$E$12+1,1))-AVERAGE(OFFSET($H$3,0,0,'Données projet'!$E$12+1,1))</f>
        <v>295.95249585728561</v>
      </c>
      <c r="CE57" s="59">
        <f t="shared" si="40"/>
        <v>306.85862495052709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0.89898864702167425</v>
      </c>
      <c r="CL57" s="21">
        <f>EXP(-LN(2)/25)*CL56+(1-EXP(-LN(2)/25))/(LN(2)/25)*Calculateur!CG57*Calculateur!CI57*VLOOKUP('Données projet'!$B$12,Paramètres!$A$1:$I$89,3,0)*0.475*44/12</f>
        <v>4.3030277864745372</v>
      </c>
      <c r="CM57" s="21">
        <f>EXP(-LN(2)/2)*CM56+(1-EXP(-LN(2)/2))/(LN(2)/2)*CG57*CJ57*VLOOKUP('Données projet'!$B$12,Paramètres!$A$1:$I$89,3,0)*0.475*44/12</f>
        <v>3.191205956226034E-3</v>
      </c>
      <c r="CN57" s="22">
        <f t="shared" si="12"/>
        <v>5.2052076394524383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10.9</v>
      </c>
      <c r="CT57" s="12">
        <f>IF('Données projet'!$A$140&gt;35,CT56+CS57-DB56,IF(A57&lt;'Données projet'!$A$140,$CQ$205^A57,IF(A57='Données projet'!$A$140,'Données projet'!$B$140,CT56+CS57-DB56)))</f>
        <v>232.60000000000008</v>
      </c>
      <c r="CU57" s="17">
        <f>CT57*VLOOKUP('Données projet'!$B$13,Paramètres!$A$1:$I$89,3,0)*VLOOKUP('Données projet'!$B$13,Paramètres!$A$1:$I$89,5,0)</f>
        <v>221.34216000000009</v>
      </c>
      <c r="CV57" s="13">
        <f t="shared" si="41"/>
        <v>54.406494223748105</v>
      </c>
      <c r="CW57" s="20">
        <f t="shared" si="13"/>
        <v>480.26223943969472</v>
      </c>
      <c r="CX57" s="59">
        <f t="shared" si="14"/>
        <v>773.59557277302804</v>
      </c>
      <c r="CY57" s="59">
        <f ca="1">AVERAGE(OFFSET($CX$3,0,0,'Données projet'!$E$13+1,1))-AVERAGE(OFFSET($H$3,0,0,'Données projet'!$E$13+1,1))</f>
        <v>461.10546083340631</v>
      </c>
      <c r="CZ57" s="59">
        <f t="shared" si="42"/>
        <v>233.41883071412587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2.0266366786666845</v>
      </c>
      <c r="DH57" s="21">
        <f>EXP(-LN(2)/2)*DH56+(1-EXP(-LN(2)/2))/(LN(2)/2)*DB57*DE57*VLOOKUP('Données projet'!$B$13,Paramètres!$A$1:$I$89,3,0)*0.475*44/12</f>
        <v>1.918036341421333E-3</v>
      </c>
      <c r="DI57" s="22">
        <f t="shared" si="15"/>
        <v>2.0285547150081058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218.37503999999993</v>
      </c>
      <c r="DQ57" s="13">
        <f t="shared" si="43"/>
        <v>53.761556452013281</v>
      </c>
      <c r="DR57" s="20">
        <f t="shared" si="16"/>
        <v>473.97123882058969</v>
      </c>
      <c r="DS57" s="59">
        <f t="shared" si="17"/>
        <v>767.304572153923</v>
      </c>
      <c r="DT57" s="59">
        <f ca="1">AVERAGE(OFFSET($DS$3,0,0,'Données projet'!$E$14+1,1))-AVERAGE(OFFSET($H$3,0,0,'Données projet'!$E$14+1,1))</f>
        <v>296.376932094327</v>
      </c>
      <c r="DU57" s="59">
        <f t="shared" si="44"/>
        <v>350.93658329210882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1.6781121411071254</v>
      </c>
      <c r="EB57" s="21">
        <f>EXP(-LN(2)/25)*EB56+(1-EXP(-LN(2)/25))/(LN(2)/25)*Calculateur!DW57*Calculateur!DY57*VLOOKUP('Données projet'!$B$14,Paramètres!$A$1:$I$89,3,0)*0.475*44/12</f>
        <v>8.7258130883307405</v>
      </c>
      <c r="EC57" s="21">
        <f>EXP(-LN(2)/2)*EC56+(1-EXP(-LN(2)/2))/(LN(2)/2)*DW57*DZ57*VLOOKUP('Données projet'!$B$14,Paramètres!$A$1:$I$89,3,0)*0.475*44/12</f>
        <v>5.983981412489371E-3</v>
      </c>
      <c r="ED57" s="22">
        <f t="shared" si="18"/>
        <v>10.409909210850355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6.8</v>
      </c>
      <c r="EJ57" s="12">
        <f>IF('Données projet'!$A$192&gt;35,EJ56+EI57-ER56,IF(A57&lt;'Données projet'!$A$192,$EG$205^A57,IF(A57='Données projet'!$A$192,'Données projet'!$B$192,EJ56+EI57-ER56)))</f>
        <v>269.19999999999987</v>
      </c>
      <c r="EK57" s="17">
        <f>EJ57*VLOOKUP('Données projet'!$B$15,Paramètres!$A$1:$I$89,3,0)*VLOOKUP('Données projet'!$B$15,Paramètres!$A$1:$I$89,5,0)</f>
        <v>176.37983999999992</v>
      </c>
      <c r="EL57" s="13">
        <f t="shared" si="45"/>
        <v>44.51581737444701</v>
      </c>
      <c r="EM57" s="20">
        <f t="shared" si="19"/>
        <v>384.72660326049504</v>
      </c>
      <c r="EN57" s="59">
        <f t="shared" si="20"/>
        <v>678.0599365938283</v>
      </c>
      <c r="EO57" s="59">
        <f ca="1">AVERAGE(OFFSET($EN$3,0,0,'Données projet'!$E$15+1,1))-AVERAGE(OFFSET($H$3,0,0,'Données projet'!$E$15+1,1))</f>
        <v>231.03244099494077</v>
      </c>
      <c r="EP57" s="59">
        <f t="shared" si="46"/>
        <v>280.29723026390741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1.3553982678172933</v>
      </c>
      <c r="EW57" s="21">
        <f>EXP(-LN(2)/25)*EW56+(1-EXP(-LN(2)/25))/(LN(2)/25)*Calculateur!ER57*Calculateur!ET57*VLOOKUP('Données projet'!$B$15,Paramètres!$A$1:$I$89,3,0)*0.475*44/12</f>
        <v>7.0477721098055985</v>
      </c>
      <c r="EX57" s="21">
        <f>EXP(-LN(2)/2)*EX56+(1-EXP(-LN(2)/2))/(LN(2)/2)*ER57*EU57*VLOOKUP('Données projet'!$B$15,Paramètres!$A$1:$I$89,3,0)*0.475*44/12</f>
        <v>4.8332157562414125E-3</v>
      </c>
      <c r="EY57" s="22">
        <f t="shared" si="21"/>
        <v>8.4080035933791333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228.00959999999995</v>
      </c>
      <c r="P58" s="13">
        <f t="shared" si="33"/>
        <v>55.852093054619829</v>
      </c>
      <c r="Q58" s="20">
        <f t="shared" si="53"/>
        <v>494.3924487367961</v>
      </c>
      <c r="R58" s="59">
        <f t="shared" si="0"/>
        <v>787.72578207012941</v>
      </c>
      <c r="S58" s="59">
        <f ca="1">AVERAGE(OFFSET($R$3,0,0,'Données projet'!$E$9+1,1))-AVERAGE(OFFSET($H$3,0,0,'Données projet'!$E$9+1,1))</f>
        <v>351.15781452544906</v>
      </c>
      <c r="T58" s="59">
        <f t="shared" si="34"/>
        <v>271.54361159160169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1.4680294209677922</v>
      </c>
      <c r="AA58" s="21">
        <f>EXP(-LN(2)/25)*AA57+(1-EXP(-LN(2)/25))/(LN(2)/25)*Calculateur!V58*Calculateur!X58*VLOOKUP('Données projet'!$B$9,Paramètres!$A$1:$I$89,3,0)*0.475*44/12</f>
        <v>5.6414092002548752</v>
      </c>
      <c r="AB58" s="21">
        <f>EXP(-LN(2)/2)*AB57+(1-EXP(-LN(2)/2))/(LN(2)/2)*V58*Y58*VLOOKUP('Données projet'!$B$9,Paramètres!$A$1:$I$89,3,0)*0.475*44/12</f>
        <v>3.7208277808027774E-3</v>
      </c>
      <c r="AC58" s="22">
        <f t="shared" si="3"/>
        <v>7.1131594490034695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10.9</v>
      </c>
      <c r="AI58" s="13">
        <f>IF('Données projet'!$A$62&gt;35,AI57+AH58-AQ57,IF(A58&lt;'Données projet'!$A$62,$AF$205^A58,IF(A58='Données projet'!$A$62,'Données projet'!$B$62,AI57+AH58-AQ57)))</f>
        <v>243.50000000000009</v>
      </c>
      <c r="AJ58" s="13">
        <f>AI58*VLOOKUP('Données projet'!$B$10,Paramètres!$A$1:$I$89,3,0)*VLOOKUP('Données projet'!$B$10,Paramètres!$A$1:$I$89,5,0)</f>
        <v>208.92300000000012</v>
      </c>
      <c r="AK58" s="13">
        <f t="shared" si="35"/>
        <v>51.700163718523761</v>
      </c>
      <c r="AL58" s="20">
        <f t="shared" si="4"/>
        <v>453.91867680976242</v>
      </c>
      <c r="AM58" s="59">
        <f t="shared" si="5"/>
        <v>747.25201014309573</v>
      </c>
      <c r="AN58" s="59">
        <f ca="1">AVERAGE(OFFSET($AM$3,0,0,'Données projet'!$E$10+1,1))-AVERAGE(OFFSET($H$3,0,0,'Données projet'!$E$10+1,1))</f>
        <v>405.59933429804329</v>
      </c>
      <c r="AO58" s="59">
        <f t="shared" si="36"/>
        <v>208.64922573363776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2.1906599428164344</v>
      </c>
      <c r="AW58" s="21">
        <f>EXP(-LN(2)/2)*AW57+(1-EXP(-LN(2)/2))/(LN(2)/2)*AQ58*AT58*VLOOKUP('Données projet'!$B$10,Paramètres!$A$1:$I$89,3,0)*0.475*44/12</f>
        <v>1.2228542245404791E-3</v>
      </c>
      <c r="AX58" s="21">
        <f t="shared" si="6"/>
        <v>2.1918827970409747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196.00000000000011</v>
      </c>
      <c r="BE58" s="13">
        <f>BD58*VLOOKUP('Données projet'!$B$11,Paramètres!$A$1:$I$89,3,0)*VLOOKUP('Données projet'!$B$11,Paramètres!$A$1:$I$89,5,0)</f>
        <v>189.57120000000012</v>
      </c>
      <c r="BF58" s="13">
        <f t="shared" si="37"/>
        <v>47.445138796932483</v>
      </c>
      <c r="BG58" s="20">
        <f t="shared" si="7"/>
        <v>412.80345673799087</v>
      </c>
      <c r="BH58" s="59">
        <f t="shared" si="8"/>
        <v>706.13679007132419</v>
      </c>
      <c r="BI58" s="59">
        <f ca="1">AVERAGE(OFFSET($BH$3,0,0,'Données projet'!$E$11+1,1))-AVERAGE(OFFSET($H$3,0,0,'Données projet'!$E$11+1,1))</f>
        <v>293.19327646293601</v>
      </c>
      <c r="BJ58" s="59">
        <f t="shared" si="38"/>
        <v>200.0769581869605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1.6600704025377104</v>
      </c>
      <c r="BR58" s="21">
        <f>EXP(-LN(2)/2)*BR57+(1-EXP(-LN(2)/2))/(LN(2)/2)*BL58*BO58*VLOOKUP('Données projet'!$B$11,Paramètres!$A$1:$I$89,3,0)*0.475*44/12</f>
        <v>1.1421776081681977E-3</v>
      </c>
      <c r="BS58" s="22">
        <f t="shared" si="9"/>
        <v>1.6612125801458786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9.6999999999999993</v>
      </c>
      <c r="BY58" s="12">
        <f>IF('Données projet'!$A$114&gt;35,BY57+BX58-CG57,IF(A58&lt;'Données projet'!$A$114,$BV$205^A58,IF(A58='Données projet'!$A$114,'Données projet'!$B$114,BY57+BX58-CG57)))</f>
        <v>296.5</v>
      </c>
      <c r="BZ58" s="13">
        <f>BY58*VLOOKUP('Données projet'!$B$12,Paramètres!$A$1:$I$89,3,0)*VLOOKUP('Données projet'!$B$12,Paramètres!$A$1:$I$89,5,0)</f>
        <v>231.27</v>
      </c>
      <c r="CA58" s="13">
        <f t="shared" si="39"/>
        <v>56.557197156476896</v>
      </c>
      <c r="CB58" s="20">
        <f t="shared" si="10"/>
        <v>501.29903504753059</v>
      </c>
      <c r="CC58" s="59">
        <f t="shared" si="11"/>
        <v>794.63236838086391</v>
      </c>
      <c r="CD58" s="59">
        <f ca="1">AVERAGE(OFFSET($CC$3,0,0,'Données projet'!$E$12+1,1))-AVERAGE(OFFSET($H$3,0,0,'Données projet'!$E$12+1,1))</f>
        <v>295.95249585728561</v>
      </c>
      <c r="CE58" s="59">
        <f t="shared" si="40"/>
        <v>306.85862495052709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0.8813600279825109</v>
      </c>
      <c r="CL58" s="21">
        <f>EXP(-LN(2)/25)*CL57+(1-EXP(-LN(2)/25))/(LN(2)/25)*Calculateur!CG58*Calculateur!CI58*VLOOKUP('Données projet'!$B$12,Paramètres!$A$1:$I$89,3,0)*0.475*44/12</f>
        <v>4.1853612653669945</v>
      </c>
      <c r="CM58" s="21">
        <f>EXP(-LN(2)/2)*CM57+(1-EXP(-LN(2)/2))/(LN(2)/2)*CG58*CJ58*VLOOKUP('Données projet'!$B$12,Paramètres!$A$1:$I$89,3,0)*0.475*44/12</f>
        <v>2.2565233718103293E-3</v>
      </c>
      <c r="CN58" s="22">
        <f t="shared" si="12"/>
        <v>5.0689778167213158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10.9</v>
      </c>
      <c r="CT58" s="12">
        <f>IF('Données projet'!$A$140&gt;35,CT57+CS58-DB57,IF(A58&lt;'Données projet'!$A$140,$CQ$205^A58,IF(A58='Données projet'!$A$140,'Données projet'!$B$140,CT57+CS58-DB57)))</f>
        <v>243.50000000000009</v>
      </c>
      <c r="CU58" s="17">
        <f>CT58*VLOOKUP('Données projet'!$B$13,Paramètres!$A$1:$I$89,3,0)*VLOOKUP('Données projet'!$B$13,Paramètres!$A$1:$I$89,5,0)</f>
        <v>231.7146000000001</v>
      </c>
      <c r="CV58" s="13">
        <f t="shared" si="41"/>
        <v>56.65325773209284</v>
      </c>
      <c r="CW58" s="20">
        <f t="shared" si="13"/>
        <v>502.24068555006193</v>
      </c>
      <c r="CX58" s="59">
        <f t="shared" si="14"/>
        <v>795.57401888339518</v>
      </c>
      <c r="CY58" s="59">
        <f ca="1">AVERAGE(OFFSET($CX$3,0,0,'Données projet'!$E$13+1,1))-AVERAGE(OFFSET($H$3,0,0,'Données projet'!$E$13+1,1))</f>
        <v>461.10546083340631</v>
      </c>
      <c r="CZ58" s="59">
        <f t="shared" si="42"/>
        <v>233.41883071412587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1.9712181921123531</v>
      </c>
      <c r="DH58" s="21">
        <f>EXP(-LN(2)/2)*DH57+(1-EXP(-LN(2)/2))/(LN(2)/2)*DB58*DE58*VLOOKUP('Données projet'!$B$13,Paramètres!$A$1:$I$89,3,0)*0.475*44/12</f>
        <v>1.3562565035812608E-3</v>
      </c>
      <c r="DI58" s="22">
        <f t="shared" si="15"/>
        <v>1.9725744486159342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223.89119999999994</v>
      </c>
      <c r="DQ58" s="13">
        <f t="shared" si="43"/>
        <v>54.95975389514858</v>
      </c>
      <c r="DR58" s="20">
        <f t="shared" si="16"/>
        <v>485.66541136738368</v>
      </c>
      <c r="DS58" s="59">
        <f t="shared" si="17"/>
        <v>778.998744700717</v>
      </c>
      <c r="DT58" s="59">
        <f ca="1">AVERAGE(OFFSET($DS$3,0,0,'Données projet'!$E$14+1,1))-AVERAGE(OFFSET($H$3,0,0,'Données projet'!$E$14+1,1))</f>
        <v>296.376932094327</v>
      </c>
      <c r="DU58" s="59">
        <f t="shared" si="44"/>
        <v>350.93658329210882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1.6452053855673539</v>
      </c>
      <c r="EB58" s="21">
        <f>EXP(-LN(2)/25)*EB57+(1-EXP(-LN(2)/25))/(LN(2)/25)*Calculateur!DW58*Calculateur!DY58*VLOOKUP('Données projet'!$B$14,Paramètres!$A$1:$I$89,3,0)*0.475*44/12</f>
        <v>8.4872052705597696</v>
      </c>
      <c r="EC58" s="21">
        <f>EXP(-LN(2)/2)*EC57+(1-EXP(-LN(2)/2))/(LN(2)/2)*DW58*DZ58*VLOOKUP('Données projet'!$B$14,Paramètres!$A$1:$I$89,3,0)*0.475*44/12</f>
        <v>4.2313138352654892E-3</v>
      </c>
      <c r="ED58" s="22">
        <f t="shared" si="18"/>
        <v>10.13664196996239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6.8</v>
      </c>
      <c r="EJ58" s="12">
        <f>IF('Données projet'!$A$192&gt;35,EJ57+EI58-ER57,IF(A58&lt;'Données projet'!$A$192,$EG$205^A58,IF(A58='Données projet'!$A$192,'Données projet'!$B$192,EJ57+EI58-ER57)))</f>
        <v>275.99999999999989</v>
      </c>
      <c r="EK58" s="17">
        <f>EJ58*VLOOKUP('Données projet'!$B$15,Paramètres!$A$1:$I$89,3,0)*VLOOKUP('Données projet'!$B$15,Paramètres!$A$1:$I$89,5,0)</f>
        <v>180.83519999999993</v>
      </c>
      <c r="EL58" s="13">
        <f t="shared" si="45"/>
        <v>45.507952685945099</v>
      </c>
      <c r="EM58" s="20">
        <f t="shared" si="19"/>
        <v>394.21432426135425</v>
      </c>
      <c r="EN58" s="59">
        <f t="shared" si="20"/>
        <v>687.54765759468751</v>
      </c>
      <c r="EO58" s="59">
        <f ca="1">AVERAGE(OFFSET($EN$3,0,0,'Données projet'!$E$15+1,1))-AVERAGE(OFFSET($H$3,0,0,'Données projet'!$E$15+1,1))</f>
        <v>231.03244099494077</v>
      </c>
      <c r="EP58" s="59">
        <f t="shared" si="46"/>
        <v>280.29723026390741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1.3288197344967085</v>
      </c>
      <c r="EW58" s="21">
        <f>EXP(-LN(2)/25)*EW57+(1-EXP(-LN(2)/25))/(LN(2)/25)*Calculateur!ER58*Calculateur!ET58*VLOOKUP('Données projet'!$B$15,Paramètres!$A$1:$I$89,3,0)*0.475*44/12</f>
        <v>6.8550504108367374</v>
      </c>
      <c r="EX58" s="21">
        <f>EXP(-LN(2)/2)*EX57+(1-EXP(-LN(2)/2))/(LN(2)/2)*ER58*EU58*VLOOKUP('Données projet'!$B$15,Paramètres!$A$1:$I$89,3,0)*0.475*44/12</f>
        <v>3.4175996361759703E-3</v>
      </c>
      <c r="EY58" s="22">
        <f t="shared" si="21"/>
        <v>8.1872877449696215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236.87663999999995</v>
      </c>
      <c r="P59" s="13">
        <f t="shared" si="33"/>
        <v>57.767012893614115</v>
      </c>
      <c r="Q59" s="20">
        <f t="shared" si="53"/>
        <v>513.17102878971104</v>
      </c>
      <c r="R59" s="59">
        <f t="shared" si="0"/>
        <v>806.5043621230443</v>
      </c>
      <c r="S59" s="59">
        <f ca="1">AVERAGE(OFFSET($R$3,0,0,'Données projet'!$E$9+1,1))-AVERAGE(OFFSET($H$3,0,0,'Données projet'!$E$9+1,1))</f>
        <v>351.15781452544906</v>
      </c>
      <c r="T59" s="59">
        <f t="shared" si="34"/>
        <v>271.54361159160169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1.4392422594321463</v>
      </c>
      <c r="AA59" s="21">
        <f>EXP(-LN(2)/25)*AA58+(1-EXP(-LN(2)/25))/(LN(2)/25)*Calculateur!V59*Calculateur!X59*VLOOKUP('Données projet'!$B$9,Paramètres!$A$1:$I$89,3,0)*0.475*44/12</f>
        <v>5.4871445690050891</v>
      </c>
      <c r="AB59" s="21">
        <f>EXP(-LN(2)/2)*AB58+(1-EXP(-LN(2)/2))/(LN(2)/2)*V59*Y59*VLOOKUP('Données projet'!$B$9,Paramètres!$A$1:$I$89,3,0)*0.475*44/12</f>
        <v>2.6310225554329368E-3</v>
      </c>
      <c r="AC59" s="22">
        <f t="shared" si="3"/>
        <v>6.9290178509926683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10.9</v>
      </c>
      <c r="AI59" s="13">
        <f>IF('Données projet'!$A$62&gt;35,AI58+AH59-AQ58,IF(A59&lt;'Données projet'!$A$62,$AF$205^A59,IF(A59='Données projet'!$A$62,'Données projet'!$B$62,AI58+AH59-AQ58)))</f>
        <v>254.40000000000009</v>
      </c>
      <c r="AJ59" s="13">
        <f>AI59*VLOOKUP('Données projet'!$B$10,Paramètres!$A$1:$I$89,3,0)*VLOOKUP('Données projet'!$B$10,Paramètres!$A$1:$I$89,5,0)</f>
        <v>218.27520000000013</v>
      </c>
      <c r="AK59" s="13">
        <f t="shared" si="35"/>
        <v>53.739837409603567</v>
      </c>
      <c r="AL59" s="20">
        <f t="shared" si="4"/>
        <v>473.75952348839297</v>
      </c>
      <c r="AM59" s="59">
        <f t="shared" si="5"/>
        <v>767.09285682172629</v>
      </c>
      <c r="AN59" s="59">
        <f ca="1">AVERAGE(OFFSET($AM$3,0,0,'Données projet'!$E$10+1,1))-AVERAGE(OFFSET($H$3,0,0,'Données projet'!$E$10+1,1))</f>
        <v>405.59933429804329</v>
      </c>
      <c r="AO59" s="59">
        <f t="shared" si="36"/>
        <v>208.64922573363776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2.1307562314783195</v>
      </c>
      <c r="AW59" s="21">
        <f>EXP(-LN(2)/2)*AW58+(1-EXP(-LN(2)/2))/(LN(2)/2)*AQ59*AT59*VLOOKUP('Données projet'!$B$10,Paramètres!$A$1:$I$89,3,0)*0.475*44/12</f>
        <v>8.6468851457518982E-4</v>
      </c>
      <c r="AX59" s="21">
        <f t="shared" si="6"/>
        <v>2.1316209199928946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203.80000000000013</v>
      </c>
      <c r="BE59" s="13">
        <f>BD59*VLOOKUP('Données projet'!$B$11,Paramètres!$A$1:$I$89,3,0)*VLOOKUP('Données projet'!$B$11,Paramètres!$A$1:$I$89,5,0)</f>
        <v>197.11536000000012</v>
      </c>
      <c r="BF59" s="13">
        <f t="shared" si="37"/>
        <v>49.109676122143078</v>
      </c>
      <c r="BG59" s="20">
        <f t="shared" si="7"/>
        <v>428.8419379127327</v>
      </c>
      <c r="BH59" s="59">
        <f t="shared" si="8"/>
        <v>722.17527124606602</v>
      </c>
      <c r="BI59" s="59">
        <f ca="1">AVERAGE(OFFSET($BH$3,0,0,'Données projet'!$E$11+1,1))-AVERAGE(OFFSET($H$3,0,0,'Données projet'!$E$11+1,1))</f>
        <v>293.19327646293601</v>
      </c>
      <c r="BJ59" s="59">
        <f t="shared" si="38"/>
        <v>200.0769581869605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1.6146756900810084</v>
      </c>
      <c r="BR59" s="21">
        <f>EXP(-LN(2)/2)*BR58+(1-EXP(-LN(2)/2))/(LN(2)/2)*BL59*BO59*VLOOKUP('Données projet'!$B$11,Paramètres!$A$1:$I$89,3,0)*0.475*44/12</f>
        <v>8.0764153205516403E-4</v>
      </c>
      <c r="BS59" s="22">
        <f t="shared" si="9"/>
        <v>1.6154833316130637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9.6999999999999993</v>
      </c>
      <c r="BY59" s="12">
        <f>IF('Données projet'!$A$114&gt;35,BY58+BX59-CG58,IF(A59&lt;'Données projet'!$A$114,$BV$205^A59,IF(A59='Données projet'!$A$114,'Données projet'!$B$114,BY58+BX59-CG58)))</f>
        <v>306.2</v>
      </c>
      <c r="BZ59" s="13">
        <f>BY59*VLOOKUP('Données projet'!$B$12,Paramètres!$A$1:$I$89,3,0)*VLOOKUP('Données projet'!$B$12,Paramètres!$A$1:$I$89,5,0)</f>
        <v>238.83600000000001</v>
      </c>
      <c r="CA59" s="13">
        <f t="shared" si="39"/>
        <v>58.189019392222875</v>
      </c>
      <c r="CB59" s="20">
        <f t="shared" si="10"/>
        <v>517.31857544145475</v>
      </c>
      <c r="CC59" s="59">
        <f t="shared" si="11"/>
        <v>810.65190877478813</v>
      </c>
      <c r="CD59" s="59">
        <f ca="1">AVERAGE(OFFSET($CC$3,0,0,'Données projet'!$E$12+1,1))-AVERAGE(OFFSET($H$3,0,0,'Données projet'!$E$12+1,1))</f>
        <v>295.95249585728561</v>
      </c>
      <c r="CE59" s="59">
        <f t="shared" si="40"/>
        <v>306.85862495052709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0.86407709541030964</v>
      </c>
      <c r="CL59" s="21">
        <f>EXP(-LN(2)/25)*CL58+(1-EXP(-LN(2)/25))/(LN(2)/25)*Calculateur!CG59*Calculateur!CI59*VLOOKUP('Données projet'!$B$12,Paramètres!$A$1:$I$89,3,0)*0.475*44/12</f>
        <v>4.0709123414669506</v>
      </c>
      <c r="CM59" s="21">
        <f>EXP(-LN(2)/2)*CM58+(1-EXP(-LN(2)/2))/(LN(2)/2)*CG59*CJ59*VLOOKUP('Données projet'!$B$12,Paramètres!$A$1:$I$89,3,0)*0.475*44/12</f>
        <v>1.595602978113017E-3</v>
      </c>
      <c r="CN59" s="22">
        <f t="shared" si="12"/>
        <v>4.9365850398553732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10.9</v>
      </c>
      <c r="CT59" s="12">
        <f>IF('Données projet'!$A$140&gt;35,CT58+CS59-DB58,IF(A59&lt;'Données projet'!$A$140,$CQ$205^A59,IF(A59='Données projet'!$A$140,'Données projet'!$B$140,CT58+CS59-DB58)))</f>
        <v>254.40000000000009</v>
      </c>
      <c r="CU59" s="17">
        <f>CT59*VLOOKUP('Données projet'!$B$13,Paramètres!$A$1:$I$89,3,0)*VLOOKUP('Données projet'!$B$13,Paramètres!$A$1:$I$89,5,0)</f>
        <v>242.08704000000009</v>
      </c>
      <c r="CV59" s="13">
        <f t="shared" si="41"/>
        <v>58.888340776302016</v>
      </c>
      <c r="CW59" s="20">
        <f t="shared" si="13"/>
        <v>524.1987881853928</v>
      </c>
      <c r="CX59" s="59">
        <f t="shared" si="14"/>
        <v>817.53212151872617</v>
      </c>
      <c r="CY59" s="59">
        <f ca="1">AVERAGE(OFFSET($CX$3,0,0,'Données projet'!$E$13+1,1))-AVERAGE(OFFSET($H$3,0,0,'Données projet'!$E$13+1,1))</f>
        <v>461.10546083340631</v>
      </c>
      <c r="CZ59" s="59">
        <f t="shared" si="42"/>
        <v>233.41883071412587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1.9173151269871813</v>
      </c>
      <c r="DH59" s="21">
        <f>EXP(-LN(2)/2)*DH58+(1-EXP(-LN(2)/2))/(LN(2)/2)*DB59*DE59*VLOOKUP('Données projet'!$B$13,Paramètres!$A$1:$I$89,3,0)*0.475*44/12</f>
        <v>9.590181707106667E-4</v>
      </c>
      <c r="DI59" s="22">
        <f t="shared" si="15"/>
        <v>1.918274145157892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229.40735999999993</v>
      </c>
      <c r="DQ59" s="13">
        <f t="shared" si="43"/>
        <v>56.15451967202349</v>
      </c>
      <c r="DR59" s="20">
        <f t="shared" si="16"/>
        <v>497.35360709544074</v>
      </c>
      <c r="DS59" s="59">
        <f t="shared" si="17"/>
        <v>790.68694042877405</v>
      </c>
      <c r="DT59" s="59">
        <f ca="1">AVERAGE(OFFSET($DS$3,0,0,'Données projet'!$E$14+1,1))-AVERAGE(OFFSET($H$3,0,0,'Données projet'!$E$14+1,1))</f>
        <v>296.376932094327</v>
      </c>
      <c r="DU59" s="59">
        <f t="shared" si="44"/>
        <v>350.93658329210882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1.6129439114325781</v>
      </c>
      <c r="EB59" s="21">
        <f>EXP(-LN(2)/25)*EB58+(1-EXP(-LN(2)/25))/(LN(2)/25)*Calculateur!DW59*Calculateur!DY59*VLOOKUP('Données projet'!$B$14,Paramètres!$A$1:$I$89,3,0)*0.475*44/12</f>
        <v>8.2551221961135859</v>
      </c>
      <c r="EC59" s="21">
        <f>EXP(-LN(2)/2)*EC58+(1-EXP(-LN(2)/2))/(LN(2)/2)*DW59*DZ59*VLOOKUP('Données projet'!$B$14,Paramètres!$A$1:$I$89,3,0)*0.475*44/12</f>
        <v>2.9919907062446855E-3</v>
      </c>
      <c r="ED59" s="22">
        <f t="shared" si="18"/>
        <v>9.8710580982524085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6.8</v>
      </c>
      <c r="EJ59" s="12">
        <f>IF('Données projet'!$A$192&gt;35,EJ58+EI59-ER58,IF(A59&lt;'Données projet'!$A$192,$EG$205^A59,IF(A59='Données projet'!$A$192,'Données projet'!$B$192,EJ58+EI59-ER58)))</f>
        <v>282.7999999999999</v>
      </c>
      <c r="EK59" s="17">
        <f>EJ59*VLOOKUP('Données projet'!$B$15,Paramètres!$A$1:$I$89,3,0)*VLOOKUP('Données projet'!$B$15,Paramètres!$A$1:$I$89,5,0)</f>
        <v>185.29055999999994</v>
      </c>
      <c r="EL59" s="13">
        <f t="shared" si="45"/>
        <v>46.497246498077899</v>
      </c>
      <c r="EM59" s="20">
        <f t="shared" si="19"/>
        <v>403.69709631748555</v>
      </c>
      <c r="EN59" s="59">
        <f t="shared" si="20"/>
        <v>697.03042965081886</v>
      </c>
      <c r="EO59" s="59">
        <f ca="1">AVERAGE(OFFSET($EN$3,0,0,'Données projet'!$E$15+1,1))-AVERAGE(OFFSET($H$3,0,0,'Données projet'!$E$15+1,1))</f>
        <v>231.03244099494077</v>
      </c>
      <c r="EP59" s="59">
        <f t="shared" si="46"/>
        <v>280.29723026390741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1.3027623900032359</v>
      </c>
      <c r="EW59" s="21">
        <f>EXP(-LN(2)/25)*EW58+(1-EXP(-LN(2)/25))/(LN(2)/25)*Calculateur!ER59*Calculateur!ET59*VLOOKUP('Données projet'!$B$15,Paramètres!$A$1:$I$89,3,0)*0.475*44/12</f>
        <v>6.6675986968609733</v>
      </c>
      <c r="EX59" s="21">
        <f>EXP(-LN(2)/2)*EX58+(1-EXP(-LN(2)/2))/(LN(2)/2)*ER59*EU59*VLOOKUP('Données projet'!$B$15,Paramètres!$A$1:$I$89,3,0)*0.475*44/12</f>
        <v>2.4166078781207062E-3</v>
      </c>
      <c r="EY59" s="22">
        <f t="shared" si="21"/>
        <v>7.9727776947423292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245.74367999999996</v>
      </c>
      <c r="P60" s="13">
        <f t="shared" si="33"/>
        <v>59.673605104126452</v>
      </c>
      <c r="Q60" s="20">
        <f t="shared" si="53"/>
        <v>531.93510488968684</v>
      </c>
      <c r="R60" s="59">
        <f t="shared" si="0"/>
        <v>825.26843822302021</v>
      </c>
      <c r="S60" s="59">
        <f ca="1">AVERAGE(OFFSET($R$3,0,0,'Données projet'!$E$9+1,1))-AVERAGE(OFFSET($H$3,0,0,'Données projet'!$E$9+1,1))</f>
        <v>351.15781452544906</v>
      </c>
      <c r="T60" s="59">
        <f t="shared" si="34"/>
        <v>271.54361159160169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1.4110195965757797</v>
      </c>
      <c r="AA60" s="21">
        <f>EXP(-LN(2)/25)*AA59+(1-EXP(-LN(2)/25))/(LN(2)/25)*Calculateur!V60*Calculateur!X60*VLOOKUP('Données projet'!$B$9,Paramètres!$A$1:$I$89,3,0)*0.475*44/12</f>
        <v>5.3370983122092532</v>
      </c>
      <c r="AB60" s="21">
        <f>EXP(-LN(2)/2)*AB59+(1-EXP(-LN(2)/2))/(LN(2)/2)*V60*Y60*VLOOKUP('Données projet'!$B$9,Paramètres!$A$1:$I$89,3,0)*0.475*44/12</f>
        <v>1.8604138904013889E-3</v>
      </c>
      <c r="AC60" s="22">
        <f t="shared" si="3"/>
        <v>6.7499783226754344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10.9</v>
      </c>
      <c r="AI60" s="13">
        <f>IF('Données projet'!$A$62&gt;35,AI59+AH60-AQ59,IF(A60&lt;'Données projet'!$A$62,$AF$205^A60,IF(A60='Données projet'!$A$62,'Données projet'!$B$62,AI59+AH60-AQ59)))</f>
        <v>265.30000000000007</v>
      </c>
      <c r="AJ60" s="13">
        <f>AI60*VLOOKUP('Données projet'!$B$10,Paramètres!$A$1:$I$89,3,0)*VLOOKUP('Données projet'!$B$10,Paramètres!$A$1:$I$89,5,0)</f>
        <v>227.62740000000008</v>
      </c>
      <c r="AK60" s="13">
        <f t="shared" si="35"/>
        <v>55.769360753649444</v>
      </c>
      <c r="AL60" s="20">
        <f t="shared" si="4"/>
        <v>493.58269164593958</v>
      </c>
      <c r="AM60" s="59">
        <f t="shared" si="5"/>
        <v>786.91602497927283</v>
      </c>
      <c r="AN60" s="59">
        <f ca="1">AVERAGE(OFFSET($AM$3,0,0,'Données projet'!$E$10+1,1))-AVERAGE(OFFSET($H$3,0,0,'Données projet'!$E$10+1,1))</f>
        <v>405.59933429804329</v>
      </c>
      <c r="AO60" s="59">
        <f t="shared" si="36"/>
        <v>208.64922573363776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2.0724905902769444</v>
      </c>
      <c r="AW60" s="21">
        <f>EXP(-LN(2)/2)*AW59+(1-EXP(-LN(2)/2))/(LN(2)/2)*AQ60*AT60*VLOOKUP('Données projet'!$B$10,Paramètres!$A$1:$I$89,3,0)*0.475*44/12</f>
        <v>6.1142711227023955E-4</v>
      </c>
      <c r="AX60" s="21">
        <f t="shared" si="6"/>
        <v>2.0731020173892145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211.60000000000014</v>
      </c>
      <c r="BE60" s="13">
        <f>BD60*VLOOKUP('Données projet'!$B$11,Paramètres!$A$1:$I$89,3,0)*VLOOKUP('Données projet'!$B$11,Paramètres!$A$1:$I$89,5,0)</f>
        <v>204.65952000000016</v>
      </c>
      <c r="BF60" s="13">
        <f t="shared" si="37"/>
        <v>50.766812591921436</v>
      </c>
      <c r="BG60" s="20">
        <f t="shared" si="7"/>
        <v>444.8675292642634</v>
      </c>
      <c r="BH60" s="59">
        <f t="shared" si="8"/>
        <v>738.20086259759671</v>
      </c>
      <c r="BI60" s="59">
        <f ca="1">AVERAGE(OFFSET($BH$3,0,0,'Données projet'!$E$11+1,1))-AVERAGE(OFFSET($H$3,0,0,'Données projet'!$E$11+1,1))</f>
        <v>293.19327646293601</v>
      </c>
      <c r="BJ60" s="59">
        <f t="shared" si="38"/>
        <v>200.0769581869605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1.5705222984236391</v>
      </c>
      <c r="BR60" s="21">
        <f>EXP(-LN(2)/2)*BR59+(1-EXP(-LN(2)/2))/(LN(2)/2)*BL60*BO60*VLOOKUP('Données projet'!$B$11,Paramètres!$A$1:$I$89,3,0)*0.475*44/12</f>
        <v>5.7108880408409887E-4</v>
      </c>
      <c r="BS60" s="22">
        <f t="shared" si="9"/>
        <v>1.5710933872277233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9.6999999999999993</v>
      </c>
      <c r="BY60" s="12">
        <f>IF('Données projet'!$A$114&gt;35,BY59+BX60-CG59,IF(A60&lt;'Données projet'!$A$114,$BV$205^A60,IF(A60='Données projet'!$A$114,'Données projet'!$B$114,BY59+BX60-CG59)))</f>
        <v>315.89999999999998</v>
      </c>
      <c r="BZ60" s="13">
        <f>BY60*VLOOKUP('Données projet'!$B$12,Paramètres!$A$1:$I$89,3,0)*VLOOKUP('Données projet'!$B$12,Paramètres!$A$1:$I$89,5,0)</f>
        <v>246.40199999999999</v>
      </c>
      <c r="CA60" s="13">
        <f t="shared" si="39"/>
        <v>59.814834475385474</v>
      </c>
      <c r="CB60" s="20">
        <f t="shared" si="10"/>
        <v>533.32765337796297</v>
      </c>
      <c r="CC60" s="59">
        <f t="shared" si="11"/>
        <v>826.66098671129635</v>
      </c>
      <c r="CD60" s="59">
        <f ca="1">AVERAGE(OFFSET($CC$3,0,0,'Données projet'!$E$12+1,1))-AVERAGE(OFFSET($H$3,0,0,'Données projet'!$E$12+1,1))</f>
        <v>295.95249585728561</v>
      </c>
      <c r="CE60" s="59">
        <f t="shared" si="40"/>
        <v>306.85862495052709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0.84713307060430132</v>
      </c>
      <c r="CL60" s="21">
        <f>EXP(-LN(2)/25)*CL59+(1-EXP(-LN(2)/25))/(LN(2)/25)*Calculateur!CG60*Calculateur!CI60*VLOOKUP('Données projet'!$B$12,Paramètres!$A$1:$I$89,3,0)*0.475*44/12</f>
        <v>3.9595930294095609</v>
      </c>
      <c r="CM60" s="21">
        <f>EXP(-LN(2)/2)*CM59+(1-EXP(-LN(2)/2))/(LN(2)/2)*CG60*CJ60*VLOOKUP('Données projet'!$B$12,Paramètres!$A$1:$I$89,3,0)*0.475*44/12</f>
        <v>1.1282616859051647E-3</v>
      </c>
      <c r="CN60" s="22">
        <f t="shared" si="12"/>
        <v>4.8078543616997678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10.9</v>
      </c>
      <c r="CT60" s="12">
        <f>IF('Données projet'!$A$140&gt;35,CT59+CS60-DB59,IF(A60&lt;'Données projet'!$A$140,$CQ$205^A60,IF(A60='Données projet'!$A$140,'Données projet'!$B$140,CT59+CS60-DB59)))</f>
        <v>265.30000000000007</v>
      </c>
      <c r="CU60" s="17">
        <f>CT60*VLOOKUP('Données projet'!$B$13,Paramètres!$A$1:$I$89,3,0)*VLOOKUP('Données projet'!$B$13,Paramètres!$A$1:$I$89,5,0)</f>
        <v>252.45948000000004</v>
      </c>
      <c r="CV60" s="13">
        <f t="shared" si="41"/>
        <v>61.112301027366684</v>
      </c>
      <c r="CW60" s="20">
        <f t="shared" si="13"/>
        <v>546.13751862266372</v>
      </c>
      <c r="CX60" s="59">
        <f t="shared" si="14"/>
        <v>839.47085195599698</v>
      </c>
      <c r="CY60" s="59">
        <f ca="1">AVERAGE(OFFSET($CX$3,0,0,'Données projet'!$E$13+1,1))-AVERAGE(OFFSET($H$3,0,0,'Données projet'!$E$13+1,1))</f>
        <v>461.10546083340631</v>
      </c>
      <c r="CZ60" s="59">
        <f t="shared" si="42"/>
        <v>233.41883071412587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1.8648860440124964</v>
      </c>
      <c r="DH60" s="21">
        <f>EXP(-LN(2)/2)*DH59+(1-EXP(-LN(2)/2))/(LN(2)/2)*DB60*DE60*VLOOKUP('Données projet'!$B$13,Paramètres!$A$1:$I$89,3,0)*0.475*44/12</f>
        <v>6.7812825179063051E-4</v>
      </c>
      <c r="DI60" s="22">
        <f t="shared" si="15"/>
        <v>1.8655641722642871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234.92351999999994</v>
      </c>
      <c r="DQ60" s="13">
        <f t="shared" si="43"/>
        <v>57.345945791866185</v>
      </c>
      <c r="DR60" s="20">
        <f t="shared" si="16"/>
        <v>509.0359862541668</v>
      </c>
      <c r="DS60" s="59">
        <f t="shared" si="17"/>
        <v>802.36931958750006</v>
      </c>
      <c r="DT60" s="59">
        <f ca="1">AVERAGE(OFFSET($DS$3,0,0,'Données projet'!$E$14+1,1))-AVERAGE(OFFSET($H$3,0,0,'Données projet'!$E$14+1,1))</f>
        <v>296.376932094327</v>
      </c>
      <c r="DU60" s="59">
        <f t="shared" si="44"/>
        <v>350.93658329210882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1.5813150651280292</v>
      </c>
      <c r="EB60" s="21">
        <f>EXP(-LN(2)/25)*EB59+(1-EXP(-LN(2)/25))/(LN(2)/25)*Calculateur!DW60*Calculateur!DY60*VLOOKUP('Données projet'!$B$14,Paramètres!$A$1:$I$89,3,0)*0.475*44/12</f>
        <v>8.0293854455428502</v>
      </c>
      <c r="EC60" s="21">
        <f>EXP(-LN(2)/2)*EC59+(1-EXP(-LN(2)/2))/(LN(2)/2)*DW60*DZ60*VLOOKUP('Données projet'!$B$14,Paramètres!$A$1:$I$89,3,0)*0.475*44/12</f>
        <v>2.1156569176327446E-3</v>
      </c>
      <c r="ED60" s="22">
        <f t="shared" si="18"/>
        <v>9.6128161675885124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6.8</v>
      </c>
      <c r="EJ60" s="12">
        <f>IF('Données projet'!$A$192&gt;35,EJ59+EI60-ER59,IF(A60&lt;'Données projet'!$A$192,$EG$205^A60,IF(A60='Données projet'!$A$192,'Données projet'!$B$192,EJ59+EI60-ER59)))</f>
        <v>289.59999999999991</v>
      </c>
      <c r="EK60" s="17">
        <f>EJ60*VLOOKUP('Données projet'!$B$15,Paramètres!$A$1:$I$89,3,0)*VLOOKUP('Données projet'!$B$15,Paramètres!$A$1:$I$89,5,0)</f>
        <v>189.74591999999996</v>
      </c>
      <c r="EL60" s="13">
        <f t="shared" si="45"/>
        <v>47.483774996623204</v>
      </c>
      <c r="EM60" s="20">
        <f t="shared" si="19"/>
        <v>413.17505211911862</v>
      </c>
      <c r="EN60" s="59">
        <f t="shared" si="20"/>
        <v>706.50838545245188</v>
      </c>
      <c r="EO60" s="59">
        <f ca="1">AVERAGE(OFFSET($EN$3,0,0,'Données projet'!$E$15+1,1))-AVERAGE(OFFSET($H$3,0,0,'Données projet'!$E$15+1,1))</f>
        <v>231.03244099494077</v>
      </c>
      <c r="EP60" s="59">
        <f t="shared" si="46"/>
        <v>280.29723026390741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1.2772160141418694</v>
      </c>
      <c r="EW60" s="21">
        <f>EXP(-LN(2)/25)*EW59+(1-EXP(-LN(2)/25))/(LN(2)/25)*Calculateur!ER60*Calculateur!ET60*VLOOKUP('Données projet'!$B$15,Paramètres!$A$1:$I$89,3,0)*0.475*44/12</f>
        <v>6.4852728598615332</v>
      </c>
      <c r="EX60" s="21">
        <f>EXP(-LN(2)/2)*EX59+(1-EXP(-LN(2)/2))/(LN(2)/2)*ER60*EU60*VLOOKUP('Données projet'!$B$15,Paramètres!$A$1:$I$89,3,0)*0.475*44/12</f>
        <v>1.7087998180879852E-3</v>
      </c>
      <c r="EY60" s="22">
        <f t="shared" si="21"/>
        <v>7.7641976738214904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254.61071999999999</v>
      </c>
      <c r="P61" s="13">
        <f t="shared" si="33"/>
        <v>61.572204587965679</v>
      </c>
      <c r="Q61" s="20">
        <f t="shared" si="53"/>
        <v>550.68526032404009</v>
      </c>
      <c r="R61" s="59">
        <f t="shared" si="0"/>
        <v>844.01859365737346</v>
      </c>
      <c r="S61" s="59">
        <f ca="1">AVERAGE(OFFSET($R$3,0,0,'Données projet'!$E$9+1,1))-AVERAGE(OFFSET($H$3,0,0,'Données projet'!$E$9+1,1))</f>
        <v>351.15781452544906</v>
      </c>
      <c r="T61" s="59">
        <f t="shared" si="34"/>
        <v>271.54361159160169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1.3833503629239017</v>
      </c>
      <c r="AA61" s="21">
        <f>EXP(-LN(2)/25)*AA60+(1-EXP(-LN(2)/25))/(LN(2)/25)*Calculateur!V61*Calculateur!X61*VLOOKUP('Données projet'!$B$9,Paramètres!$A$1:$I$89,3,0)*0.475*44/12</f>
        <v>5.1911550781960889</v>
      </c>
      <c r="AB61" s="21">
        <f>EXP(-LN(2)/2)*AB60+(1-EXP(-LN(2)/2))/(LN(2)/2)*V61*Y61*VLOOKUP('Données projet'!$B$9,Paramètres!$A$1:$I$89,3,0)*0.475*44/12</f>
        <v>1.3155112777164686E-3</v>
      </c>
      <c r="AC61" s="22">
        <f t="shared" si="3"/>
        <v>6.5758209523977067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10.9</v>
      </c>
      <c r="AI61" s="13">
        <f>IF('Données projet'!$A$62&gt;35,AI60+AH61-AQ60,IF(A61&lt;'Données projet'!$A$62,$AF$205^A61,IF(A61='Données projet'!$A$62,'Données projet'!$B$62,AI60+AH61-AQ60)))</f>
        <v>276.20000000000005</v>
      </c>
      <c r="AJ61" s="13">
        <f>AI61*VLOOKUP('Données projet'!$B$10,Paramètres!$A$1:$I$89,3,0)*VLOOKUP('Données projet'!$B$10,Paramètres!$A$1:$I$89,5,0)</f>
        <v>236.97960000000003</v>
      </c>
      <c r="AK61" s="13">
        <f t="shared" si="35"/>
        <v>57.789198481082025</v>
      </c>
      <c r="AL61" s="20">
        <f t="shared" si="4"/>
        <v>513.38899068788453</v>
      </c>
      <c r="AM61" s="59">
        <f t="shared" si="5"/>
        <v>806.7223240212179</v>
      </c>
      <c r="AN61" s="59">
        <f ca="1">AVERAGE(OFFSET($AM$3,0,0,'Données projet'!$E$10+1,1))-AVERAGE(OFFSET($H$3,0,0,'Données projet'!$E$10+1,1))</f>
        <v>405.59933429804329</v>
      </c>
      <c r="AO61" s="59">
        <f t="shared" si="36"/>
        <v>208.64922573363776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2.0158182260982778</v>
      </c>
      <c r="AW61" s="21">
        <f>EXP(-LN(2)/2)*AW60+(1-EXP(-LN(2)/2))/(LN(2)/2)*AQ61*AT61*VLOOKUP('Données projet'!$B$10,Paramètres!$A$1:$I$89,3,0)*0.475*44/12</f>
        <v>4.3234425728759491E-4</v>
      </c>
      <c r="AX61" s="21">
        <f t="shared" si="6"/>
        <v>2.0162505703555653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219.40000000000015</v>
      </c>
      <c r="BE61" s="13">
        <f>BD61*VLOOKUP('Données projet'!$B$11,Paramètres!$A$1:$I$89,3,0)*VLOOKUP('Données projet'!$B$11,Paramètres!$A$1:$I$89,5,0)</f>
        <v>212.20368000000013</v>
      </c>
      <c r="BF61" s="13">
        <f t="shared" si="37"/>
        <v>52.416852259387269</v>
      </c>
      <c r="BG61" s="20">
        <f t="shared" si="7"/>
        <v>460.88076035176641</v>
      </c>
      <c r="BH61" s="59">
        <f t="shared" si="8"/>
        <v>754.21409368509967</v>
      </c>
      <c r="BI61" s="59">
        <f ca="1">AVERAGE(OFFSET($BH$3,0,0,'Données projet'!$E$11+1,1))-AVERAGE(OFFSET($H$3,0,0,'Données projet'!$E$11+1,1))</f>
        <v>293.19327646293601</v>
      </c>
      <c r="BJ61" s="59">
        <f t="shared" si="38"/>
        <v>200.0769581869605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1.5275762835830664</v>
      </c>
      <c r="BR61" s="21">
        <f>EXP(-LN(2)/2)*BR60+(1-EXP(-LN(2)/2))/(LN(2)/2)*BL61*BO61*VLOOKUP('Données projet'!$B$11,Paramètres!$A$1:$I$89,3,0)*0.475*44/12</f>
        <v>4.0382076602758202E-4</v>
      </c>
      <c r="BS61" s="22">
        <f t="shared" si="9"/>
        <v>1.5279801043490939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9.6999999999999993</v>
      </c>
      <c r="BY61" s="12">
        <f>IF('Données projet'!$A$114&gt;35,BY60+BX61-CG60,IF(A61&lt;'Données projet'!$A$114,$BV$205^A61,IF(A61='Données projet'!$A$114,'Données projet'!$B$114,BY60+BX61-CG60)))</f>
        <v>325.59999999999997</v>
      </c>
      <c r="BZ61" s="13">
        <f>BY61*VLOOKUP('Données projet'!$B$12,Paramètres!$A$1:$I$89,3,0)*VLOOKUP('Données projet'!$B$12,Paramètres!$A$1:$I$89,5,0)</f>
        <v>253.96799999999999</v>
      </c>
      <c r="CA61" s="13">
        <f t="shared" si="39"/>
        <v>61.434848029666512</v>
      </c>
      <c r="CB61" s="20">
        <f t="shared" si="10"/>
        <v>549.32662698500246</v>
      </c>
      <c r="CC61" s="59">
        <f t="shared" si="11"/>
        <v>842.65996031833583</v>
      </c>
      <c r="CD61" s="59">
        <f ca="1">AVERAGE(OFFSET($CC$3,0,0,'Données projet'!$E$12+1,1))-AVERAGE(OFFSET($H$3,0,0,'Données projet'!$E$12+1,1))</f>
        <v>295.95249585728561</v>
      </c>
      <c r="CE61" s="59">
        <f t="shared" si="40"/>
        <v>306.85862495052709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0.83052130778990418</v>
      </c>
      <c r="CL61" s="21">
        <f>EXP(-LN(2)/25)*CL60+(1-EXP(-LN(2)/25))/(LN(2)/25)*Calculateur!CG61*Calculateur!CI61*VLOOKUP('Données projet'!$B$12,Paramètres!$A$1:$I$89,3,0)*0.475*44/12</f>
        <v>3.8513177497944087</v>
      </c>
      <c r="CM61" s="21">
        <f>EXP(-LN(2)/2)*CM60+(1-EXP(-LN(2)/2))/(LN(2)/2)*CG61*CJ61*VLOOKUP('Données projet'!$B$12,Paramètres!$A$1:$I$89,3,0)*0.475*44/12</f>
        <v>7.9780148905650851E-4</v>
      </c>
      <c r="CN61" s="22">
        <f t="shared" si="12"/>
        <v>4.6826368590733694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10.9</v>
      </c>
      <c r="CT61" s="12">
        <f>IF('Données projet'!$A$140&gt;35,CT60+CS61-DB60,IF(A61&lt;'Données projet'!$A$140,$CQ$205^A61,IF(A61='Données projet'!$A$140,'Données projet'!$B$140,CT60+CS61-DB60)))</f>
        <v>276.20000000000005</v>
      </c>
      <c r="CU61" s="17">
        <f>CT61*VLOOKUP('Données projet'!$B$13,Paramètres!$A$1:$I$89,3,0)*VLOOKUP('Données projet'!$B$13,Paramètres!$A$1:$I$89,5,0)</f>
        <v>262.83192000000003</v>
      </c>
      <c r="CV61" s="13">
        <f t="shared" si="41"/>
        <v>63.325647738844125</v>
      </c>
      <c r="CW61" s="20">
        <f t="shared" si="13"/>
        <v>568.05776381182022</v>
      </c>
      <c r="CX61" s="59">
        <f t="shared" si="14"/>
        <v>861.39109714515348</v>
      </c>
      <c r="CY61" s="59">
        <f ca="1">AVERAGE(OFFSET($CX$3,0,0,'Données projet'!$E$13+1,1))-AVERAGE(OFFSET($H$3,0,0,'Données projet'!$E$13+1,1))</f>
        <v>461.10546083340631</v>
      </c>
      <c r="CZ61" s="59">
        <f t="shared" si="42"/>
        <v>233.41883071412587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1.8138906370688799</v>
      </c>
      <c r="DH61" s="21">
        <f>EXP(-LN(2)/2)*DH60+(1-EXP(-LN(2)/2))/(LN(2)/2)*DB61*DE61*VLOOKUP('Données projet'!$B$13,Paramètres!$A$1:$I$89,3,0)*0.475*44/12</f>
        <v>4.795090853553334E-4</v>
      </c>
      <c r="DI61" s="22">
        <f t="shared" si="15"/>
        <v>1.8143701461542352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240.43967999999995</v>
      </c>
      <c r="DQ61" s="13">
        <f t="shared" si="43"/>
        <v>58.534119696534113</v>
      </c>
      <c r="DR61" s="20">
        <f t="shared" si="16"/>
        <v>520.71270113813011</v>
      </c>
      <c r="DS61" s="59">
        <f t="shared" si="17"/>
        <v>814.04603447146337</v>
      </c>
      <c r="DT61" s="59">
        <f ca="1">AVERAGE(OFFSET($DS$3,0,0,'Données projet'!$E$14+1,1))-AVERAGE(OFFSET($H$3,0,0,'Données projet'!$E$14+1,1))</f>
        <v>296.376932094327</v>
      </c>
      <c r="DU61" s="59">
        <f t="shared" si="44"/>
        <v>350.93658329210882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1.5503064412078211</v>
      </c>
      <c r="EB61" s="21">
        <f>EXP(-LN(2)/25)*EB60+(1-EXP(-LN(2)/25))/(LN(2)/25)*Calculateur!DW61*Calculateur!DY61*VLOOKUP('Données projet'!$B$14,Paramètres!$A$1:$I$89,3,0)*0.475*44/12</f>
        <v>7.8098214782874518</v>
      </c>
      <c r="EC61" s="21">
        <f>EXP(-LN(2)/2)*EC60+(1-EXP(-LN(2)/2))/(LN(2)/2)*DW61*DZ61*VLOOKUP('Données projet'!$B$14,Paramètres!$A$1:$I$89,3,0)*0.475*44/12</f>
        <v>1.4959953531223427E-3</v>
      </c>
      <c r="ED61" s="22">
        <f t="shared" si="18"/>
        <v>9.361623914848396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6.8</v>
      </c>
      <c r="EJ61" s="12">
        <f>IF('Données projet'!$A$192&gt;35,EJ60+EI61-ER60,IF(A61&lt;'Données projet'!$A$192,$EG$205^A61,IF(A61='Données projet'!$A$192,'Données projet'!$B$192,EJ60+EI61-ER60)))</f>
        <v>296.39999999999992</v>
      </c>
      <c r="EK61" s="17">
        <f>EJ61*VLOOKUP('Données projet'!$B$15,Paramètres!$A$1:$I$89,3,0)*VLOOKUP('Données projet'!$B$15,Paramètres!$A$1:$I$89,5,0)</f>
        <v>194.20127999999994</v>
      </c>
      <c r="EL61" s="13">
        <f t="shared" si="45"/>
        <v>48.467610585469856</v>
      </c>
      <c r="EM61" s="20">
        <f t="shared" si="19"/>
        <v>422.64831776969322</v>
      </c>
      <c r="EN61" s="59">
        <f t="shared" si="20"/>
        <v>715.98165110302648</v>
      </c>
      <c r="EO61" s="59">
        <f ca="1">AVERAGE(OFFSET($EN$3,0,0,'Données projet'!$E$15+1,1))-AVERAGE(OFFSET($H$3,0,0,'Données projet'!$E$15+1,1))</f>
        <v>231.03244099494077</v>
      </c>
      <c r="EP61" s="59">
        <f t="shared" si="46"/>
        <v>280.29723026390741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1.2521705871293936</v>
      </c>
      <c r="EW61" s="21">
        <f>EXP(-LN(2)/25)*EW60+(1-EXP(-LN(2)/25))/(LN(2)/25)*Calculateur!ER61*Calculateur!ET61*VLOOKUP('Données projet'!$B$15,Paramètres!$A$1:$I$89,3,0)*0.475*44/12</f>
        <v>6.3079327324629419</v>
      </c>
      <c r="EX61" s="21">
        <f>EXP(-LN(2)/2)*EX60+(1-EXP(-LN(2)/2))/(LN(2)/2)*ER61*EU61*VLOOKUP('Données projet'!$B$15,Paramètres!$A$1:$I$89,3,0)*0.475*44/12</f>
        <v>1.2083039390603531E-3</v>
      </c>
      <c r="EY61" s="22">
        <f t="shared" si="21"/>
        <v>7.5613116235313962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263.47775999999999</v>
      </c>
      <c r="P62" s="13">
        <f t="shared" si="33"/>
        <v>63.46312159763346</v>
      </c>
      <c r="Q62" s="20">
        <f t="shared" si="53"/>
        <v>569.42203544921153</v>
      </c>
      <c r="R62" s="59">
        <f t="shared" si="0"/>
        <v>862.75536878254479</v>
      </c>
      <c r="S62" s="59">
        <f ca="1">AVERAGE(OFFSET($R$3,0,0,'Données projet'!$E$9+1,1))-AVERAGE(OFFSET($H$3,0,0,'Données projet'!$E$9+1,1))</f>
        <v>351.15781452544906</v>
      </c>
      <c r="T62" s="59">
        <f t="shared" si="34"/>
        <v>271.54361159160169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1.356223706067371</v>
      </c>
      <c r="AA62" s="21">
        <f>EXP(-LN(2)/25)*AA61+(1-EXP(-LN(2)/25))/(LN(2)/25)*Calculateur!V62*Calculateur!X62*VLOOKUP('Données projet'!$B$9,Paramètres!$A$1:$I$89,3,0)*0.475*44/12</f>
        <v>5.0492026695918355</v>
      </c>
      <c r="AB62" s="21">
        <f>EXP(-LN(2)/2)*AB61+(1-EXP(-LN(2)/2))/(LN(2)/2)*V62*Y62*VLOOKUP('Données projet'!$B$9,Paramètres!$A$1:$I$89,3,0)*0.475*44/12</f>
        <v>9.3020694520069456E-4</v>
      </c>
      <c r="AC62" s="22">
        <f t="shared" si="3"/>
        <v>6.4063565826044071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10.9</v>
      </c>
      <c r="AI62" s="13">
        <f>IF('Données projet'!$A$62&gt;35,AI61+AH62-AQ61,IF(A62&lt;'Données projet'!$A$62,$AF$205^A62,IF(A62='Données projet'!$A$62,'Données projet'!$B$62,AI61+AH62-AQ61)))</f>
        <v>287.10000000000002</v>
      </c>
      <c r="AJ62" s="13">
        <f>AI62*VLOOKUP('Données projet'!$B$10,Paramètres!$A$1:$I$89,3,0)*VLOOKUP('Données projet'!$B$10,Paramètres!$A$1:$I$89,5,0)</f>
        <v>246.33180000000004</v>
      </c>
      <c r="AK62" s="13">
        <f t="shared" si="35"/>
        <v>59.799776565359551</v>
      </c>
      <c r="AL62" s="20">
        <f t="shared" si="4"/>
        <v>533.17916251800114</v>
      </c>
      <c r="AM62" s="59">
        <f t="shared" si="5"/>
        <v>826.51249585133451</v>
      </c>
      <c r="AN62" s="59">
        <f ca="1">AVERAGE(OFFSET($AM$3,0,0,'Données projet'!$E$10+1,1))-AVERAGE(OFFSET($H$3,0,0,'Données projet'!$E$10+1,1))</f>
        <v>405.59933429804329</v>
      </c>
      <c r="AO62" s="59">
        <f t="shared" si="36"/>
        <v>208.64922573363776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1.9606955706983471</v>
      </c>
      <c r="AW62" s="21">
        <f>EXP(-LN(2)/2)*AW61+(1-EXP(-LN(2)/2))/(LN(2)/2)*AQ62*AT62*VLOOKUP('Données projet'!$B$10,Paramètres!$A$1:$I$89,3,0)*0.475*44/12</f>
        <v>3.0571355613511977E-4</v>
      </c>
      <c r="AX62" s="21">
        <f t="shared" si="6"/>
        <v>1.9610012842544822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227.20000000000016</v>
      </c>
      <c r="BE62" s="13">
        <f>BD62*VLOOKUP('Données projet'!$B$11,Paramètres!$A$1:$I$89,3,0)*VLOOKUP('Données projet'!$B$11,Paramètres!$A$1:$I$89,5,0)</f>
        <v>219.74784000000014</v>
      </c>
      <c r="BF62" s="13">
        <f t="shared" si="37"/>
        <v>54.060076332940611</v>
      </c>
      <c r="BG62" s="20">
        <f t="shared" si="7"/>
        <v>476.88212094653846</v>
      </c>
      <c r="BH62" s="59">
        <f t="shared" si="8"/>
        <v>770.21545427987178</v>
      </c>
      <c r="BI62" s="59">
        <f ca="1">AVERAGE(OFFSET($BH$3,0,0,'Données projet'!$E$11+1,1))-AVERAGE(OFFSET($H$3,0,0,'Données projet'!$E$11+1,1))</f>
        <v>293.19327646293601</v>
      </c>
      <c r="BJ62" s="59">
        <f t="shared" si="38"/>
        <v>200.0769581869605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1.485804629776742</v>
      </c>
      <c r="BR62" s="21">
        <f>EXP(-LN(2)/2)*BR61+(1-EXP(-LN(2)/2))/(LN(2)/2)*BL62*BO62*VLOOKUP('Données projet'!$B$11,Paramètres!$A$1:$I$89,3,0)*0.475*44/12</f>
        <v>2.8554440204204943E-4</v>
      </c>
      <c r="BS62" s="22">
        <f t="shared" si="9"/>
        <v>1.486090174178784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9.6999999999999993</v>
      </c>
      <c r="BY62" s="12">
        <f>IF('Données projet'!$A$114&gt;35,BY61+BX62-CG61,IF(A62&lt;'Données projet'!$A$114,$BV$205^A62,IF(A62='Données projet'!$A$114,'Données projet'!$B$114,BY61+BX62-CG61)))</f>
        <v>335.29999999999995</v>
      </c>
      <c r="BZ62" s="13">
        <f>BY62*VLOOKUP('Données projet'!$B$12,Paramètres!$A$1:$I$89,3,0)*VLOOKUP('Données projet'!$B$12,Paramètres!$A$1:$I$89,5,0)</f>
        <v>261.53399999999999</v>
      </c>
      <c r="CA62" s="13">
        <f t="shared" si="39"/>
        <v>63.049252730843492</v>
      </c>
      <c r="CB62" s="20">
        <f t="shared" si="10"/>
        <v>565.31583183955229</v>
      </c>
      <c r="CC62" s="59">
        <f t="shared" si="11"/>
        <v>858.64916517288566</v>
      </c>
      <c r="CD62" s="59">
        <f ca="1">AVERAGE(OFFSET($CC$3,0,0,'Données projet'!$E$12+1,1))-AVERAGE(OFFSET($H$3,0,0,'Données projet'!$E$12+1,1))</f>
        <v>295.95249585728561</v>
      </c>
      <c r="CE62" s="59">
        <f t="shared" si="40"/>
        <v>306.85862495052709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0.81423529151212248</v>
      </c>
      <c r="CL62" s="21">
        <f>EXP(-LN(2)/25)*CL61+(1-EXP(-LN(2)/25))/(LN(2)/25)*Calculateur!CG62*Calculateur!CI62*VLOOKUP('Données projet'!$B$12,Paramètres!$A$1:$I$89,3,0)*0.475*44/12</f>
        <v>3.7460032633942824</v>
      </c>
      <c r="CM62" s="21">
        <f>EXP(-LN(2)/2)*CM61+(1-EXP(-LN(2)/2))/(LN(2)/2)*CG62*CJ62*VLOOKUP('Données projet'!$B$12,Paramètres!$A$1:$I$89,3,0)*0.475*44/12</f>
        <v>5.6413084295258234E-4</v>
      </c>
      <c r="CN62" s="22">
        <f t="shared" si="12"/>
        <v>4.5608026857493575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10.9</v>
      </c>
      <c r="CT62" s="12">
        <f>IF('Données projet'!$A$140&gt;35,CT61+CS62-DB61,IF(A62&lt;'Données projet'!$A$140,$CQ$205^A62,IF(A62='Données projet'!$A$140,'Données projet'!$B$140,CT61+CS62-DB61)))</f>
        <v>287.10000000000002</v>
      </c>
      <c r="CU62" s="17">
        <f>CT62*VLOOKUP('Données projet'!$B$13,Paramètres!$A$1:$I$89,3,0)*VLOOKUP('Données projet'!$B$13,Paramètres!$A$1:$I$89,5,0)</f>
        <v>273.20436000000001</v>
      </c>
      <c r="CV62" s="13">
        <f t="shared" si="41"/>
        <v>65.528847694248981</v>
      </c>
      <c r="CW62" s="20">
        <f t="shared" si="13"/>
        <v>589.96033673415036</v>
      </c>
      <c r="CX62" s="59">
        <f t="shared" si="14"/>
        <v>883.29367006748362</v>
      </c>
      <c r="CY62" s="59">
        <f ca="1">AVERAGE(OFFSET($CX$3,0,0,'Données projet'!$E$13+1,1))-AVERAGE(OFFSET($H$3,0,0,'Données projet'!$E$13+1,1))</f>
        <v>461.10546083340631</v>
      </c>
      <c r="CZ62" s="59">
        <f t="shared" si="42"/>
        <v>233.41883071412587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1.7642897022098685</v>
      </c>
      <c r="DH62" s="21">
        <f>EXP(-LN(2)/2)*DH61+(1-EXP(-LN(2)/2))/(LN(2)/2)*DB62*DE62*VLOOKUP('Données projet'!$B$13,Paramètres!$A$1:$I$89,3,0)*0.475*44/12</f>
        <v>3.3906412589531531E-4</v>
      </c>
      <c r="DI62" s="22">
        <f t="shared" si="15"/>
        <v>1.7646287663357638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245.95583999999994</v>
      </c>
      <c r="DQ62" s="13">
        <f t="shared" si="43"/>
        <v>59.719124586743611</v>
      </c>
      <c r="DR62" s="20">
        <f t="shared" si="16"/>
        <v>532.38389665524505</v>
      </c>
      <c r="DS62" s="59">
        <f t="shared" si="17"/>
        <v>825.71722998857831</v>
      </c>
      <c r="DT62" s="59">
        <f ca="1">AVERAGE(OFFSET($DS$3,0,0,'Données projet'!$E$14+1,1))-AVERAGE(OFFSET($H$3,0,0,'Données projet'!$E$14+1,1))</f>
        <v>296.376932094327</v>
      </c>
      <c r="DU62" s="59">
        <f t="shared" si="44"/>
        <v>350.93658329210882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1.5199058774892953</v>
      </c>
      <c r="EB62" s="21">
        <f>EXP(-LN(2)/25)*EB61+(1-EXP(-LN(2)/25))/(LN(2)/25)*Calculateur!DW62*Calculateur!DY62*VLOOKUP('Données projet'!$B$14,Paramètres!$A$1:$I$89,3,0)*0.475*44/12</f>
        <v>7.5962614992630195</v>
      </c>
      <c r="EC62" s="21">
        <f>EXP(-LN(2)/2)*EC61+(1-EXP(-LN(2)/2))/(LN(2)/2)*DW62*DZ62*VLOOKUP('Données projet'!$B$14,Paramètres!$A$1:$I$89,3,0)*0.475*44/12</f>
        <v>1.0578284588163723E-3</v>
      </c>
      <c r="ED62" s="22">
        <f t="shared" si="18"/>
        <v>9.1172252052111311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6.8</v>
      </c>
      <c r="EJ62" s="12">
        <f>IF('Données projet'!$A$192&gt;35,EJ61+EI62-ER61,IF(A62&lt;'Données projet'!$A$192,$EG$205^A62,IF(A62='Données projet'!$A$192,'Données projet'!$B$192,EJ61+EI62-ER61)))</f>
        <v>303.19999999999993</v>
      </c>
      <c r="EK62" s="17">
        <f>EJ62*VLOOKUP('Données projet'!$B$15,Paramètres!$A$1:$I$89,3,0)*VLOOKUP('Données projet'!$B$15,Paramètres!$A$1:$I$89,5,0)</f>
        <v>198.65663999999995</v>
      </c>
      <c r="EL62" s="13">
        <f t="shared" si="45"/>
        <v>49.448822156743425</v>
      </c>
      <c r="EM62" s="20">
        <f t="shared" si="19"/>
        <v>432.11701325632799</v>
      </c>
      <c r="EN62" s="59">
        <f t="shared" si="20"/>
        <v>725.45034658966131</v>
      </c>
      <c r="EO62" s="59">
        <f ca="1">AVERAGE(OFFSET($EN$3,0,0,'Données projet'!$E$15+1,1))-AVERAGE(OFFSET($H$3,0,0,'Données projet'!$E$15+1,1))</f>
        <v>231.03244099494077</v>
      </c>
      <c r="EP62" s="59">
        <f t="shared" si="46"/>
        <v>280.29723026390741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1.2276162856644304</v>
      </c>
      <c r="EW62" s="21">
        <f>EXP(-LN(2)/25)*EW61+(1-EXP(-LN(2)/25))/(LN(2)/25)*Calculateur!ER62*Calculateur!ET62*VLOOKUP('Données projet'!$B$15,Paramètres!$A$1:$I$89,3,0)*0.475*44/12</f>
        <v>6.1354419801739777</v>
      </c>
      <c r="EX62" s="21">
        <f>EXP(-LN(2)/2)*EX61+(1-EXP(-LN(2)/2))/(LN(2)/2)*ER62*EU62*VLOOKUP('Données projet'!$B$15,Paramètres!$A$1:$I$89,3,0)*0.475*44/12</f>
        <v>8.5439990904399258E-4</v>
      </c>
      <c r="EY62" s="22">
        <f t="shared" si="21"/>
        <v>7.3639126657474518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272.34479999999996</v>
      </c>
      <c r="P63" s="13">
        <f t="shared" si="33"/>
        <v>65.346644318451652</v>
      </c>
      <c r="Q63" s="20">
        <f t="shared" si="53"/>
        <v>588.14593218796983</v>
      </c>
      <c r="R63" s="59">
        <f t="shared" si="0"/>
        <v>881.4792655213032</v>
      </c>
      <c r="S63" s="59">
        <f ca="1">AVERAGE(OFFSET($R$3,0,0,'Données projet'!$E$9+1,1))-AVERAGE(OFFSET($H$3,0,0,'Données projet'!$E$9+1,1))</f>
        <v>351.15781452544906</v>
      </c>
      <c r="T63" s="59">
        <f t="shared" si="34"/>
        <v>271.54361159160169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1.3296289864061699</v>
      </c>
      <c r="AA63" s="21">
        <f>EXP(-LN(2)/25)*AA62+(1-EXP(-LN(2)/25))/(LN(2)/25)*Calculateur!V63*Calculateur!X63*VLOOKUP('Données projet'!$B$9,Paramètres!$A$1:$I$89,3,0)*0.475*44/12</f>
        <v>4.9111319570658187</v>
      </c>
      <c r="AB63" s="21">
        <f>EXP(-LN(2)/2)*AB62+(1-EXP(-LN(2)/2))/(LN(2)/2)*V63*Y63*VLOOKUP('Données projet'!$B$9,Paramètres!$A$1:$I$89,3,0)*0.475*44/12</f>
        <v>6.5775563885823443E-4</v>
      </c>
      <c r="AC63" s="22">
        <f t="shared" si="3"/>
        <v>6.2414186991108469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298</v>
      </c>
      <c r="AG63" s="12">
        <f>VLOOKUP(A63,'Données projet'!$A$61:$I$81,9,0)</f>
        <v>10.9</v>
      </c>
      <c r="AH63" s="12">
        <f t="array" ref="AH63">INDEX(AG:AG,MIN(IF(ISNUMBER(AG63:AG259),ROW(AG63:AG259),"")))</f>
        <v>10.9</v>
      </c>
      <c r="AI63" s="13">
        <f>IF('Données projet'!$A$62&gt;35,AI62+AH63-AQ62,IF(A63&lt;'Données projet'!$A$62,$AF$205^A63,IF(A63='Données projet'!$A$62,'Données projet'!$B$62,AI62+AH63-AQ62)))</f>
        <v>298</v>
      </c>
      <c r="AJ63" s="13">
        <f>AI63*VLOOKUP('Données projet'!$B$10,Paramètres!$A$1:$I$89,3,0)*VLOOKUP('Données projet'!$B$10,Paramètres!$A$1:$I$89,5,0)</f>
        <v>255.68400000000003</v>
      </c>
      <c r="AK63" s="13">
        <f t="shared" si="35"/>
        <v>61.801486802994056</v>
      </c>
      <c r="AL63" s="20">
        <f t="shared" si="4"/>
        <v>552.95388951521466</v>
      </c>
      <c r="AM63" s="59">
        <f t="shared" si="5"/>
        <v>846.28722284854803</v>
      </c>
      <c r="AN63" s="59">
        <f ca="1">AVERAGE(OFFSET($AM$3,0,0,'Données projet'!$E$10+1,1))-AVERAGE(OFFSET($H$3,0,0,'Données projet'!$E$10+1,1))</f>
        <v>405.59933429804329</v>
      </c>
      <c r="AO63" s="59">
        <f t="shared" si="36"/>
        <v>208.64922573363776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1.907080247209102</v>
      </c>
      <c r="AW63" s="21">
        <f>EXP(-LN(2)/2)*AW62+(1-EXP(-LN(2)/2))/(LN(2)/2)*AQ63*AT63*VLOOKUP('Données projet'!$B$10,Paramètres!$A$1:$I$89,3,0)*0.475*44/12</f>
        <v>2.1617212864379745E-4</v>
      </c>
      <c r="AX63" s="21">
        <f t="shared" si="6"/>
        <v>1.9072964193377457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235.00000000000017</v>
      </c>
      <c r="BE63" s="13">
        <f>BD63*VLOOKUP('Données projet'!$B$11,Paramètres!$A$1:$I$89,3,0)*VLOOKUP('Données projet'!$B$11,Paramètres!$A$1:$I$89,5,0)</f>
        <v>227.29200000000017</v>
      </c>
      <c r="BF63" s="13">
        <f t="shared" si="37"/>
        <v>55.696745617483749</v>
      </c>
      <c r="BG63" s="20">
        <f t="shared" si="7"/>
        <v>492.87206528378442</v>
      </c>
      <c r="BH63" s="59">
        <f t="shared" si="8"/>
        <v>786.20539861711768</v>
      </c>
      <c r="BI63" s="59">
        <f ca="1">AVERAGE(OFFSET($BH$3,0,0,'Données projet'!$E$11+1,1))-AVERAGE(OFFSET($H$3,0,0,'Données projet'!$E$11+1,1))</f>
        <v>293.19327646293601</v>
      </c>
      <c r="BJ63" s="59">
        <f t="shared" si="38"/>
        <v>200.0769581869605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1.4451752240404274</v>
      </c>
      <c r="BR63" s="21">
        <f>EXP(-LN(2)/2)*BR62+(1-EXP(-LN(2)/2))/(LN(2)/2)*BL63*BO63*VLOOKUP('Données projet'!$B$11,Paramètres!$A$1:$I$89,3,0)*0.475*44/12</f>
        <v>2.0191038301379101E-4</v>
      </c>
      <c r="BS63" s="22">
        <f t="shared" si="9"/>
        <v>1.4453771344234412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345</v>
      </c>
      <c r="BW63" s="12">
        <f>VLOOKUP(A63,'Données projet'!$A$113:$I$133,9,0)</f>
        <v>9.6999999999999993</v>
      </c>
      <c r="BX63" s="12">
        <f t="array" ref="BX63">INDEX(BW:BW,MIN(IF(ISNUMBER(BW63:BW259),ROW(BW63:BW259),"")))</f>
        <v>9.6999999999999993</v>
      </c>
      <c r="BY63" s="12">
        <f>IF('Données projet'!$A$114&gt;35,BY62+BX63-CG62,IF(A63&lt;'Données projet'!$A$114,$BV$205^A63,IF(A63='Données projet'!$A$114,'Données projet'!$B$114,BY62+BX63-CG62)))</f>
        <v>344.99999999999994</v>
      </c>
      <c r="BZ63" s="13">
        <f>BY63*VLOOKUP('Données projet'!$B$12,Paramètres!$A$1:$I$89,3,0)*VLOOKUP('Données projet'!$B$12,Paramètres!$A$1:$I$89,5,0)</f>
        <v>269.09999999999997</v>
      </c>
      <c r="CA63" s="13">
        <f t="shared" si="39"/>
        <v>64.658229472790993</v>
      </c>
      <c r="CB63" s="20">
        <f t="shared" si="10"/>
        <v>581.29558299844416</v>
      </c>
      <c r="CC63" s="59">
        <f t="shared" si="11"/>
        <v>874.62891633177742</v>
      </c>
      <c r="CD63" s="59">
        <f ca="1">AVERAGE(OFFSET($CC$3,0,0,'Données projet'!$E$12+1,1))-AVERAGE(OFFSET($H$3,0,0,'Données projet'!$E$12+1,1))</f>
        <v>295.95249585728561</v>
      </c>
      <c r="CE63" s="59">
        <f t="shared" si="40"/>
        <v>306.85862495052709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72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0.79826863408005899</v>
      </c>
      <c r="CL63" s="21">
        <f>EXP(-LN(2)/25)*CL62+(1-EXP(-LN(2)/25))/(LN(2)/25)*Calculateur!CG63*Calculateur!CI63*VLOOKUP('Données projet'!$B$12,Paramètres!$A$1:$I$89,3,0)*0.475*44/12</f>
        <v>3.6435686071630156</v>
      </c>
      <c r="CM63" s="21">
        <f>EXP(-LN(2)/2)*CM62+(1-EXP(-LN(2)/2))/(LN(2)/2)*CG63*CJ63*VLOOKUP('Données projet'!$B$12,Paramètres!$A$1:$I$89,3,0)*0.475*44/12</f>
        <v>3.9890074452825425E-4</v>
      </c>
      <c r="CN63" s="22">
        <f t="shared" si="12"/>
        <v>4.4422361419876033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298</v>
      </c>
      <c r="CR63" s="12">
        <f>VLOOKUP(A63,'Données projet'!$A$139:$I$159,9,0)</f>
        <v>10.9</v>
      </c>
      <c r="CS63" s="12">
        <f t="array" ref="CS63">INDEX(CR:CR,MIN(IF(ISNUMBER(CR63:CR259),ROW(CR63:CR259),"")))</f>
        <v>10.9</v>
      </c>
      <c r="CT63" s="12">
        <f>IF('Données projet'!$A$140&gt;35,CT62+CS63-DB62,IF(A63&lt;'Données projet'!$A$140,$CQ$205^A63,IF(A63='Données projet'!$A$140,'Données projet'!$B$140,CT62+CS63-DB62)))</f>
        <v>298</v>
      </c>
      <c r="CU63" s="17">
        <f>CT63*VLOOKUP('Données projet'!$B$13,Paramètres!$A$1:$I$89,3,0)*VLOOKUP('Données projet'!$B$13,Paramètres!$A$1:$I$89,5,0)</f>
        <v>283.57679999999999</v>
      </c>
      <c r="CV63" s="13">
        <f t="shared" si="41"/>
        <v>67.722330225853455</v>
      </c>
      <c r="CW63" s="20">
        <f t="shared" si="13"/>
        <v>611.84598514336142</v>
      </c>
      <c r="CX63" s="59">
        <f t="shared" si="14"/>
        <v>905.17931847669479</v>
      </c>
      <c r="CY63" s="59">
        <f ca="1">AVERAGE(OFFSET($CX$3,0,0,'Données projet'!$E$13+1,1))-AVERAGE(OFFSET($H$3,0,0,'Données projet'!$E$13+1,1))</f>
        <v>461.10546083340631</v>
      </c>
      <c r="CZ63" s="59">
        <f t="shared" si="42"/>
        <v>233.41883071412587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56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1.7160451075229766</v>
      </c>
      <c r="DH63" s="21">
        <f>EXP(-LN(2)/2)*DH62+(1-EXP(-LN(2)/2))/(LN(2)/2)*DB63*DE63*VLOOKUP('Données projet'!$B$13,Paramètres!$A$1:$I$89,3,0)*0.475*44/12</f>
        <v>2.3975454267766673E-4</v>
      </c>
      <c r="DI63" s="22">
        <f t="shared" si="15"/>
        <v>1.7162848620656543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251.47199999999998</v>
      </c>
      <c r="DQ63" s="13">
        <f t="shared" si="43"/>
        <v>60.901039718208651</v>
      </c>
      <c r="DR63" s="20">
        <f t="shared" si="16"/>
        <v>544.04971084254669</v>
      </c>
      <c r="DS63" s="59">
        <f t="shared" si="17"/>
        <v>837.38304417588006</v>
      </c>
      <c r="DT63" s="59">
        <f ca="1">AVERAGE(OFFSET($DS$3,0,0,'Données projet'!$E$14+1,1))-AVERAGE(OFFSET($H$3,0,0,'Données projet'!$E$14+1,1))</f>
        <v>296.376932094327</v>
      </c>
      <c r="DU63" s="59">
        <f t="shared" si="44"/>
        <v>350.93658329210882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1.4901014502827767</v>
      </c>
      <c r="EB63" s="21">
        <f>EXP(-LN(2)/25)*EB62+(1-EXP(-LN(2)/25))/(LN(2)/25)*Calculateur!DW63*Calculateur!DY63*VLOOKUP('Données projet'!$B$14,Paramètres!$A$1:$I$89,3,0)*0.475*44/12</f>
        <v>7.3885413290956414</v>
      </c>
      <c r="EC63" s="21">
        <f>EXP(-LN(2)/2)*EC62+(1-EXP(-LN(2)/2))/(LN(2)/2)*DW63*DZ63*VLOOKUP('Données projet'!$B$14,Paramètres!$A$1:$I$89,3,0)*0.475*44/12</f>
        <v>7.4799767656117137E-4</v>
      </c>
      <c r="ED63" s="22">
        <f t="shared" si="18"/>
        <v>8.8793907770549794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310</v>
      </c>
      <c r="EH63" s="12">
        <f>VLOOKUP(A63,'Données projet'!$A$191:$I$211,9,0)</f>
        <v>6.8</v>
      </c>
      <c r="EI63" s="12">
        <f t="array" ref="EI63">INDEX(EH:EH,MIN(IF(ISNUMBER(EH63:EH259),ROW(EH63:EH259),"")))</f>
        <v>6.8</v>
      </c>
      <c r="EJ63" s="12">
        <f>IF('Données projet'!$A$192&gt;35,EJ62+EI63-ER62,IF(A63&lt;'Données projet'!$A$192,$EG$205^A63,IF(A63='Données projet'!$A$192,'Données projet'!$B$192,EJ62+EI63-ER62)))</f>
        <v>309.99999999999994</v>
      </c>
      <c r="EK63" s="17">
        <f>EJ63*VLOOKUP('Données projet'!$B$15,Paramètres!$A$1:$I$89,3,0)*VLOOKUP('Données projet'!$B$15,Paramètres!$A$1:$I$89,5,0)</f>
        <v>203.11199999999994</v>
      </c>
      <c r="EL63" s="13">
        <f t="shared" si="45"/>
        <v>50.427475336015782</v>
      </c>
      <c r="EM63" s="20">
        <f t="shared" si="19"/>
        <v>441.58125287689404</v>
      </c>
      <c r="EN63" s="59">
        <f t="shared" si="20"/>
        <v>734.9145862102273</v>
      </c>
      <c r="EO63" s="59">
        <f ca="1">AVERAGE(OFFSET($EN$3,0,0,'Données projet'!$E$15+1,1))-AVERAGE(OFFSET($H$3,0,0,'Données projet'!$E$15+1,1))</f>
        <v>231.03244099494077</v>
      </c>
      <c r="EP63" s="59">
        <f t="shared" si="46"/>
        <v>280.29723026390741</v>
      </c>
      <c r="EQ63" s="15">
        <f>IF(ISNA(VLOOKUP(A63,'Données projet'!$A$191:$I$211,3,0)),0,VLOOKUP(A63,'Données projet'!$A$191:$I$211,3,0))</f>
        <v>6</v>
      </c>
      <c r="ER63" s="15">
        <f>IF(ISNA(VLOOKUP(A63,'Données projet'!$A$191:$I$211,4,0)),0,VLOOKUP(A63,'Données projet'!$A$191:$I$211,4,0))</f>
        <v>30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1.2035434790745501</v>
      </c>
      <c r="EW63" s="21">
        <f>EXP(-LN(2)/25)*EW62+(1-EXP(-LN(2)/25))/(LN(2)/25)*Calculateur!ER63*Calculateur!ET63*VLOOKUP('Données projet'!$B$15,Paramètres!$A$1:$I$89,3,0)*0.475*44/12</f>
        <v>5.9676679965772497</v>
      </c>
      <c r="EX63" s="21">
        <f>EXP(-LN(2)/2)*EX62+(1-EXP(-LN(2)/2))/(LN(2)/2)*ER63*EU63*VLOOKUP('Données projet'!$B$15,Paramètres!$A$1:$I$89,3,0)*0.475*44/12</f>
        <v>6.0415196953017656E-4</v>
      </c>
      <c r="EY63" s="22">
        <f t="shared" si="21"/>
        <v>7.1718156276213305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229.36680000000001</v>
      </c>
      <c r="P64" s="13">
        <f t="shared" si="33"/>
        <v>56.14574692729505</v>
      </c>
      <c r="Q64" s="20">
        <f t="shared" si="53"/>
        <v>497.26768589837212</v>
      </c>
      <c r="R64" s="59">
        <f t="shared" si="0"/>
        <v>790.60101923170544</v>
      </c>
      <c r="S64" s="59">
        <f ca="1">AVERAGE(OFFSET($R$3,0,0,'Données projet'!$E$9+1,1))-AVERAGE(OFFSET($H$3,0,0,'Données projet'!$E$9+1,1))</f>
        <v>351.15781452544906</v>
      </c>
      <c r="T64" s="59">
        <f t="shared" si="34"/>
        <v>271.54361159160169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1.3035557729763476</v>
      </c>
      <c r="AA64" s="21">
        <f>EXP(-LN(2)/25)*AA63+(1-EXP(-LN(2)/25))/(LN(2)/25)*Calculateur!V64*Calculateur!X64*VLOOKUP('Données projet'!$B$9,Paramètres!$A$1:$I$89,3,0)*0.475*44/12</f>
        <v>4.7768367954346491</v>
      </c>
      <c r="AB64" s="21">
        <f>EXP(-LN(2)/2)*AB63+(1-EXP(-LN(2)/2))/(LN(2)/2)*V64*Y64*VLOOKUP('Données projet'!$B$9,Paramètres!$A$1:$I$89,3,0)*0.475*44/12</f>
        <v>4.6510347260034739E-4</v>
      </c>
      <c r="AC64" s="22">
        <f t="shared" si="3"/>
        <v>6.0808576718835967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10.199999999999999</v>
      </c>
      <c r="AI64" s="13">
        <f>IF('Données projet'!$A$62&gt;35,AI63+AH64-AQ63,IF(A64&lt;'Données projet'!$A$62,$AF$205^A64,IF(A64='Données projet'!$A$62,'Données projet'!$B$62,AI63+AH64-AQ63)))</f>
        <v>252.2</v>
      </c>
      <c r="AJ64" s="13">
        <f>AI64*VLOOKUP('Données projet'!$B$10,Paramètres!$A$1:$I$89,3,0)*VLOOKUP('Données projet'!$B$10,Paramètres!$A$1:$I$89,5,0)</f>
        <v>216.38760000000002</v>
      </c>
      <c r="AK64" s="13">
        <f t="shared" si="35"/>
        <v>53.328993492050351</v>
      </c>
      <c r="AL64" s="20">
        <f t="shared" si="4"/>
        <v>469.75640033198766</v>
      </c>
      <c r="AM64" s="59">
        <f t="shared" si="5"/>
        <v>763.08973366532098</v>
      </c>
      <c r="AN64" s="59">
        <f ca="1">AVERAGE(OFFSET($AM$3,0,0,'Données projet'!$E$10+1,1))-AVERAGE(OFFSET($H$3,0,0,'Données projet'!$E$10+1,1))</f>
        <v>405.59933429804329</v>
      </c>
      <c r="AO64" s="59">
        <f t="shared" si="36"/>
        <v>208.64922573363776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1.8549310375601775</v>
      </c>
      <c r="AW64" s="21">
        <f>EXP(-LN(2)/2)*AW63+(1-EXP(-LN(2)/2))/(LN(2)/2)*AQ64*AT64*VLOOKUP('Données projet'!$B$10,Paramètres!$A$1:$I$89,3,0)*0.475*44/12</f>
        <v>1.5285677806755989E-4</v>
      </c>
      <c r="AX64" s="21">
        <f t="shared" si="6"/>
        <v>1.8550838943382451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200.00000000000017</v>
      </c>
      <c r="BE64" s="13">
        <f>BD64*VLOOKUP('Données projet'!$B$11,Paramètres!$A$1:$I$89,3,0)*VLOOKUP('Données projet'!$B$11,Paramètres!$A$1:$I$89,5,0)</f>
        <v>193.44000000000017</v>
      </c>
      <c r="BF64" s="13">
        <f t="shared" si="37"/>
        <v>48.299691961776787</v>
      </c>
      <c r="BG64" s="20">
        <f t="shared" si="7"/>
        <v>421.02996350009477</v>
      </c>
      <c r="BH64" s="59">
        <f t="shared" si="8"/>
        <v>714.36329683342808</v>
      </c>
      <c r="BI64" s="59">
        <f ca="1">AVERAGE(OFFSET($BH$3,0,0,'Données projet'!$E$11+1,1))-AVERAGE(OFFSET($H$3,0,0,'Données projet'!$E$11+1,1))</f>
        <v>293.19327646293601</v>
      </c>
      <c r="BJ64" s="59">
        <f t="shared" si="38"/>
        <v>200.0769581869605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1.40565683154058</v>
      </c>
      <c r="BR64" s="21">
        <f>EXP(-LN(2)/2)*BR63+(1-EXP(-LN(2)/2))/(LN(2)/2)*BL64*BO64*VLOOKUP('Données projet'!$B$11,Paramètres!$A$1:$I$89,3,0)*0.475*44/12</f>
        <v>1.4277220102102472E-4</v>
      </c>
      <c r="BS64" s="22">
        <f t="shared" si="9"/>
        <v>1.405799603741601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</v>
      </c>
      <c r="BY64" s="12">
        <f>IF('Données projet'!$A$114&gt;35,BY63+BX64-CG63,IF(A64&lt;'Données projet'!$A$114,$BV$205^A64,IF(A64='Données projet'!$A$114,'Données projet'!$B$114,BY63+BX64-CG63)))</f>
        <v>282.09999999999997</v>
      </c>
      <c r="BZ64" s="13">
        <f>BY64*VLOOKUP('Données projet'!$B$12,Paramètres!$A$1:$I$89,3,0)*VLOOKUP('Données projet'!$B$12,Paramètres!$A$1:$I$89,5,0)</f>
        <v>220.03799999999998</v>
      </c>
      <c r="CA64" s="13">
        <f t="shared" si="39"/>
        <v>54.123144749824128</v>
      </c>
      <c r="CB64" s="20">
        <f t="shared" si="10"/>
        <v>477.49732710594367</v>
      </c>
      <c r="CC64" s="59">
        <f t="shared" si="11"/>
        <v>770.83066043927693</v>
      </c>
      <c r="CD64" s="59">
        <f ca="1">AVERAGE(OFFSET($CC$3,0,0,'Données projet'!$E$12+1,1))-AVERAGE(OFFSET($H$3,0,0,'Données projet'!$E$12+1,1))</f>
        <v>295.95249585728561</v>
      </c>
      <c r="CE64" s="59">
        <f t="shared" si="40"/>
        <v>306.85862495052709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0.78261507306153888</v>
      </c>
      <c r="CL64" s="21">
        <f>EXP(-LN(2)/25)*CL63+(1-EXP(-LN(2)/25))/(LN(2)/25)*Calculateur!CG64*Calculateur!CI64*VLOOKUP('Données projet'!$B$12,Paramètres!$A$1:$I$89,3,0)*0.475*44/12</f>
        <v>3.5439350319931973</v>
      </c>
      <c r="CM64" s="21">
        <f>EXP(-LN(2)/2)*CM63+(1-EXP(-LN(2)/2))/(LN(2)/2)*CG64*CJ64*VLOOKUP('Données projet'!$B$12,Paramètres!$A$1:$I$89,3,0)*0.475*44/12</f>
        <v>2.8206542147629117E-4</v>
      </c>
      <c r="CN64" s="22">
        <f t="shared" si="12"/>
        <v>4.3268321704762123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10.199999999999999</v>
      </c>
      <c r="CT64" s="12">
        <f>IF('Données projet'!$A$140&gt;35,CT63+CS64-DB63,IF(A64&lt;'Données projet'!$A$140,$CQ$205^A64,IF(A64='Données projet'!$A$140,'Données projet'!$B$140,CT63+CS64-DB63)))</f>
        <v>252.2</v>
      </c>
      <c r="CU64" s="17">
        <f>CT64*VLOOKUP('Données projet'!$B$13,Paramètres!$A$1:$I$89,3,0)*VLOOKUP('Données projet'!$B$13,Paramètres!$A$1:$I$89,5,0)</f>
        <v>239.99351999999999</v>
      </c>
      <c r="CV64" s="13">
        <f t="shared" si="41"/>
        <v>58.438136276457023</v>
      </c>
      <c r="CW64" s="20">
        <f t="shared" si="13"/>
        <v>519.76846801482941</v>
      </c>
      <c r="CX64" s="59">
        <f t="shared" si="14"/>
        <v>813.10180134816278</v>
      </c>
      <c r="CY64" s="59">
        <f ca="1">AVERAGE(OFFSET($CX$3,0,0,'Données projet'!$E$13+1,1))-AVERAGE(OFFSET($H$3,0,0,'Données projet'!$E$13+1,1))</f>
        <v>461.10546083340631</v>
      </c>
      <c r="CZ64" s="59">
        <f t="shared" si="42"/>
        <v>233.41883071412587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1.6691197638148707</v>
      </c>
      <c r="DH64" s="21">
        <f>EXP(-LN(2)/2)*DH63+(1-EXP(-LN(2)/2))/(LN(2)/2)*DB64*DE64*VLOOKUP('Données projet'!$B$13,Paramètres!$A$1:$I$89,3,0)*0.475*44/12</f>
        <v>1.6953206294765768E-4</v>
      </c>
      <c r="DI64" s="22">
        <f t="shared" si="15"/>
        <v>1.6692892958778183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231.11087999999995</v>
      </c>
      <c r="DQ64" s="13">
        <f t="shared" si="43"/>
        <v>56.522812360621501</v>
      </c>
      <c r="DR64" s="20">
        <f t="shared" si="16"/>
        <v>500.96201419474897</v>
      </c>
      <c r="DS64" s="59">
        <f t="shared" si="17"/>
        <v>794.29534752808229</v>
      </c>
      <c r="DT64" s="59">
        <f ca="1">AVERAGE(OFFSET($DS$3,0,0,'Données projet'!$E$14+1,1))-AVERAGE(OFFSET($H$3,0,0,'Données projet'!$E$14+1,1))</f>
        <v>296.376932094327</v>
      </c>
      <c r="DU64" s="59">
        <f t="shared" si="44"/>
        <v>350.93658329210882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1.4608814697148724</v>
      </c>
      <c r="EB64" s="21">
        <f>EXP(-LN(2)/25)*EB63+(1-EXP(-LN(2)/25))/(LN(2)/25)*Calculateur!DW64*Calculateur!DY64*VLOOKUP('Données projet'!$B$14,Paramètres!$A$1:$I$89,3,0)*0.475*44/12</f>
        <v>7.1865012779050197</v>
      </c>
      <c r="EC64" s="21">
        <f>EXP(-LN(2)/2)*EC63+(1-EXP(-LN(2)/2))/(LN(2)/2)*DW64*DZ64*VLOOKUP('Données projet'!$B$14,Paramètres!$A$1:$I$89,3,0)*0.475*44/12</f>
        <v>5.2891422940818614E-4</v>
      </c>
      <c r="ED64" s="22">
        <f t="shared" si="18"/>
        <v>8.6479116618492995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4.9000000000000004</v>
      </c>
      <c r="EJ64" s="12">
        <f>IF('Données projet'!$A$192&gt;35,EJ63+EI64-ER63,IF(A64&lt;'Données projet'!$A$192,$EG$205^A64,IF(A64='Données projet'!$A$192,'Données projet'!$B$192,EJ63+EI64-ER63)))</f>
        <v>284.89999999999992</v>
      </c>
      <c r="EK64" s="17">
        <f>EJ64*VLOOKUP('Données projet'!$B$15,Paramètres!$A$1:$I$89,3,0)*VLOOKUP('Données projet'!$B$15,Paramètres!$A$1:$I$89,5,0)</f>
        <v>186.66647999999995</v>
      </c>
      <c r="EL64" s="13">
        <f t="shared" si="45"/>
        <v>46.802201397971963</v>
      </c>
      <c r="EM64" s="20">
        <f t="shared" si="19"/>
        <v>406.62462010146777</v>
      </c>
      <c r="EN64" s="59">
        <f t="shared" si="20"/>
        <v>699.95795343480108</v>
      </c>
      <c r="EO64" s="59">
        <f ca="1">AVERAGE(OFFSET($EN$3,0,0,'Données projet'!$E$15+1,1))-AVERAGE(OFFSET($H$3,0,0,'Données projet'!$E$15+1,1))</f>
        <v>231.03244099494077</v>
      </c>
      <c r="EP64" s="59">
        <f t="shared" si="46"/>
        <v>280.29723026390741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1.1799427255389352</v>
      </c>
      <c r="EW64" s="21">
        <f>EXP(-LN(2)/25)*EW63+(1-EXP(-LN(2)/25))/(LN(2)/25)*Calculateur!ER64*Calculateur!ET64*VLOOKUP('Données projet'!$B$15,Paramètres!$A$1:$I$89,3,0)*0.475*44/12</f>
        <v>5.8044818013848243</v>
      </c>
      <c r="EX64" s="21">
        <f>EXP(-LN(2)/2)*EX63+(1-EXP(-LN(2)/2))/(LN(2)/2)*ER64*EU64*VLOOKUP('Données projet'!$B$15,Paramètres!$A$1:$I$89,3,0)*0.475*44/12</f>
        <v>4.2719995452199629E-4</v>
      </c>
      <c r="EY64" s="22">
        <f t="shared" si="21"/>
        <v>6.984851726878281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237.05759999999998</v>
      </c>
      <c r="P65" s="13">
        <f t="shared" si="33"/>
        <v>57.806004997354641</v>
      </c>
      <c r="Q65" s="20">
        <f t="shared" si="53"/>
        <v>513.55411203705933</v>
      </c>
      <c r="R65" s="59">
        <f t="shared" si="0"/>
        <v>806.8874453703927</v>
      </c>
      <c r="S65" s="59">
        <f ca="1">AVERAGE(OFFSET($R$3,0,0,'Données projet'!$E$9+1,1))-AVERAGE(OFFSET($H$3,0,0,'Données projet'!$E$9+1,1))</f>
        <v>351.15781452544906</v>
      </c>
      <c r="T65" s="59">
        <f t="shared" si="34"/>
        <v>271.54361159160169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1.2779938393587942</v>
      </c>
      <c r="AA65" s="21">
        <f>EXP(-LN(2)/25)*AA64+(1-EXP(-LN(2)/25))/(LN(2)/25)*Calculateur!V65*Calculateur!X65*VLOOKUP('Données projet'!$B$9,Paramètres!$A$1:$I$89,3,0)*0.475*44/12</f>
        <v>4.6462139420605588</v>
      </c>
      <c r="AB65" s="21">
        <f>EXP(-LN(2)/2)*AB64+(1-EXP(-LN(2)/2))/(LN(2)/2)*V65*Y65*VLOOKUP('Données projet'!$B$9,Paramètres!$A$1:$I$89,3,0)*0.475*44/12</f>
        <v>3.2887781942911727E-4</v>
      </c>
      <c r="AC65" s="22">
        <f t="shared" si="3"/>
        <v>5.9245366592387825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10.199999999999999</v>
      </c>
      <c r="AI65" s="13">
        <f>IF('Données projet'!$A$62&gt;35,AI64+AH65-AQ64,IF(A65&lt;'Données projet'!$A$62,$AF$205^A65,IF(A65='Données projet'!$A$62,'Données projet'!$B$62,AI64+AH65-AQ64)))</f>
        <v>262.39999999999998</v>
      </c>
      <c r="AJ65" s="13">
        <f>AI65*VLOOKUP('Données projet'!$B$10,Paramètres!$A$1:$I$89,3,0)*VLOOKUP('Données projet'!$B$10,Paramètres!$A$1:$I$89,5,0)</f>
        <v>225.13919999999999</v>
      </c>
      <c r="AK65" s="13">
        <f t="shared" si="35"/>
        <v>55.230359897131031</v>
      </c>
      <c r="AL65" s="20">
        <f t="shared" si="4"/>
        <v>488.31031682083653</v>
      </c>
      <c r="AM65" s="59">
        <f t="shared" si="5"/>
        <v>781.64365015416979</v>
      </c>
      <c r="AN65" s="59">
        <f ca="1">AVERAGE(OFFSET($AM$3,0,0,'Données projet'!$E$10+1,1))-AVERAGE(OFFSET($H$3,0,0,'Données projet'!$E$10+1,1))</f>
        <v>405.59933429804329</v>
      </c>
      <c r="AO65" s="59">
        <f t="shared" si="36"/>
        <v>208.64922573363776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1.8042078507915107</v>
      </c>
      <c r="AW65" s="21">
        <f>EXP(-LN(2)/2)*AW64+(1-EXP(-LN(2)/2))/(LN(2)/2)*AQ65*AT65*VLOOKUP('Données projet'!$B$10,Paramètres!$A$1:$I$89,3,0)*0.475*44/12</f>
        <v>1.0808606432189873E-4</v>
      </c>
      <c r="AX65" s="21">
        <f t="shared" si="6"/>
        <v>1.8043159368558326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207.00000000000017</v>
      </c>
      <c r="BE65" s="13">
        <f>BD65*VLOOKUP('Données projet'!$B$11,Paramètres!$A$1:$I$89,3,0)*VLOOKUP('Données projet'!$B$11,Paramètres!$A$1:$I$89,5,0)</f>
        <v>200.21040000000019</v>
      </c>
      <c r="BF65" s="13">
        <f t="shared" si="37"/>
        <v>49.790404447235098</v>
      </c>
      <c r="BG65" s="20">
        <f t="shared" si="7"/>
        <v>435.41806774560138</v>
      </c>
      <c r="BH65" s="59">
        <f t="shared" si="8"/>
        <v>728.75140107893469</v>
      </c>
      <c r="BI65" s="59">
        <f ca="1">AVERAGE(OFFSET($BH$3,0,0,'Données projet'!$E$11+1,1))-AVERAGE(OFFSET($H$3,0,0,'Données projet'!$E$11+1,1))</f>
        <v>293.19327646293601</v>
      </c>
      <c r="BJ65" s="59">
        <f t="shared" si="38"/>
        <v>200.0769581869605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1.3672190715618227</v>
      </c>
      <c r="BR65" s="21">
        <f>EXP(-LN(2)/2)*BR64+(1-EXP(-LN(2)/2))/(LN(2)/2)*BL65*BO65*VLOOKUP('Données projet'!$B$11,Paramètres!$A$1:$I$89,3,0)*0.475*44/12</f>
        <v>1.009551915068955E-4</v>
      </c>
      <c r="BS65" s="22">
        <f t="shared" si="9"/>
        <v>1.3673200267533296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</v>
      </c>
      <c r="BY65" s="12">
        <f>IF('Données projet'!$A$114&gt;35,BY64+BX65-CG64,IF(A65&lt;'Données projet'!$A$114,$BV$205^A65,IF(A65='Données projet'!$A$114,'Données projet'!$B$114,BY64+BX65-CG64)))</f>
        <v>291.2</v>
      </c>
      <c r="BZ65" s="13">
        <f>BY65*VLOOKUP('Données projet'!$B$12,Paramètres!$A$1:$I$89,3,0)*VLOOKUP('Données projet'!$B$12,Paramètres!$A$1:$I$89,5,0)</f>
        <v>227.136</v>
      </c>
      <c r="CA65" s="13">
        <f t="shared" si="39"/>
        <v>55.662966886685133</v>
      </c>
      <c r="CB65" s="20">
        <f t="shared" si="10"/>
        <v>492.54153399430999</v>
      </c>
      <c r="CC65" s="59">
        <f t="shared" si="11"/>
        <v>785.8748673276433</v>
      </c>
      <c r="CD65" s="59">
        <f ca="1">AVERAGE(OFFSET($CC$3,0,0,'Données projet'!$E$12+1,1))-AVERAGE(OFFSET($H$3,0,0,'Données projet'!$E$12+1,1))</f>
        <v>295.95249585728561</v>
      </c>
      <c r="CE65" s="59">
        <f t="shared" si="40"/>
        <v>306.85862495052709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0.7672684688268625</v>
      </c>
      <c r="CL65" s="21">
        <f>EXP(-LN(2)/25)*CL64+(1-EXP(-LN(2)/25))/(LN(2)/25)*Calculateur!CG65*Calculateur!CI65*VLOOKUP('Données projet'!$B$12,Paramètres!$A$1:$I$89,3,0)*0.475*44/12</f>
        <v>3.4470259421758995</v>
      </c>
      <c r="CM65" s="21">
        <f>EXP(-LN(2)/2)*CM64+(1-EXP(-LN(2)/2))/(LN(2)/2)*CG65*CJ65*VLOOKUP('Données projet'!$B$12,Paramètres!$A$1:$I$89,3,0)*0.475*44/12</f>
        <v>1.9945037226412713E-4</v>
      </c>
      <c r="CN65" s="22">
        <f t="shared" si="12"/>
        <v>4.2144938613750265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10.199999999999999</v>
      </c>
      <c r="CT65" s="12">
        <f>IF('Données projet'!$A$140&gt;35,CT64+CS65-DB64,IF(A65&lt;'Données projet'!$A$140,$CQ$205^A65,IF(A65='Données projet'!$A$140,'Données projet'!$B$140,CT64+CS65-DB64)))</f>
        <v>262.39999999999998</v>
      </c>
      <c r="CU65" s="17">
        <f>CT65*VLOOKUP('Données projet'!$B$13,Paramètres!$A$1:$I$89,3,0)*VLOOKUP('Données projet'!$B$13,Paramètres!$A$1:$I$89,5,0)</f>
        <v>249.69983999999999</v>
      </c>
      <c r="CV65" s="13">
        <f t="shared" si="41"/>
        <v>60.521661612597903</v>
      </c>
      <c r="CW65" s="20">
        <f t="shared" si="13"/>
        <v>540.30244864194128</v>
      </c>
      <c r="CX65" s="59">
        <f t="shared" si="14"/>
        <v>833.63578197527454</v>
      </c>
      <c r="CY65" s="59">
        <f ca="1">AVERAGE(OFFSET($CX$3,0,0,'Données projet'!$E$13+1,1))-AVERAGE(OFFSET($H$3,0,0,'Données projet'!$E$13+1,1))</f>
        <v>461.10546083340631</v>
      </c>
      <c r="CZ65" s="59">
        <f t="shared" si="42"/>
        <v>233.41883071412587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1.6234775960981596</v>
      </c>
      <c r="DH65" s="21">
        <f>EXP(-LN(2)/2)*DH64+(1-EXP(-LN(2)/2))/(LN(2)/2)*DB65*DE65*VLOOKUP('Données projet'!$B$13,Paramètres!$A$1:$I$89,3,0)*0.475*44/12</f>
        <v>1.1987727133883339E-4</v>
      </c>
      <c r="DI65" s="22">
        <f t="shared" si="15"/>
        <v>1.6235974733694984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235.08575999999991</v>
      </c>
      <c r="DQ65" s="13">
        <f t="shared" si="43"/>
        <v>57.380938085783008</v>
      </c>
      <c r="DR65" s="20">
        <f t="shared" si="16"/>
        <v>509.37949916607187</v>
      </c>
      <c r="DS65" s="59">
        <f t="shared" si="17"/>
        <v>802.71283249940518</v>
      </c>
      <c r="DT65" s="59">
        <f ca="1">AVERAGE(OFFSET($DS$3,0,0,'Données projet'!$E$14+1,1))-AVERAGE(OFFSET($H$3,0,0,'Données projet'!$E$14+1,1))</f>
        <v>296.376932094327</v>
      </c>
      <c r="DU65" s="59">
        <f t="shared" si="44"/>
        <v>350.93658329210882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1.4322344751434763</v>
      </c>
      <c r="EB65" s="21">
        <f>EXP(-LN(2)/25)*EB64+(1-EXP(-LN(2)/25))/(LN(2)/25)*Calculateur!DW65*Calculateur!DY65*VLOOKUP('Données projet'!$B$14,Paramètres!$A$1:$I$89,3,0)*0.475*44/12</f>
        <v>6.9899860225390293</v>
      </c>
      <c r="EC65" s="21">
        <f>EXP(-LN(2)/2)*EC64+(1-EXP(-LN(2)/2))/(LN(2)/2)*DW65*DZ65*VLOOKUP('Données projet'!$B$14,Paramètres!$A$1:$I$89,3,0)*0.475*44/12</f>
        <v>3.7399883828058569E-4</v>
      </c>
      <c r="ED65" s="22">
        <f t="shared" si="18"/>
        <v>8.4225944965207873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4.9000000000000004</v>
      </c>
      <c r="EJ65" s="12">
        <f>IF('Données projet'!$A$192&gt;35,EJ64+EI65-ER64,IF(A65&lt;'Données projet'!$A$192,$EG$205^A65,IF(A65='Données projet'!$A$192,'Données projet'!$B$192,EJ64+EI65-ER64)))</f>
        <v>289.7999999999999</v>
      </c>
      <c r="EK65" s="17">
        <f>EJ65*VLOOKUP('Données projet'!$B$15,Paramètres!$A$1:$I$89,3,0)*VLOOKUP('Données projet'!$B$15,Paramètres!$A$1:$I$89,5,0)</f>
        <v>189.87695999999994</v>
      </c>
      <c r="EL65" s="13">
        <f t="shared" si="45"/>
        <v>47.5127494286954</v>
      </c>
      <c r="EM65" s="20">
        <f t="shared" si="19"/>
        <v>413.45374392164439</v>
      </c>
      <c r="EN65" s="59">
        <f t="shared" si="20"/>
        <v>706.7870772549777</v>
      </c>
      <c r="EO65" s="59">
        <f ca="1">AVERAGE(OFFSET($EN$3,0,0,'Données projet'!$E$15+1,1))-AVERAGE(OFFSET($H$3,0,0,'Données projet'!$E$15+1,1))</f>
        <v>231.03244099494077</v>
      </c>
      <c r="EP65" s="59">
        <f t="shared" si="46"/>
        <v>280.29723026390741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1.1568047683851155</v>
      </c>
      <c r="EW65" s="21">
        <f>EXP(-LN(2)/25)*EW64+(1-EXP(-LN(2)/25))/(LN(2)/25)*Calculateur!ER65*Calculateur!ET65*VLOOKUP('Données projet'!$B$15,Paramètres!$A$1:$I$89,3,0)*0.475*44/12</f>
        <v>5.6457579412815244</v>
      </c>
      <c r="EX65" s="21">
        <f>EXP(-LN(2)/2)*EX64+(1-EXP(-LN(2)/2))/(LN(2)/2)*ER65*EU65*VLOOKUP('Données projet'!$B$15,Paramètres!$A$1:$I$89,3,0)*0.475*44/12</f>
        <v>3.0207598476508828E-4</v>
      </c>
      <c r="EY65" s="22">
        <f t="shared" si="21"/>
        <v>6.8028647856514048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244.74839999999998</v>
      </c>
      <c r="P66" s="13">
        <f t="shared" si="33"/>
        <v>59.460004038665112</v>
      </c>
      <c r="Q66" s="20">
        <f t="shared" si="53"/>
        <v>529.82963703400833</v>
      </c>
      <c r="R66" s="59">
        <f t="shared" si="0"/>
        <v>823.16297036734159</v>
      </c>
      <c r="S66" s="59">
        <f ca="1">AVERAGE(OFFSET($R$3,0,0,'Données projet'!$E$9+1,1))-AVERAGE(OFFSET($H$3,0,0,'Données projet'!$E$9+1,1))</f>
        <v>351.15781452544906</v>
      </c>
      <c r="T66" s="59">
        <f t="shared" si="34"/>
        <v>271.54361159160169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1.2529331596682411</v>
      </c>
      <c r="AA66" s="21">
        <f>EXP(-LN(2)/25)*AA65+(1-EXP(-LN(2)/25))/(LN(2)/25)*Calculateur!V66*Calculateur!X66*VLOOKUP('Données projet'!$B$9,Paramètres!$A$1:$I$89,3,0)*0.475*44/12</f>
        <v>4.519162977481141</v>
      </c>
      <c r="AB66" s="21">
        <f>EXP(-LN(2)/2)*AB65+(1-EXP(-LN(2)/2))/(LN(2)/2)*V66*Y66*VLOOKUP('Données projet'!$B$9,Paramètres!$A$1:$I$89,3,0)*0.475*44/12</f>
        <v>2.3255173630017372E-4</v>
      </c>
      <c r="AC66" s="22">
        <f t="shared" si="3"/>
        <v>5.7723286888856817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10.199999999999999</v>
      </c>
      <c r="AI66" s="13">
        <f>IF('Données projet'!$A$62&gt;35,AI65+AH66-AQ65,IF(A66&lt;'Données projet'!$A$62,$AF$205^A66,IF(A66='Données projet'!$A$62,'Données projet'!$B$62,AI65+AH66-AQ65)))</f>
        <v>272.59999999999997</v>
      </c>
      <c r="AJ66" s="13">
        <f>AI66*VLOOKUP('Données projet'!$B$10,Paramètres!$A$1:$I$89,3,0)*VLOOKUP('Données projet'!$B$10,Paramètres!$A$1:$I$89,5,0)</f>
        <v>233.89080000000001</v>
      </c>
      <c r="AK66" s="13">
        <f t="shared" si="35"/>
        <v>57.123140349023068</v>
      </c>
      <c r="AL66" s="20">
        <f t="shared" si="4"/>
        <v>506.84927944121517</v>
      </c>
      <c r="AM66" s="59">
        <f t="shared" si="5"/>
        <v>800.18261277454849</v>
      </c>
      <c r="AN66" s="59">
        <f ca="1">AVERAGE(OFFSET($AM$3,0,0,'Données projet'!$E$10+1,1))-AVERAGE(OFFSET($H$3,0,0,'Données projet'!$E$10+1,1))</f>
        <v>405.59933429804329</v>
      </c>
      <c r="AO66" s="59">
        <f t="shared" si="36"/>
        <v>208.64922573363776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1.7548716922324494</v>
      </c>
      <c r="AW66" s="21">
        <f>EXP(-LN(2)/2)*AW65+(1-EXP(-LN(2)/2))/(LN(2)/2)*AQ66*AT66*VLOOKUP('Données projet'!$B$10,Paramètres!$A$1:$I$89,3,0)*0.475*44/12</f>
        <v>7.6428389033779943E-5</v>
      </c>
      <c r="AX66" s="21">
        <f t="shared" si="6"/>
        <v>1.7549481206214832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214.00000000000017</v>
      </c>
      <c r="BE66" s="13">
        <f>BD66*VLOOKUP('Données projet'!$B$11,Paramètres!$A$1:$I$89,3,0)*VLOOKUP('Données projet'!$B$11,Paramètres!$A$1:$I$89,5,0)</f>
        <v>206.98080000000016</v>
      </c>
      <c r="BF66" s="13">
        <f t="shared" si="37"/>
        <v>51.275259496675787</v>
      </c>
      <c r="BG66" s="20">
        <f t="shared" si="7"/>
        <v>449.7959702900439</v>
      </c>
      <c r="BH66" s="59">
        <f t="shared" si="8"/>
        <v>743.12930362337715</v>
      </c>
      <c r="BI66" s="59">
        <f ca="1">AVERAGE(OFFSET($BH$3,0,0,'Données projet'!$E$11+1,1))-AVERAGE(OFFSET($H$3,0,0,'Données projet'!$E$11+1,1))</f>
        <v>293.19327646293601</v>
      </c>
      <c r="BJ66" s="59">
        <f t="shared" si="38"/>
        <v>200.0769581869605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1.3298323941510384</v>
      </c>
      <c r="BR66" s="21">
        <f>EXP(-LN(2)/2)*BR65+(1-EXP(-LN(2)/2))/(LN(2)/2)*BL66*BO66*VLOOKUP('Données projet'!$B$11,Paramètres!$A$1:$I$89,3,0)*0.475*44/12</f>
        <v>7.1386100510512359E-5</v>
      </c>
      <c r="BS66" s="22">
        <f t="shared" si="9"/>
        <v>1.329903780251549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</v>
      </c>
      <c r="BY66" s="12">
        <f>IF('Données projet'!$A$114&gt;35,BY65+BX66-CG65,IF(A66&lt;'Données projet'!$A$114,$BV$205^A66,IF(A66='Données projet'!$A$114,'Données projet'!$B$114,BY65+BX66-CG65)))</f>
        <v>300.3</v>
      </c>
      <c r="BZ66" s="13">
        <f>BY66*VLOOKUP('Données projet'!$B$12,Paramètres!$A$1:$I$89,3,0)*VLOOKUP('Données projet'!$B$12,Paramètres!$A$1:$I$89,5,0)</f>
        <v>234.23400000000001</v>
      </c>
      <c r="CA66" s="13">
        <f t="shared" si="39"/>
        <v>57.197197133603488</v>
      </c>
      <c r="CB66" s="20">
        <f t="shared" si="10"/>
        <v>507.57600167435936</v>
      </c>
      <c r="CC66" s="59">
        <f t="shared" si="11"/>
        <v>800.90933500769268</v>
      </c>
      <c r="CD66" s="59">
        <f ca="1">AVERAGE(OFFSET($CC$3,0,0,'Données projet'!$E$12+1,1))-AVERAGE(OFFSET($H$3,0,0,'Données projet'!$E$12+1,1))</f>
        <v>295.95249585728561</v>
      </c>
      <c r="CE66" s="59">
        <f t="shared" si="40"/>
        <v>306.85862495052709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0.75222280214072379</v>
      </c>
      <c r="CL66" s="21">
        <f>EXP(-LN(2)/25)*CL65+(1-EXP(-LN(2)/25))/(LN(2)/25)*Calculateur!CG66*Calculateur!CI66*VLOOKUP('Données projet'!$B$12,Paramètres!$A$1:$I$89,3,0)*0.475*44/12</f>
        <v>3.3527668365158836</v>
      </c>
      <c r="CM66" s="21">
        <f>EXP(-LN(2)/2)*CM65+(1-EXP(-LN(2)/2))/(LN(2)/2)*CG66*CJ66*VLOOKUP('Données projet'!$B$12,Paramètres!$A$1:$I$89,3,0)*0.475*44/12</f>
        <v>1.4103271073814558E-4</v>
      </c>
      <c r="CN66" s="22">
        <f t="shared" si="12"/>
        <v>4.1051306713673457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10.199999999999999</v>
      </c>
      <c r="CT66" s="12">
        <f>IF('Données projet'!$A$140&gt;35,CT65+CS66-DB65,IF(A66&lt;'Données projet'!$A$140,$CQ$205^A66,IF(A66='Données projet'!$A$140,'Données projet'!$B$140,CT65+CS66-DB65)))</f>
        <v>272.59999999999997</v>
      </c>
      <c r="CU66" s="17">
        <f>CT66*VLOOKUP('Données projet'!$B$13,Paramètres!$A$1:$I$89,3,0)*VLOOKUP('Données projet'!$B$13,Paramètres!$A$1:$I$89,5,0)</f>
        <v>259.40615999999994</v>
      </c>
      <c r="CV66" s="13">
        <f t="shared" si="41"/>
        <v>62.595778424976366</v>
      </c>
      <c r="CW66" s="20">
        <f t="shared" si="13"/>
        <v>560.82004275683369</v>
      </c>
      <c r="CX66" s="59">
        <f t="shared" si="14"/>
        <v>854.15337609016706</v>
      </c>
      <c r="CY66" s="59">
        <f ca="1">AVERAGE(OFFSET($CX$3,0,0,'Données projet'!$E$13+1,1))-AVERAGE(OFFSET($H$3,0,0,'Données projet'!$E$13+1,1))</f>
        <v>461.10546083340631</v>
      </c>
      <c r="CZ66" s="59">
        <f t="shared" si="42"/>
        <v>233.41883071412587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1.5790835158578791</v>
      </c>
      <c r="DH66" s="21">
        <f>EXP(-LN(2)/2)*DH65+(1-EXP(-LN(2)/2))/(LN(2)/2)*DB66*DE66*VLOOKUP('Données projet'!$B$13,Paramètres!$A$1:$I$89,3,0)*0.475*44/12</f>
        <v>8.4766031473828854E-5</v>
      </c>
      <c r="DI66" s="22">
        <f t="shared" si="15"/>
        <v>1.5791682818893529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239.06063999999992</v>
      </c>
      <c r="DQ66" s="13">
        <f t="shared" si="43"/>
        <v>58.237376495903035</v>
      </c>
      <c r="DR66" s="20">
        <f t="shared" si="16"/>
        <v>517.79404539703103</v>
      </c>
      <c r="DS66" s="59">
        <f t="shared" si="17"/>
        <v>811.1273787303644</v>
      </c>
      <c r="DT66" s="59">
        <f ca="1">AVERAGE(OFFSET($DS$3,0,0,'Données projet'!$E$14+1,1))-AVERAGE(OFFSET($H$3,0,0,'Données projet'!$E$14+1,1))</f>
        <v>296.376932094327</v>
      </c>
      <c r="DU66" s="59">
        <f t="shared" si="44"/>
        <v>350.93658329210882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1.4041492306626842</v>
      </c>
      <c r="EB66" s="21">
        <f>EXP(-LN(2)/25)*EB65+(1-EXP(-LN(2)/25))/(LN(2)/25)*Calculateur!DW66*Calculateur!DY66*VLOOKUP('Données projet'!$B$14,Paramètres!$A$1:$I$89,3,0)*0.475*44/12</f>
        <v>6.7988444871653106</v>
      </c>
      <c r="EC66" s="21">
        <f>EXP(-LN(2)/2)*EC65+(1-EXP(-LN(2)/2))/(LN(2)/2)*DW66*DZ66*VLOOKUP('Données projet'!$B$14,Paramètres!$A$1:$I$89,3,0)*0.475*44/12</f>
        <v>2.6445711470409307E-4</v>
      </c>
      <c r="ED66" s="22">
        <f t="shared" si="18"/>
        <v>8.2032581749427003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4.9000000000000004</v>
      </c>
      <c r="EJ66" s="12">
        <f>IF('Données projet'!$A$192&gt;35,EJ65+EI66-ER65,IF(A66&lt;'Données projet'!$A$192,$EG$205^A66,IF(A66='Données projet'!$A$192,'Données projet'!$B$192,EJ65+EI66-ER65)))</f>
        <v>294.69999999999987</v>
      </c>
      <c r="EK66" s="17">
        <f>EJ66*VLOOKUP('Données projet'!$B$15,Paramètres!$A$1:$I$89,3,0)*VLOOKUP('Données projet'!$B$15,Paramètres!$A$1:$I$89,5,0)</f>
        <v>193.08743999999993</v>
      </c>
      <c r="EL66" s="13">
        <f t="shared" si="45"/>
        <v>48.221900323375927</v>
      </c>
      <c r="EM66" s="20">
        <f t="shared" si="19"/>
        <v>420.2804343965463</v>
      </c>
      <c r="EN66" s="59">
        <f t="shared" si="20"/>
        <v>713.61376772987956</v>
      </c>
      <c r="EO66" s="59">
        <f ca="1">AVERAGE(OFFSET($EN$3,0,0,'Données projet'!$E$15+1,1))-AVERAGE(OFFSET($H$3,0,0,'Données projet'!$E$15+1,1))</f>
        <v>231.03244099494077</v>
      </c>
      <c r="EP66" s="59">
        <f t="shared" si="46"/>
        <v>280.29723026390741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1.1341205324583217</v>
      </c>
      <c r="EW66" s="21">
        <f>EXP(-LN(2)/25)*EW65+(1-EXP(-LN(2)/25))/(LN(2)/25)*Calculateur!ER66*Calculateur!ET66*VLOOKUP('Données projet'!$B$15,Paramètres!$A$1:$I$89,3,0)*0.475*44/12</f>
        <v>5.4913743934796742</v>
      </c>
      <c r="EX66" s="21">
        <f>EXP(-LN(2)/2)*EX65+(1-EXP(-LN(2)/2))/(LN(2)/2)*ER66*EU66*VLOOKUP('Données projet'!$B$15,Paramètres!$A$1:$I$89,3,0)*0.475*44/12</f>
        <v>2.1359997726099814E-4</v>
      </c>
      <c r="EY66" s="22">
        <f t="shared" si="21"/>
        <v>6.6257085259152575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252.4392</v>
      </c>
      <c r="P67" s="13">
        <f t="shared" si="33"/>
        <v>61.107963296116218</v>
      </c>
      <c r="Q67" s="20">
        <f t="shared" ref="Q67:Q98" si="54">(O67+P67)*0.475*44/12</f>
        <v>546.09464274073571</v>
      </c>
      <c r="R67" s="59">
        <f t="shared" ref="R67:R130" si="55">Q67+(I67+J67)*44/12</f>
        <v>839.42797607406897</v>
      </c>
      <c r="S67" s="59">
        <f ca="1">AVERAGE(OFFSET($R$3,0,0,'Données projet'!$E$9+1,1))-AVERAGE(OFFSET($H$3,0,0,'Données projet'!$E$9+1,1))</f>
        <v>351.15781452544906</v>
      </c>
      <c r="T67" s="59">
        <f t="shared" si="34"/>
        <v>271.54361159160169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1.2283639046209145</v>
      </c>
      <c r="AA67" s="21">
        <f>EXP(-LN(2)/25)*AA66+(1-EXP(-LN(2)/25))/(LN(2)/25)*Calculateur!V67*Calculateur!X67*VLOOKUP('Données projet'!$B$9,Paramètres!$A$1:$I$89,3,0)*0.475*44/12</f>
        <v>4.3955862282094671</v>
      </c>
      <c r="AB67" s="21">
        <f>EXP(-LN(2)/2)*AB66+(1-EXP(-LN(2)/2))/(LN(2)/2)*V67*Y67*VLOOKUP('Données projet'!$B$9,Paramètres!$A$1:$I$89,3,0)*0.475*44/12</f>
        <v>1.6443890971455866E-4</v>
      </c>
      <c r="AC67" s="22">
        <f t="shared" si="3"/>
        <v>5.6241145717400967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10.199999999999999</v>
      </c>
      <c r="AI67" s="13">
        <f>IF('Données projet'!$A$62&gt;35,AI66+AH67-AQ66,IF(A67&lt;'Données projet'!$A$62,$AF$205^A67,IF(A67='Données projet'!$A$62,'Données projet'!$B$62,AI66+AH67-AQ66)))</f>
        <v>282.79999999999995</v>
      </c>
      <c r="AJ67" s="13">
        <f>AI67*VLOOKUP('Données projet'!$B$10,Paramètres!$A$1:$I$89,3,0)*VLOOKUP('Données projet'!$B$10,Paramètres!$A$1:$I$89,5,0)</f>
        <v>242.64240000000001</v>
      </c>
      <c r="AK67" s="13">
        <f t="shared" si="35"/>
        <v>59.007692897618249</v>
      </c>
      <c r="AL67" s="20">
        <f t="shared" si="4"/>
        <v>525.37391179668509</v>
      </c>
      <c r="AM67" s="59">
        <f t="shared" si="5"/>
        <v>818.70724513001846</v>
      </c>
      <c r="AN67" s="59">
        <f ca="1">AVERAGE(OFFSET($AM$3,0,0,'Données projet'!$E$10+1,1))-AVERAGE(OFFSET($H$3,0,0,'Données projet'!$E$10+1,1))</f>
        <v>405.59933429804329</v>
      </c>
      <c r="AO67" s="59">
        <f t="shared" si="36"/>
        <v>208.64922573363776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1.7068846335236616</v>
      </c>
      <c r="AW67" s="21">
        <f>EXP(-LN(2)/2)*AW66+(1-EXP(-LN(2)/2))/(LN(2)/2)*AQ67*AT67*VLOOKUP('Données projet'!$B$10,Paramètres!$A$1:$I$89,3,0)*0.475*44/12</f>
        <v>5.4043032160949364E-5</v>
      </c>
      <c r="AX67" s="21">
        <f t="shared" si="6"/>
        <v>1.7069386765558225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221.00000000000017</v>
      </c>
      <c r="BE67" s="13">
        <f>BD67*VLOOKUP('Données projet'!$B$11,Paramètres!$A$1:$I$89,3,0)*VLOOKUP('Données projet'!$B$11,Paramètres!$A$1:$I$89,5,0)</f>
        <v>213.75120000000015</v>
      </c>
      <c r="BF67" s="13">
        <f t="shared" si="37"/>
        <v>52.75447068116425</v>
      </c>
      <c r="BG67" s="20">
        <f t="shared" si="7"/>
        <v>464.16404310302801</v>
      </c>
      <c r="BH67" s="59">
        <f t="shared" si="8"/>
        <v>757.49737643636126</v>
      </c>
      <c r="BI67" s="59">
        <f ca="1">AVERAGE(OFFSET($BH$3,0,0,'Données projet'!$E$11+1,1))-AVERAGE(OFFSET($H$3,0,0,'Données projet'!$E$11+1,1))</f>
        <v>293.19327646293601</v>
      </c>
      <c r="BJ67" s="59">
        <f t="shared" si="38"/>
        <v>200.0769581869605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1.293468057400132</v>
      </c>
      <c r="BR67" s="21">
        <f>EXP(-LN(2)/2)*BR66+(1-EXP(-LN(2)/2))/(LN(2)/2)*BL67*BO67*VLOOKUP('Données projet'!$B$11,Paramètres!$A$1:$I$89,3,0)*0.475*44/12</f>
        <v>5.0477595753447752E-5</v>
      </c>
      <c r="BS67" s="22">
        <f t="shared" si="9"/>
        <v>1.2935185349958855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</v>
      </c>
      <c r="BY67" s="12">
        <f>IF('Données projet'!$A$114&gt;35,BY66+BX67-CG66,IF(A67&lt;'Données projet'!$A$114,$BV$205^A67,IF(A67='Données projet'!$A$114,'Données projet'!$B$114,BY66+BX67-CG66)))</f>
        <v>309.40000000000003</v>
      </c>
      <c r="BZ67" s="13">
        <f>BY67*VLOOKUP('Données projet'!$B$12,Paramètres!$A$1:$I$89,3,0)*VLOOKUP('Données projet'!$B$12,Paramètres!$A$1:$I$89,5,0)</f>
        <v>241.33200000000002</v>
      </c>
      <c r="CA67" s="13">
        <f t="shared" si="39"/>
        <v>58.72602439130111</v>
      </c>
      <c r="CB67" s="20">
        <f t="shared" si="10"/>
        <v>522.6010591481828</v>
      </c>
      <c r="CC67" s="59">
        <f t="shared" si="11"/>
        <v>815.93439248151617</v>
      </c>
      <c r="CD67" s="59">
        <f ca="1">AVERAGE(OFFSET($CC$3,0,0,'Données projet'!$E$12+1,1))-AVERAGE(OFFSET($H$3,0,0,'Données projet'!$E$12+1,1))</f>
        <v>295.95249585728561</v>
      </c>
      <c r="CE67" s="59">
        <f t="shared" si="40"/>
        <v>306.85862495052709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0.73747217180134972</v>
      </c>
      <c r="CL67" s="21">
        <f>EXP(-LN(2)/25)*CL66+(1-EXP(-LN(2)/25))/(LN(2)/25)*Calculateur!CG67*Calculateur!CI67*VLOOKUP('Données projet'!$B$12,Paramètres!$A$1:$I$89,3,0)*0.475*44/12</f>
        <v>3.2610852510570116</v>
      </c>
      <c r="CM67" s="21">
        <f>EXP(-LN(2)/2)*CM66+(1-EXP(-LN(2)/2))/(LN(2)/2)*CG67*CJ67*VLOOKUP('Données projet'!$B$12,Paramètres!$A$1:$I$89,3,0)*0.475*44/12</f>
        <v>9.9725186132063563E-5</v>
      </c>
      <c r="CN67" s="22">
        <f t="shared" si="12"/>
        <v>3.9986571480444937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10.199999999999999</v>
      </c>
      <c r="CT67" s="12">
        <f>IF('Données projet'!$A$140&gt;35,CT66+CS67-DB66,IF(A67&lt;'Données projet'!$A$140,$CQ$205^A67,IF(A67='Données projet'!$A$140,'Données projet'!$B$140,CT66+CS67-DB66)))</f>
        <v>282.79999999999995</v>
      </c>
      <c r="CU67" s="17">
        <f>CT67*VLOOKUP('Données projet'!$B$13,Paramètres!$A$1:$I$89,3,0)*VLOOKUP('Données projet'!$B$13,Paramètres!$A$1:$I$89,5,0)</f>
        <v>269.11248000000001</v>
      </c>
      <c r="CV67" s="13">
        <f t="shared" si="41"/>
        <v>64.660879066175738</v>
      </c>
      <c r="CW67" s="20">
        <f t="shared" si="13"/>
        <v>581.32193370692278</v>
      </c>
      <c r="CX67" s="59">
        <f t="shared" si="14"/>
        <v>874.65526704025615</v>
      </c>
      <c r="CY67" s="59">
        <f ca="1">AVERAGE(OFFSET($CX$3,0,0,'Données projet'!$E$13+1,1))-AVERAGE(OFFSET($H$3,0,0,'Données projet'!$E$13+1,1))</f>
        <v>461.10546083340631</v>
      </c>
      <c r="CZ67" s="59">
        <f t="shared" si="42"/>
        <v>233.41883071412587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1.5359033940763522</v>
      </c>
      <c r="DH67" s="21">
        <f>EXP(-LN(2)/2)*DH66+(1-EXP(-LN(2)/2))/(LN(2)/2)*DB67*DE67*VLOOKUP('Données projet'!$B$13,Paramètres!$A$1:$I$89,3,0)*0.475*44/12</f>
        <v>5.9938635669416702E-5</v>
      </c>
      <c r="DI67" s="22">
        <f t="shared" si="15"/>
        <v>1.5359633327120217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243.03551999999988</v>
      </c>
      <c r="DQ67" s="13">
        <f t="shared" si="43"/>
        <v>59.092158884332932</v>
      </c>
      <c r="DR67" s="20">
        <f t="shared" si="16"/>
        <v>526.20570739021298</v>
      </c>
      <c r="DS67" s="59">
        <f t="shared" si="17"/>
        <v>819.53904072354635</v>
      </c>
      <c r="DT67" s="59">
        <f ca="1">AVERAGE(OFFSET($DS$3,0,0,'Données projet'!$E$14+1,1))-AVERAGE(OFFSET($H$3,0,0,'Données projet'!$E$14+1,1))</f>
        <v>296.376932094327</v>
      </c>
      <c r="DU67" s="59">
        <f t="shared" si="44"/>
        <v>350.93658329210882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1.3766147206958526</v>
      </c>
      <c r="EB67" s="21">
        <f>EXP(-LN(2)/25)*EB66+(1-EXP(-LN(2)/25))/(LN(2)/25)*Calculateur!DW67*Calculateur!DY67*VLOOKUP('Données projet'!$B$14,Paramètres!$A$1:$I$89,3,0)*0.475*44/12</f>
        <v>6.6129297271280825</v>
      </c>
      <c r="EC67" s="21">
        <f>EXP(-LN(2)/2)*EC66+(1-EXP(-LN(2)/2))/(LN(2)/2)*DW67*DZ67*VLOOKUP('Données projet'!$B$14,Paramètres!$A$1:$I$89,3,0)*0.475*44/12</f>
        <v>1.8699941914029284E-4</v>
      </c>
      <c r="ED67" s="22">
        <f t="shared" si="18"/>
        <v>7.9897314472430754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4.9000000000000004</v>
      </c>
      <c r="EJ67" s="12">
        <f>IF('Données projet'!$A$192&gt;35,EJ66+EI67-ER66,IF(A67&lt;'Données projet'!$A$192,$EG$205^A67,IF(A67='Données projet'!$A$192,'Données projet'!$B$192,EJ66+EI67-ER66)))</f>
        <v>299.59999999999985</v>
      </c>
      <c r="EK67" s="17">
        <f>EJ67*VLOOKUP('Données projet'!$B$15,Paramètres!$A$1:$I$89,3,0)*VLOOKUP('Données projet'!$B$15,Paramètres!$A$1:$I$89,5,0)</f>
        <v>196.29791999999992</v>
      </c>
      <c r="EL67" s="13">
        <f t="shared" si="45"/>
        <v>48.929679993635339</v>
      </c>
      <c r="EM67" s="20">
        <f t="shared" si="19"/>
        <v>427.10473665558146</v>
      </c>
      <c r="EN67" s="59">
        <f t="shared" si="20"/>
        <v>720.43806998891478</v>
      </c>
      <c r="EO67" s="59">
        <f ca="1">AVERAGE(OFFSET($EN$3,0,0,'Données projet'!$E$15+1,1))-AVERAGE(OFFSET($H$3,0,0,'Données projet'!$E$15+1,1))</f>
        <v>231.03244099494077</v>
      </c>
      <c r="EP67" s="59">
        <f t="shared" si="46"/>
        <v>280.29723026390741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1.1118811205620347</v>
      </c>
      <c r="EW67" s="21">
        <f>EXP(-LN(2)/25)*EW66+(1-EXP(-LN(2)/25))/(LN(2)/25)*Calculateur!ER67*Calculateur!ET67*VLOOKUP('Données projet'!$B$15,Paramètres!$A$1:$I$89,3,0)*0.475*44/12</f>
        <v>5.3412124719111436</v>
      </c>
      <c r="EX67" s="21">
        <f>EXP(-LN(2)/2)*EX66+(1-EXP(-LN(2)/2))/(LN(2)/2)*ER67*EU67*VLOOKUP('Données projet'!$B$15,Paramètres!$A$1:$I$89,3,0)*0.475*44/12</f>
        <v>1.5103799238254414E-4</v>
      </c>
      <c r="EY67" s="22">
        <f t="shared" si="21"/>
        <v>6.4532446304655604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260.13</v>
      </c>
      <c r="P68" s="13">
        <f t="shared" si="33"/>
        <v>62.750087896510983</v>
      </c>
      <c r="Q68" s="20">
        <f t="shared" si="54"/>
        <v>562.34948641975654</v>
      </c>
      <c r="R68" s="59">
        <f t="shared" si="55"/>
        <v>855.68281975308992</v>
      </c>
      <c r="S68" s="59">
        <f ca="1">AVERAGE(OFFSET($R$3,0,0,'Données projet'!$E$9+1,1))-AVERAGE(OFFSET($H$3,0,0,'Données projet'!$E$9+1,1))</f>
        <v>351.15781452544906</v>
      </c>
      <c r="T68" s="59">
        <f t="shared" si="34"/>
        <v>271.54361159160169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1.2042764376793</v>
      </c>
      <c r="AA68" s="21">
        <f>EXP(-LN(2)/25)*AA67+(1-EXP(-LN(2)/25))/(LN(2)/25)*Calculateur!V68*Calculateur!X68*VLOOKUP('Données projet'!$B$9,Paramètres!$A$1:$I$89,3,0)*0.475*44/12</f>
        <v>4.2753886916452455</v>
      </c>
      <c r="AB68" s="21">
        <f>EXP(-LN(2)/2)*AB67+(1-EXP(-LN(2)/2))/(LN(2)/2)*V68*Y68*VLOOKUP('Données projet'!$B$9,Paramètres!$A$1:$I$89,3,0)*0.475*44/12</f>
        <v>1.1627586815008689E-4</v>
      </c>
      <c r="AC68" s="22">
        <f t="shared" ref="AC68:AC131" si="57">SUM(Z68:AB68)</f>
        <v>5.4797814051926954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10.199999999999999</v>
      </c>
      <c r="AI68" s="13">
        <f>IF('Données projet'!$A$62&gt;35,AI67+AH68-AQ67,IF(A68&lt;'Données projet'!$A$62,$AF$205^A68,IF(A68='Données projet'!$A$62,'Données projet'!$B$62,AI67+AH68-AQ67)))</f>
        <v>292.99999999999994</v>
      </c>
      <c r="AJ68" s="13">
        <f>AI68*VLOOKUP('Données projet'!$B$10,Paramètres!$A$1:$I$89,3,0)*VLOOKUP('Données projet'!$B$10,Paramètres!$A$1:$I$89,5,0)</f>
        <v>251.39399999999998</v>
      </c>
      <c r="AK68" s="13">
        <f t="shared" si="35"/>
        <v>60.884348300643452</v>
      </c>
      <c r="AL68" s="20">
        <f t="shared" ref="AL68:AL131" si="58">(AJ68+AK68)*0.475*44/12</f>
        <v>543.88478995695391</v>
      </c>
      <c r="AM68" s="59">
        <f t="shared" ref="AM68:AM131" si="59">AL68+(AD68+AE68)*44/12</f>
        <v>837.21812329028717</v>
      </c>
      <c r="AN68" s="59">
        <f ca="1">AVERAGE(OFFSET($AM$3,0,0,'Données projet'!$E$10+1,1))-AVERAGE(OFFSET($H$3,0,0,'Données projet'!$E$10+1,1))</f>
        <v>405.59933429804329</v>
      </c>
      <c r="AO68" s="59">
        <f t="shared" si="36"/>
        <v>208.64922573363776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1.6602097834587954</v>
      </c>
      <c r="AW68" s="21">
        <f>EXP(-LN(2)/2)*AW67+(1-EXP(-LN(2)/2))/(LN(2)/2)*AQ68*AT68*VLOOKUP('Données projet'!$B$10,Paramètres!$A$1:$I$89,3,0)*0.475*44/12</f>
        <v>3.8214194516889972E-5</v>
      </c>
      <c r="AX68" s="21">
        <f t="shared" ref="AX68:AX131" si="60">SUM(AU68:AW68)</f>
        <v>1.6602479976533124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228.00000000000017</v>
      </c>
      <c r="BE68" s="13">
        <f>BD68*VLOOKUP('Données projet'!$B$11,Paramètres!$A$1:$I$89,3,0)*VLOOKUP('Données projet'!$B$11,Paramètres!$A$1:$I$89,5,0)</f>
        <v>220.52160000000015</v>
      </c>
      <c r="BF68" s="13">
        <f t="shared" si="37"/>
        <v>54.228237274069159</v>
      </c>
      <c r="BG68" s="20">
        <f t="shared" ref="BG68:BG131" si="61">(BE68+BF68)*0.475*44/12</f>
        <v>478.5226332523373</v>
      </c>
      <c r="BH68" s="59">
        <f t="shared" ref="BH68:BH131" si="62">BG68+(AY68+AZ68)*44/12</f>
        <v>771.85596658567056</v>
      </c>
      <c r="BI68" s="59">
        <f ca="1">AVERAGE(OFFSET($BH$3,0,0,'Données projet'!$E$11+1,1))-AVERAGE(OFFSET($H$3,0,0,'Données projet'!$E$11+1,1))</f>
        <v>293.19327646293601</v>
      </c>
      <c r="BJ68" s="59">
        <f t="shared" si="38"/>
        <v>200.0769581869605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1.2580981053499967</v>
      </c>
      <c r="BR68" s="21">
        <f>EXP(-LN(2)/2)*BR67+(1-EXP(-LN(2)/2))/(LN(2)/2)*BL68*BO68*VLOOKUP('Données projet'!$B$11,Paramètres!$A$1:$I$89,3,0)*0.475*44/12</f>
        <v>3.5693050255256179E-5</v>
      </c>
      <c r="BS68" s="22">
        <f t="shared" ref="BS68:BS131" si="63">SUM(BP68:BR68)</f>
        <v>1.2581337984002519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</v>
      </c>
      <c r="BY68" s="12">
        <f>IF('Données projet'!$A$114&gt;35,BY67+BX68-CG67,IF(A68&lt;'Données projet'!$A$114,$BV$205^A68,IF(A68='Données projet'!$A$114,'Données projet'!$B$114,BY67+BX68-CG67)))</f>
        <v>318.50000000000006</v>
      </c>
      <c r="BZ68" s="13">
        <f>BY68*VLOOKUP('Données projet'!$B$12,Paramètres!$A$1:$I$89,3,0)*VLOOKUP('Données projet'!$B$12,Paramètres!$A$1:$I$89,5,0)</f>
        <v>248.43000000000006</v>
      </c>
      <c r="CA68" s="13">
        <f t="shared" si="39"/>
        <v>60.249625816963075</v>
      </c>
      <c r="CB68" s="20">
        <f t="shared" ref="CB68:CB131" si="64">(BZ68+CA68)*0.475*44/12</f>
        <v>537.61701496454418</v>
      </c>
      <c r="CC68" s="59">
        <f t="shared" ref="CC68:CC131" si="65">CB68+(BT68+BU68)*44/12</f>
        <v>830.95034829787755</v>
      </c>
      <c r="CD68" s="59">
        <f ca="1">AVERAGE(OFFSET($CC$3,0,0,'Données projet'!$E$12+1,1))-AVERAGE(OFFSET($H$3,0,0,'Données projet'!$E$12+1,1))</f>
        <v>295.95249585728561</v>
      </c>
      <c r="CE68" s="59">
        <f t="shared" si="40"/>
        <v>306.85862495052709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0.72301079232593468</v>
      </c>
      <c r="CL68" s="21">
        <f>EXP(-LN(2)/25)*CL67+(1-EXP(-LN(2)/25))/(LN(2)/25)*Calculateur!CG68*Calculateur!CI68*VLOOKUP('Données projet'!$B$12,Paramètres!$A$1:$I$89,3,0)*0.475*44/12</f>
        <v>3.1719107033738374</v>
      </c>
      <c r="CM68" s="21">
        <f>EXP(-LN(2)/2)*CM67+(1-EXP(-LN(2)/2))/(LN(2)/2)*CG68*CJ68*VLOOKUP('Données projet'!$B$12,Paramètres!$A$1:$I$89,3,0)*0.475*44/12</f>
        <v>7.0516355369072792E-5</v>
      </c>
      <c r="CN68" s="22">
        <f t="shared" ref="CN68:CN131" si="66">SUM(CK68:CM68)</f>
        <v>3.8949920120551411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10.199999999999999</v>
      </c>
      <c r="CT68" s="12">
        <f>IF('Données projet'!$A$140&gt;35,CT67+CS68-DB67,IF(A68&lt;'Données projet'!$A$140,$CQ$205^A68,IF(A68='Données projet'!$A$140,'Données projet'!$B$140,CT67+CS68-DB67)))</f>
        <v>292.99999999999994</v>
      </c>
      <c r="CU68" s="17">
        <f>CT68*VLOOKUP('Données projet'!$B$13,Paramètres!$A$1:$I$89,3,0)*VLOOKUP('Données projet'!$B$13,Paramètres!$A$1:$I$89,5,0)</f>
        <v>278.81879999999995</v>
      </c>
      <c r="CV68" s="13">
        <f t="shared" si="41"/>
        <v>66.717325981909937</v>
      </c>
      <c r="CW68" s="20">
        <f t="shared" ref="CW68:CW131" si="67">(CU68+CV68)*0.475*44/12</f>
        <v>601.80875275182643</v>
      </c>
      <c r="CX68" s="59">
        <f t="shared" ref="CX68:CX131" si="68">CW68+(CO68+CP68)*44/12</f>
        <v>895.14208608515969</v>
      </c>
      <c r="CY68" s="59">
        <f ca="1">AVERAGE(OFFSET($CX$3,0,0,'Données projet'!$E$13+1,1))-AVERAGE(OFFSET($H$3,0,0,'Données projet'!$E$13+1,1))</f>
        <v>461.10546083340631</v>
      </c>
      <c r="CZ68" s="59">
        <f t="shared" si="42"/>
        <v>233.41883071412587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1.4939040349956851</v>
      </c>
      <c r="DH68" s="21">
        <f>EXP(-LN(2)/2)*DH67+(1-EXP(-LN(2)/2))/(LN(2)/2)*DB68*DE68*VLOOKUP('Données projet'!$B$13,Paramètres!$A$1:$I$89,3,0)*0.475*44/12</f>
        <v>4.2383015736914434E-5</v>
      </c>
      <c r="DI68" s="22">
        <f t="shared" ref="DI68:DI131" si="69">SUM(DF68:DH68)</f>
        <v>1.4939464180114221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247.01039999999989</v>
      </c>
      <c r="DQ68" s="13">
        <f t="shared" si="43"/>
        <v>59.945315462121812</v>
      </c>
      <c r="DR68" s="20">
        <f t="shared" ref="DR68:DR131" si="70">(DP68+DQ68)*0.475*44/12</f>
        <v>534.61453776319524</v>
      </c>
      <c r="DS68" s="59">
        <f t="shared" ref="DS68:DS131" si="71">DR68+(DJ68+DK68)*44/12</f>
        <v>827.94787109652862</v>
      </c>
      <c r="DT68" s="59">
        <f ca="1">AVERAGE(OFFSET($DS$3,0,0,'Données projet'!$E$14+1,1))-AVERAGE(OFFSET($H$3,0,0,'Données projet'!$E$14+1,1))</f>
        <v>296.376932094327</v>
      </c>
      <c r="DU68" s="59">
        <f t="shared" si="44"/>
        <v>350.93658329210882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1.3496201456750778</v>
      </c>
      <c r="EB68" s="21">
        <f>EXP(-LN(2)/25)*EB67+(1-EXP(-LN(2)/25))/(LN(2)/25)*Calculateur!DW68*Calculateur!DY68*VLOOKUP('Données projet'!$B$14,Paramètres!$A$1:$I$89,3,0)*0.475*44/12</f>
        <v>6.4320988159809049</v>
      </c>
      <c r="EC68" s="21">
        <f>EXP(-LN(2)/2)*EC67+(1-EXP(-LN(2)/2))/(LN(2)/2)*DW68*DZ68*VLOOKUP('Données projet'!$B$14,Paramètres!$A$1:$I$89,3,0)*0.475*44/12</f>
        <v>1.3222855735204654E-4</v>
      </c>
      <c r="ED68" s="22">
        <f t="shared" ref="ED68:ED131" si="72">SUM(EA68:EC68)</f>
        <v>7.7818511902133354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4.9000000000000004</v>
      </c>
      <c r="EJ68" s="12">
        <f>IF('Données projet'!$A$192&gt;35,EJ67+EI68-ER67,IF(A68&lt;'Données projet'!$A$192,$EG$205^A68,IF(A68='Données projet'!$A$192,'Données projet'!$B$192,EJ67+EI68-ER67)))</f>
        <v>304.49999999999983</v>
      </c>
      <c r="EK68" s="17">
        <f>EJ68*VLOOKUP('Données projet'!$B$15,Paramètres!$A$1:$I$89,3,0)*VLOOKUP('Données projet'!$B$15,Paramètres!$A$1:$I$89,5,0)</f>
        <v>199.50839999999991</v>
      </c>
      <c r="EL68" s="13">
        <f t="shared" si="45"/>
        <v>49.63611345492393</v>
      </c>
      <c r="EM68" s="20">
        <f t="shared" ref="EM68:EM131" si="73">(EK68+EL68)*0.475*44/12</f>
        <v>433.92669426732567</v>
      </c>
      <c r="EN68" s="59">
        <f t="shared" ref="EN68:EN131" si="74">EM68+(EE68+EF68)*44/12</f>
        <v>727.26002760065899</v>
      </c>
      <c r="EO68" s="59">
        <f ca="1">AVERAGE(OFFSET($EN$3,0,0,'Données projet'!$E$15+1,1))-AVERAGE(OFFSET($H$3,0,0,'Données projet'!$E$15+1,1))</f>
        <v>231.03244099494077</v>
      </c>
      <c r="EP68" s="59">
        <f t="shared" si="46"/>
        <v>280.29723026390741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1.0900778099683319</v>
      </c>
      <c r="EW68" s="21">
        <f>EXP(-LN(2)/25)*EW67+(1-EXP(-LN(2)/25))/(LN(2)/25)*Calculateur!ER68*Calculateur!ET68*VLOOKUP('Données projet'!$B$15,Paramètres!$A$1:$I$89,3,0)*0.475*44/12</f>
        <v>5.1951567359845772</v>
      </c>
      <c r="EX68" s="21">
        <f>EXP(-LN(2)/2)*EX67+(1-EXP(-LN(2)/2))/(LN(2)/2)*ER68*EU68*VLOOKUP('Données projet'!$B$15,Paramètres!$A$1:$I$89,3,0)*0.475*44/12</f>
        <v>1.0679998863049907E-4</v>
      </c>
      <c r="EY68" s="22">
        <f t="shared" ref="EY68:EY131" si="75">SUM(EV68:EX68)</f>
        <v>6.2853413459415393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267.82079999999996</v>
      </c>
      <c r="P69" s="13">
        <f t="shared" ref="P69:P132" si="87">EXP(-1.0587+0.8836*LN(O69)+0.284)</f>
        <v>64.386570147897302</v>
      </c>
      <c r="Q69" s="20">
        <f t="shared" si="54"/>
        <v>578.59450300758772</v>
      </c>
      <c r="R69" s="59">
        <f t="shared" si="55"/>
        <v>871.92783634092098</v>
      </c>
      <c r="S69" s="59">
        <f ca="1">AVERAGE(OFFSET($R$3,0,0,'Données projet'!$E$9+1,1))-AVERAGE(OFFSET($H$3,0,0,'Données projet'!$E$9+1,1))</f>
        <v>351.15781452544906</v>
      </c>
      <c r="T69" s="59">
        <f t="shared" ref="T69:T132" si="88">$T$3</f>
        <v>271.54361159160169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1.1806613112725066</v>
      </c>
      <c r="AA69" s="21">
        <f>EXP(-LN(2)/25)*AA68+(1-EXP(-LN(2)/25))/(LN(2)/25)*Calculateur!V69*Calculateur!X69*VLOOKUP('Données projet'!$B$9,Paramètres!$A$1:$I$89,3,0)*0.475*44/12</f>
        <v>4.1584779630392861</v>
      </c>
      <c r="AB69" s="21">
        <f>EXP(-LN(2)/2)*AB68+(1-EXP(-LN(2)/2))/(LN(2)/2)*V69*Y69*VLOOKUP('Données projet'!$B$9,Paramètres!$A$1:$I$89,3,0)*0.475*44/12</f>
        <v>8.2219454857279344E-5</v>
      </c>
      <c r="AC69" s="22">
        <f t="shared" si="57"/>
        <v>5.3392214937666491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10.199999999999999</v>
      </c>
      <c r="AI69" s="13">
        <f>IF('Données projet'!$A$62&gt;35,AI68+AH69-AQ68,IF(A69&lt;'Données projet'!$A$62,$AF$205^A69,IF(A69='Données projet'!$A$62,'Données projet'!$B$62,AI68+AH69-AQ68)))</f>
        <v>303.19999999999993</v>
      </c>
      <c r="AJ69" s="13">
        <f>AI69*VLOOKUP('Données projet'!$B$10,Paramètres!$A$1:$I$89,3,0)*VLOOKUP('Données projet'!$B$10,Paramètres!$A$1:$I$89,5,0)</f>
        <v>260.14559999999994</v>
      </c>
      <c r="AK69" s="13">
        <f t="shared" ref="AK69:AK132" si="89">EXP(-1.0587+0.8836*LN(AJ69)+0.284)</f>
        <v>62.753412981017661</v>
      </c>
      <c r="AL69" s="20">
        <f t="shared" si="58"/>
        <v>562.38244760860573</v>
      </c>
      <c r="AM69" s="59">
        <f t="shared" si="59"/>
        <v>855.7157809419391</v>
      </c>
      <c r="AN69" s="59">
        <f ca="1">AVERAGE(OFFSET($AM$3,0,0,'Données projet'!$E$10+1,1))-AVERAGE(OFFSET($H$3,0,0,'Données projet'!$E$10+1,1))</f>
        <v>405.59933429804329</v>
      </c>
      <c r="AO69" s="59">
        <f t="shared" ref="AO69:AO132" si="90">$AO$3</f>
        <v>208.64922573363776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1.6148112596234767</v>
      </c>
      <c r="AW69" s="21">
        <f>EXP(-LN(2)/2)*AW68+(1-EXP(-LN(2)/2))/(LN(2)/2)*AQ69*AT69*VLOOKUP('Données projet'!$B$10,Paramètres!$A$1:$I$89,3,0)*0.475*44/12</f>
        <v>2.7021516080474682E-5</v>
      </c>
      <c r="AX69" s="21">
        <f t="shared" si="60"/>
        <v>1.6148382811395572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235.00000000000017</v>
      </c>
      <c r="BE69" s="13">
        <f>BD69*VLOOKUP('Données projet'!$B$11,Paramètres!$A$1:$I$89,3,0)*VLOOKUP('Données projet'!$B$11,Paramètres!$A$1:$I$89,5,0)</f>
        <v>227.29200000000017</v>
      </c>
      <c r="BF69" s="13">
        <f t="shared" ref="BF69:BF132" si="91">EXP(-1.0587+0.8836*LN(BE69)+0.284)</f>
        <v>55.696745617483749</v>
      </c>
      <c r="BG69" s="20">
        <f t="shared" si="61"/>
        <v>492.87206528378442</v>
      </c>
      <c r="BH69" s="59">
        <f t="shared" si="62"/>
        <v>786.20539861711768</v>
      </c>
      <c r="BI69" s="59">
        <f ca="1">AVERAGE(OFFSET($BH$3,0,0,'Données projet'!$E$11+1,1))-AVERAGE(OFFSET($H$3,0,0,'Données projet'!$E$11+1,1))</f>
        <v>293.19327646293601</v>
      </c>
      <c r="BJ69" s="59">
        <f t="shared" ref="BJ69:BJ132" si="92">$BJ$3</f>
        <v>200.0769581869605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1.223695346498697</v>
      </c>
      <c r="BR69" s="21">
        <f>EXP(-LN(2)/2)*BR68+(1-EXP(-LN(2)/2))/(LN(2)/2)*BL69*BO69*VLOOKUP('Données projet'!$B$11,Paramètres!$A$1:$I$89,3,0)*0.475*44/12</f>
        <v>2.5238797876723876E-5</v>
      </c>
      <c r="BS69" s="22">
        <f t="shared" si="63"/>
        <v>1.2237205852965738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</v>
      </c>
      <c r="BY69" s="12">
        <f>IF('Données projet'!$A$114&gt;35,BY68+BX69-CG68,IF(A69&lt;'Données projet'!$A$114,$BV$205^A69,IF(A69='Données projet'!$A$114,'Données projet'!$B$114,BY68+BX69-CG68)))</f>
        <v>327.60000000000008</v>
      </c>
      <c r="BZ69" s="13">
        <f>BY69*VLOOKUP('Données projet'!$B$12,Paramètres!$A$1:$I$89,3,0)*VLOOKUP('Données projet'!$B$12,Paramètres!$A$1:$I$89,5,0)</f>
        <v>255.52800000000008</v>
      </c>
      <c r="CA69" s="13">
        <f t="shared" ref="CA69:CA132" si="93">EXP(-1.0587+0.8836*LN(BZ69)+0.284)</f>
        <v>61.768167868721527</v>
      </c>
      <c r="CB69" s="20">
        <f t="shared" si="64"/>
        <v>552.62415903802355</v>
      </c>
      <c r="CC69" s="59">
        <f t="shared" si="65"/>
        <v>845.95749237135692</v>
      </c>
      <c r="CD69" s="59">
        <f ca="1">AVERAGE(OFFSET($CC$3,0,0,'Données projet'!$E$12+1,1))-AVERAGE(OFFSET($H$3,0,0,'Données projet'!$E$12+1,1))</f>
        <v>295.95249585728561</v>
      </c>
      <c r="CE69" s="59">
        <f t="shared" ref="CE69:CE132" si="94">$CE$3</f>
        <v>306.85862495052709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0.70883299168146197</v>
      </c>
      <c r="CL69" s="21">
        <f>EXP(-LN(2)/25)*CL68+(1-EXP(-LN(2)/25))/(LN(2)/25)*Calculateur!CG69*Calculateur!CI69*VLOOKUP('Données projet'!$B$12,Paramètres!$A$1:$I$89,3,0)*0.475*44/12</f>
        <v>3.0851746383865453</v>
      </c>
      <c r="CM69" s="21">
        <f>EXP(-LN(2)/2)*CM68+(1-EXP(-LN(2)/2))/(LN(2)/2)*CG69*CJ69*VLOOKUP('Données projet'!$B$12,Paramètres!$A$1:$I$89,3,0)*0.475*44/12</f>
        <v>4.9862593066031782E-5</v>
      </c>
      <c r="CN69" s="22">
        <f t="shared" si="66"/>
        <v>3.7940574926610733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10.199999999999999</v>
      </c>
      <c r="CT69" s="12">
        <f>IF('Données projet'!$A$140&gt;35,CT68+CS69-DB68,IF(A69&lt;'Données projet'!$A$140,$CQ$205^A69,IF(A69='Données projet'!$A$140,'Données projet'!$B$140,CT68+CS69-DB68)))</f>
        <v>303.19999999999993</v>
      </c>
      <c r="CU69" s="17">
        <f>CT69*VLOOKUP('Données projet'!$B$13,Paramètres!$A$1:$I$89,3,0)*VLOOKUP('Données projet'!$B$13,Paramètres!$A$1:$I$89,5,0)</f>
        <v>288.5251199999999</v>
      </c>
      <c r="CV69" s="13">
        <f t="shared" ref="CV69:CV132" si="95">EXP(-1.0587+0.8836*LN(CU69)+0.284)</f>
        <v>68.765454951707554</v>
      </c>
      <c r="CW69" s="20">
        <f t="shared" si="67"/>
        <v>622.28108470755717</v>
      </c>
      <c r="CX69" s="59">
        <f t="shared" si="68"/>
        <v>915.61441804089054</v>
      </c>
      <c r="CY69" s="59">
        <f ca="1">AVERAGE(OFFSET($CX$3,0,0,'Données projet'!$E$13+1,1))-AVERAGE(OFFSET($H$3,0,0,'Données projet'!$E$13+1,1))</f>
        <v>461.10546083340631</v>
      </c>
      <c r="CZ69" s="59">
        <f t="shared" ref="CZ69:CZ132" si="96">$CZ$3</f>
        <v>233.41883071412587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1.4530531505977293</v>
      </c>
      <c r="DH69" s="21">
        <f>EXP(-LN(2)/2)*DH68+(1-EXP(-LN(2)/2))/(LN(2)/2)*DB69*DE69*VLOOKUP('Données projet'!$B$13,Paramètres!$A$1:$I$89,3,0)*0.475*44/12</f>
        <v>2.9969317834708358E-5</v>
      </c>
      <c r="DI69" s="22">
        <f t="shared" si="69"/>
        <v>1.453083119915564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250.98527999999985</v>
      </c>
      <c r="DQ69" s="13">
        <f t="shared" ref="DQ69:DQ132" si="97">EXP(-1.0587+0.8836*LN(DP69)+0.284)</f>
        <v>60.796875412251005</v>
      </c>
      <c r="DR69" s="20">
        <f t="shared" si="70"/>
        <v>543.02058734300351</v>
      </c>
      <c r="DS69" s="59">
        <f t="shared" si="71"/>
        <v>836.35392067633688</v>
      </c>
      <c r="DT69" s="59">
        <f ca="1">AVERAGE(OFFSET($DS$3,0,0,'Données projet'!$E$14+1,1))-AVERAGE(OFFSET($H$3,0,0,'Données projet'!$E$14+1,1))</f>
        <v>296.376932094327</v>
      </c>
      <c r="DU69" s="59">
        <f t="shared" ref="DU69:DU132" si="98">$DU$3</f>
        <v>350.93658329210882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1.3231549178053954</v>
      </c>
      <c r="EB69" s="21">
        <f>EXP(-LN(2)/25)*EB68+(1-EXP(-LN(2)/25))/(LN(2)/25)*Calculateur!DW69*Calculateur!DY69*VLOOKUP('Données projet'!$B$14,Paramètres!$A$1:$I$89,3,0)*0.475*44/12</f>
        <v>6.2562127356085311</v>
      </c>
      <c r="EC69" s="21">
        <f>EXP(-LN(2)/2)*EC68+(1-EXP(-LN(2)/2))/(LN(2)/2)*DW69*DZ69*VLOOKUP('Données projet'!$B$14,Paramètres!$A$1:$I$89,3,0)*0.475*44/12</f>
        <v>9.3499709570146422E-5</v>
      </c>
      <c r="ED69" s="22">
        <f t="shared" si="72"/>
        <v>7.5794611531234972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4.9000000000000004</v>
      </c>
      <c r="EJ69" s="12">
        <f>IF('Données projet'!$A$192&gt;35,EJ68+EI69-ER68,IF(A69&lt;'Données projet'!$A$192,$EG$205^A69,IF(A69='Données projet'!$A$192,'Données projet'!$B$192,EJ68+EI69-ER68)))</f>
        <v>309.39999999999981</v>
      </c>
      <c r="EK69" s="17">
        <f>EJ69*VLOOKUP('Données projet'!$B$15,Paramètres!$A$1:$I$89,3,0)*VLOOKUP('Données projet'!$B$15,Paramètres!$A$1:$I$89,5,0)</f>
        <v>202.7188799999999</v>
      </c>
      <c r="EL69" s="13">
        <f t="shared" ref="EL69:EL132" si="99">EXP(-1.0587+0.8836*LN(EK69)+0.284)</f>
        <v>50.341224871428082</v>
      </c>
      <c r="EM69" s="20">
        <f t="shared" si="73"/>
        <v>440.74634931773704</v>
      </c>
      <c r="EN69" s="59">
        <f t="shared" si="74"/>
        <v>734.07968265107036</v>
      </c>
      <c r="EO69" s="59">
        <f ca="1">AVERAGE(OFFSET($EN$3,0,0,'Données projet'!$E$15+1,1))-AVERAGE(OFFSET($H$3,0,0,'Données projet'!$E$15+1,1))</f>
        <v>231.03244099494077</v>
      </c>
      <c r="EP69" s="59">
        <f t="shared" ref="EP69:EP132" si="100">$EP$3</f>
        <v>280.29723026390741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1.0687020489966654</v>
      </c>
      <c r="EW69" s="21">
        <f>EXP(-LN(2)/25)*EW68+(1-EXP(-LN(2)/25))/(LN(2)/25)*Calculateur!ER69*Calculateur!ET69*VLOOKUP('Données projet'!$B$15,Paramètres!$A$1:$I$89,3,0)*0.475*44/12</f>
        <v>5.0530949018376594</v>
      </c>
      <c r="EX69" s="21">
        <f>EXP(-LN(2)/2)*EX68+(1-EXP(-LN(2)/2))/(LN(2)/2)*ER69*EU69*VLOOKUP('Données projet'!$B$15,Paramètres!$A$1:$I$89,3,0)*0.475*44/12</f>
        <v>7.551899619127207E-5</v>
      </c>
      <c r="EY69" s="22">
        <f t="shared" si="75"/>
        <v>6.1218724698305165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275.51159999999999</v>
      </c>
      <c r="P70" s="13">
        <f t="shared" si="87"/>
        <v>66.017590685458188</v>
      </c>
      <c r="Q70" s="20">
        <f t="shared" si="54"/>
        <v>594.83000711050624</v>
      </c>
      <c r="R70" s="59">
        <f t="shared" si="55"/>
        <v>888.16334044383962</v>
      </c>
      <c r="S70" s="59">
        <f ca="1">AVERAGE(OFFSET($R$3,0,0,'Données projet'!$E$9+1,1))-AVERAGE(OFFSET($H$3,0,0,'Données projet'!$E$9+1,1))</f>
        <v>351.15781452544906</v>
      </c>
      <c r="T70" s="59">
        <f t="shared" si="88"/>
        <v>271.54361159160169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1.1575092630907455</v>
      </c>
      <c r="AA70" s="21">
        <f>EXP(-LN(2)/25)*AA69+(1-EXP(-LN(2)/25))/(LN(2)/25)*Calculateur!V70*Calculateur!X70*VLOOKUP('Données projet'!$B$9,Paramètres!$A$1:$I$89,3,0)*0.475*44/12</f>
        <v>4.0447641644551249</v>
      </c>
      <c r="AB70" s="21">
        <f>EXP(-LN(2)/2)*AB69+(1-EXP(-LN(2)/2))/(LN(2)/2)*V70*Y70*VLOOKUP('Données projet'!$B$9,Paramètres!$A$1:$I$89,3,0)*0.475*44/12</f>
        <v>5.8137934075043451E-5</v>
      </c>
      <c r="AC70" s="22">
        <f t="shared" si="57"/>
        <v>5.2023315654799456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10.199999999999999</v>
      </c>
      <c r="AI70" s="13">
        <f>IF('Données projet'!$A$62&gt;35,AI69+AH70-AQ69,IF(A70&lt;'Données projet'!$A$62,$AF$205^A70,IF(A70='Données projet'!$A$62,'Données projet'!$B$62,AI69+AH70-AQ69)))</f>
        <v>313.39999999999992</v>
      </c>
      <c r="AJ70" s="13">
        <f>AI70*VLOOKUP('Données projet'!$B$10,Paramètres!$A$1:$I$89,3,0)*VLOOKUP('Données projet'!$B$10,Paramètres!$A$1:$I$89,5,0)</f>
        <v>268.8972</v>
      </c>
      <c r="AK70" s="13">
        <f t="shared" si="89"/>
        <v>64.615171575073688</v>
      </c>
      <c r="AL70" s="20">
        <f t="shared" si="58"/>
        <v>580.86738049325334</v>
      </c>
      <c r="AM70" s="59">
        <f t="shared" si="59"/>
        <v>874.20071382658671</v>
      </c>
      <c r="AN70" s="59">
        <f ca="1">AVERAGE(OFFSET($AM$3,0,0,'Données projet'!$E$10+1,1))-AVERAGE(OFFSET($H$3,0,0,'Données projet'!$E$10+1,1))</f>
        <v>405.59933429804329</v>
      </c>
      <c r="AO70" s="59">
        <f t="shared" si="90"/>
        <v>208.64922573363776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1.5706541608098392</v>
      </c>
      <c r="AW70" s="21">
        <f>EXP(-LN(2)/2)*AW69+(1-EXP(-LN(2)/2))/(LN(2)/2)*AQ70*AT70*VLOOKUP('Données projet'!$B$10,Paramètres!$A$1:$I$89,3,0)*0.475*44/12</f>
        <v>1.9107097258444986E-5</v>
      </c>
      <c r="AX70" s="21">
        <f t="shared" si="60"/>
        <v>1.5706732679070976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242.00000000000017</v>
      </c>
      <c r="BE70" s="13">
        <f>BD70*VLOOKUP('Données projet'!$B$11,Paramètres!$A$1:$I$89,3,0)*VLOOKUP('Données projet'!$B$11,Paramètres!$A$1:$I$89,5,0)</f>
        <v>234.06240000000017</v>
      </c>
      <c r="BF70" s="13">
        <f t="shared" si="91"/>
        <v>57.160170321263926</v>
      </c>
      <c r="BG70" s="20">
        <f t="shared" si="61"/>
        <v>507.21264330953494</v>
      </c>
      <c r="BH70" s="59">
        <f t="shared" si="62"/>
        <v>800.54597664286825</v>
      </c>
      <c r="BI70" s="59">
        <f ca="1">AVERAGE(OFFSET($BH$3,0,0,'Données projet'!$E$11+1,1))-AVERAGE(OFFSET($H$3,0,0,'Données projet'!$E$11+1,1))</f>
        <v>293.19327646293601</v>
      </c>
      <c r="BJ70" s="59">
        <f t="shared" si="92"/>
        <v>200.0769581869605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1.1902333328973487</v>
      </c>
      <c r="BR70" s="21">
        <f>EXP(-LN(2)/2)*BR69+(1-EXP(-LN(2)/2))/(LN(2)/2)*BL70*BO70*VLOOKUP('Données projet'!$B$11,Paramètres!$A$1:$I$89,3,0)*0.475*44/12</f>
        <v>1.784652512762809E-5</v>
      </c>
      <c r="BS70" s="22">
        <f t="shared" si="63"/>
        <v>1.1902511794224764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</v>
      </c>
      <c r="BY70" s="12">
        <f>IF('Données projet'!$A$114&gt;35,BY69+BX70-CG69,IF(A70&lt;'Données projet'!$A$114,$BV$205^A70,IF(A70='Données projet'!$A$114,'Données projet'!$B$114,BY69+BX70-CG69)))</f>
        <v>336.7000000000001</v>
      </c>
      <c r="BZ70" s="13">
        <f>BY70*VLOOKUP('Données projet'!$B$12,Paramètres!$A$1:$I$89,3,0)*VLOOKUP('Données projet'!$B$12,Paramètres!$A$1:$I$89,5,0)</f>
        <v>262.62600000000009</v>
      </c>
      <c r="CA70" s="13">
        <f t="shared" si="93"/>
        <v>63.281807230823453</v>
      </c>
      <c r="CB70" s="20">
        <f t="shared" si="64"/>
        <v>567.622764260351</v>
      </c>
      <c r="CC70" s="59">
        <f t="shared" si="65"/>
        <v>860.95609759368426</v>
      </c>
      <c r="CD70" s="59">
        <f ca="1">AVERAGE(OFFSET($CC$3,0,0,'Données projet'!$E$12+1,1))-AVERAGE(OFFSET($H$3,0,0,'Données projet'!$E$12+1,1))</f>
        <v>295.95249585728561</v>
      </c>
      <c r="CE70" s="59">
        <f t="shared" si="94"/>
        <v>306.85862495052709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0.69493320906002287</v>
      </c>
      <c r="CL70" s="21">
        <f>EXP(-LN(2)/25)*CL69+(1-EXP(-LN(2)/25))/(LN(2)/25)*Calculateur!CG70*Calculateur!CI70*VLOOKUP('Données projet'!$B$12,Paramètres!$A$1:$I$89,3,0)*0.475*44/12</f>
        <v>3.0008103756575824</v>
      </c>
      <c r="CM70" s="21">
        <f>EXP(-LN(2)/2)*CM69+(1-EXP(-LN(2)/2))/(LN(2)/2)*CG70*CJ70*VLOOKUP('Données projet'!$B$12,Paramètres!$A$1:$I$89,3,0)*0.475*44/12</f>
        <v>3.5258177684536396E-5</v>
      </c>
      <c r="CN70" s="22">
        <f t="shared" si="66"/>
        <v>3.6957788428952898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10.199999999999999</v>
      </c>
      <c r="CT70" s="12">
        <f>IF('Données projet'!$A$140&gt;35,CT69+CS70-DB69,IF(A70&lt;'Données projet'!$A$140,$CQ$205^A70,IF(A70='Données projet'!$A$140,'Données projet'!$B$140,CT69+CS70-DB69)))</f>
        <v>313.39999999999992</v>
      </c>
      <c r="CU70" s="17">
        <f>CT70*VLOOKUP('Données projet'!$B$13,Paramètres!$A$1:$I$89,3,0)*VLOOKUP('Données projet'!$B$13,Paramètres!$A$1:$I$89,5,0)</f>
        <v>298.23143999999991</v>
      </c>
      <c r="CV70" s="13">
        <f t="shared" si="95"/>
        <v>70.805577881264298</v>
      </c>
      <c r="CW70" s="20">
        <f t="shared" si="67"/>
        <v>642.73947280986852</v>
      </c>
      <c r="CX70" s="59">
        <f t="shared" si="68"/>
        <v>936.07280614320189</v>
      </c>
      <c r="CY70" s="59">
        <f ca="1">AVERAGE(OFFSET($CX$3,0,0,'Données projet'!$E$13+1,1))-AVERAGE(OFFSET($H$3,0,0,'Données projet'!$E$13+1,1))</f>
        <v>461.10546083340631</v>
      </c>
      <c r="CZ70" s="59">
        <f t="shared" si="96"/>
        <v>233.41883071412587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1.4133193357818903</v>
      </c>
      <c r="DH70" s="21">
        <f>EXP(-LN(2)/2)*DH69+(1-EXP(-LN(2)/2))/(LN(2)/2)*DB70*DE70*VLOOKUP('Données projet'!$B$13,Paramètres!$A$1:$I$89,3,0)*0.475*44/12</f>
        <v>2.119150786845722E-5</v>
      </c>
      <c r="DI70" s="22">
        <f t="shared" si="69"/>
        <v>1.4133405272897588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254.96015999999983</v>
      </c>
      <c r="DQ70" s="13">
        <f t="shared" si="97"/>
        <v>61.646866940336174</v>
      </c>
      <c r="DR70" s="20">
        <f t="shared" si="70"/>
        <v>551.42390525441863</v>
      </c>
      <c r="DS70" s="59">
        <f t="shared" si="71"/>
        <v>844.757238587752</v>
      </c>
      <c r="DT70" s="59">
        <f ca="1">AVERAGE(OFFSET($DS$3,0,0,'Données projet'!$E$14+1,1))-AVERAGE(OFFSET($H$3,0,0,'Données projet'!$E$14+1,1))</f>
        <v>296.376932094327</v>
      </c>
      <c r="DU70" s="59">
        <f t="shared" si="98"/>
        <v>350.93658329210882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1.2972086569120425</v>
      </c>
      <c r="EB70" s="21">
        <f>EXP(-LN(2)/25)*EB69+(1-EXP(-LN(2)/25))/(LN(2)/25)*Calculateur!DW70*Calculateur!DY70*VLOOKUP('Données projet'!$B$14,Paramètres!$A$1:$I$89,3,0)*0.475*44/12</f>
        <v>6.085136269353387</v>
      </c>
      <c r="EC70" s="21">
        <f>EXP(-LN(2)/2)*EC69+(1-EXP(-LN(2)/2))/(LN(2)/2)*DW70*DZ70*VLOOKUP('Données projet'!$B$14,Paramètres!$A$1:$I$89,3,0)*0.475*44/12</f>
        <v>6.6114278676023268E-5</v>
      </c>
      <c r="ED70" s="22">
        <f t="shared" si="72"/>
        <v>7.3824110405441052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4.9000000000000004</v>
      </c>
      <c r="EJ70" s="12">
        <f>IF('Données projet'!$A$192&gt;35,EJ69+EI70-ER69,IF(A70&lt;'Données projet'!$A$192,$EG$205^A70,IF(A70='Données projet'!$A$192,'Données projet'!$B$192,EJ69+EI70-ER69)))</f>
        <v>314.29999999999978</v>
      </c>
      <c r="EK70" s="17">
        <f>EJ70*VLOOKUP('Données projet'!$B$15,Paramètres!$A$1:$I$89,3,0)*VLOOKUP('Données projet'!$B$15,Paramètres!$A$1:$I$89,5,0)</f>
        <v>205.92935999999986</v>
      </c>
      <c r="EL70" s="13">
        <f t="shared" si="99"/>
        <v>51.045037598052495</v>
      </c>
      <c r="EM70" s="20">
        <f t="shared" si="73"/>
        <v>447.56374248327444</v>
      </c>
      <c r="EN70" s="59">
        <f t="shared" si="74"/>
        <v>740.89707581660775</v>
      </c>
      <c r="EO70" s="59">
        <f ca="1">AVERAGE(OFFSET($EN$3,0,0,'Données projet'!$E$15+1,1))-AVERAGE(OFFSET($H$3,0,0,'Données projet'!$E$15+1,1))</f>
        <v>231.03244099494077</v>
      </c>
      <c r="EP70" s="59">
        <f t="shared" si="100"/>
        <v>280.29723026390741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1.0477454536597264</v>
      </c>
      <c r="EW70" s="21">
        <f>EXP(-LN(2)/25)*EW69+(1-EXP(-LN(2)/25))/(LN(2)/25)*Calculateur!ER70*Calculateur!ET70*VLOOKUP('Données projet'!$B$15,Paramètres!$A$1:$I$89,3,0)*0.475*44/12</f>
        <v>4.9149177560161963</v>
      </c>
      <c r="EX70" s="21">
        <f>EXP(-LN(2)/2)*EX69+(1-EXP(-LN(2)/2))/(LN(2)/2)*ER70*EU70*VLOOKUP('Données projet'!$B$15,Paramètres!$A$1:$I$89,3,0)*0.475*44/12</f>
        <v>5.3399994315249536E-5</v>
      </c>
      <c r="EY70" s="22">
        <f t="shared" si="75"/>
        <v>5.9627166096702382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283.20240000000001</v>
      </c>
      <c r="P71" s="13">
        <f t="shared" si="87"/>
        <v>67.643319485855841</v>
      </c>
      <c r="Q71" s="20">
        <f t="shared" si="54"/>
        <v>611.05629477119896</v>
      </c>
      <c r="R71" s="59">
        <f t="shared" si="55"/>
        <v>904.38962810453222</v>
      </c>
      <c r="S71" s="59">
        <f ca="1">AVERAGE(OFFSET($R$3,0,0,'Données projet'!$E$9+1,1))-AVERAGE(OFFSET($H$3,0,0,'Données projet'!$E$9+1,1))</f>
        <v>351.15781452544906</v>
      </c>
      <c r="T71" s="59">
        <f t="shared" si="88"/>
        <v>271.54361159160169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1.1348112124524736</v>
      </c>
      <c r="AA71" s="21">
        <f>EXP(-LN(2)/25)*AA70+(1-EXP(-LN(2)/25))/(LN(2)/25)*Calculateur!V71*Calculateur!X71*VLOOKUP('Données projet'!$B$9,Paramètres!$A$1:$I$89,3,0)*0.475*44/12</f>
        <v>3.9341598756731964</v>
      </c>
      <c r="AB71" s="21">
        <f>EXP(-LN(2)/2)*AB70+(1-EXP(-LN(2)/2))/(LN(2)/2)*V71*Y71*VLOOKUP('Données projet'!$B$9,Paramètres!$A$1:$I$89,3,0)*0.475*44/12</f>
        <v>4.1109727428639679E-5</v>
      </c>
      <c r="AC71" s="22">
        <f t="shared" si="57"/>
        <v>5.0690121978530982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10.199999999999999</v>
      </c>
      <c r="AI71" s="13">
        <f>IF('Données projet'!$A$62&gt;35,AI70+AH71-AQ70,IF(A71&lt;'Données projet'!$A$62,$AF$205^A71,IF(A71='Données projet'!$A$62,'Données projet'!$B$62,AI70+AH71-AQ70)))</f>
        <v>323.59999999999991</v>
      </c>
      <c r="AJ71" s="13">
        <f>AI71*VLOOKUP('Données projet'!$B$10,Paramètres!$A$1:$I$89,3,0)*VLOOKUP('Données projet'!$B$10,Paramètres!$A$1:$I$89,5,0)</f>
        <v>277.64879999999994</v>
      </c>
      <c r="AK71" s="13">
        <f t="shared" si="89"/>
        <v>66.469889139720593</v>
      </c>
      <c r="AL71" s="20">
        <f t="shared" si="58"/>
        <v>599.34005025167983</v>
      </c>
      <c r="AM71" s="59">
        <f t="shared" si="59"/>
        <v>892.6733835850132</v>
      </c>
      <c r="AN71" s="59">
        <f ca="1">AVERAGE(OFFSET($AM$3,0,0,'Données projet'!$E$10+1,1))-AVERAGE(OFFSET($H$3,0,0,'Données projet'!$E$10+1,1))</f>
        <v>405.59933429804329</v>
      </c>
      <c r="AO71" s="59">
        <f t="shared" si="90"/>
        <v>208.64922573363776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1.5277045401853817</v>
      </c>
      <c r="AW71" s="21">
        <f>EXP(-LN(2)/2)*AW70+(1-EXP(-LN(2)/2))/(LN(2)/2)*AQ71*AT71*VLOOKUP('Données projet'!$B$10,Paramètres!$A$1:$I$89,3,0)*0.475*44/12</f>
        <v>1.3510758040237341E-5</v>
      </c>
      <c r="AX71" s="21">
        <f t="shared" si="60"/>
        <v>1.5277180509434221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249.00000000000017</v>
      </c>
      <c r="BE71" s="13">
        <f>BD71*VLOOKUP('Données projet'!$B$11,Paramètres!$A$1:$I$89,3,0)*VLOOKUP('Données projet'!$B$11,Paramètres!$A$1:$I$89,5,0)</f>
        <v>240.83280000000019</v>
      </c>
      <c r="BF71" s="13">
        <f t="shared" si="91"/>
        <v>58.618675319436718</v>
      </c>
      <c r="BG71" s="20">
        <f t="shared" si="61"/>
        <v>521.54465284801927</v>
      </c>
      <c r="BH71" s="59">
        <f t="shared" si="62"/>
        <v>814.87798618135253</v>
      </c>
      <c r="BI71" s="59">
        <f ca="1">AVERAGE(OFFSET($BH$3,0,0,'Données projet'!$E$11+1,1))-AVERAGE(OFFSET($H$3,0,0,'Données projet'!$E$11+1,1))</f>
        <v>293.19327646293601</v>
      </c>
      <c r="BJ71" s="59">
        <f t="shared" si="92"/>
        <v>200.0769581869605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1.15768633981762</v>
      </c>
      <c r="BR71" s="21">
        <f>EXP(-LN(2)/2)*BR70+(1-EXP(-LN(2)/2))/(LN(2)/2)*BL71*BO71*VLOOKUP('Données projet'!$B$11,Paramètres!$A$1:$I$89,3,0)*0.475*44/12</f>
        <v>1.2619398938361938E-5</v>
      </c>
      <c r="BS71" s="22">
        <f t="shared" si="63"/>
        <v>1.1576989592165583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</v>
      </c>
      <c r="BY71" s="12">
        <f>IF('Données projet'!$A$114&gt;35,BY70+BX71-CG70,IF(A71&lt;'Données projet'!$A$114,$BV$205^A71,IF(A71='Données projet'!$A$114,'Données projet'!$B$114,BY70+BX71-CG70)))</f>
        <v>345.80000000000013</v>
      </c>
      <c r="BZ71" s="13">
        <f>BY71*VLOOKUP('Données projet'!$B$12,Paramètres!$A$1:$I$89,3,0)*VLOOKUP('Données projet'!$B$12,Paramètres!$A$1:$I$89,5,0)</f>
        <v>269.7240000000001</v>
      </c>
      <c r="CA71" s="13">
        <f t="shared" si="93"/>
        <v>64.790691635967463</v>
      </c>
      <c r="CB71" s="20">
        <f t="shared" si="64"/>
        <v>582.61308793264345</v>
      </c>
      <c r="CC71" s="59">
        <f t="shared" si="65"/>
        <v>875.94642126597682</v>
      </c>
      <c r="CD71" s="59">
        <f ca="1">AVERAGE(OFFSET($CC$3,0,0,'Données projet'!$E$12+1,1))-AVERAGE(OFFSET($H$3,0,0,'Données projet'!$E$12+1,1))</f>
        <v>295.95249585728561</v>
      </c>
      <c r="CE71" s="59">
        <f t="shared" si="94"/>
        <v>306.85862495052709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0.68130599269775993</v>
      </c>
      <c r="CL71" s="21">
        <f>EXP(-LN(2)/25)*CL70+(1-EXP(-LN(2)/25))/(LN(2)/25)*Calculateur!CG71*Calculateur!CI71*VLOOKUP('Données projet'!$B$12,Paramètres!$A$1:$I$89,3,0)*0.475*44/12</f>
        <v>2.9187530581294667</v>
      </c>
      <c r="CM71" s="21">
        <f>EXP(-LN(2)/2)*CM70+(1-EXP(-LN(2)/2))/(LN(2)/2)*CG71*CJ71*VLOOKUP('Données projet'!$B$12,Paramètres!$A$1:$I$89,3,0)*0.475*44/12</f>
        <v>2.4931296533015891E-5</v>
      </c>
      <c r="CN71" s="22">
        <f t="shared" si="66"/>
        <v>3.6000839821237598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10.199999999999999</v>
      </c>
      <c r="CT71" s="12">
        <f>IF('Données projet'!$A$140&gt;35,CT70+CS71-DB70,IF(A71&lt;'Données projet'!$A$140,$CQ$205^A71,IF(A71='Données projet'!$A$140,'Données projet'!$B$140,CT70+CS71-DB70)))</f>
        <v>323.59999999999991</v>
      </c>
      <c r="CU71" s="17">
        <f>CT71*VLOOKUP('Données projet'!$B$13,Paramètres!$A$1:$I$89,3,0)*VLOOKUP('Données projet'!$B$13,Paramètres!$A$1:$I$89,5,0)</f>
        <v>307.93775999999991</v>
      </c>
      <c r="CV71" s="13">
        <f t="shared" si="95"/>
        <v>72.837985221060251</v>
      </c>
      <c r="CW71" s="20">
        <f t="shared" si="67"/>
        <v>663.18442292667976</v>
      </c>
      <c r="CX71" s="59">
        <f t="shared" si="68"/>
        <v>956.51775626001313</v>
      </c>
      <c r="CY71" s="59">
        <f ca="1">AVERAGE(OFFSET($CX$3,0,0,'Données projet'!$E$13+1,1))-AVERAGE(OFFSET($H$3,0,0,'Données projet'!$E$13+1,1))</f>
        <v>461.10546083340631</v>
      </c>
      <c r="CZ71" s="59">
        <f t="shared" si="96"/>
        <v>233.41883071412587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1.3746720442217009</v>
      </c>
      <c r="DH71" s="21">
        <f>EXP(-LN(2)/2)*DH70+(1-EXP(-LN(2)/2))/(LN(2)/2)*DB71*DE71*VLOOKUP('Données projet'!$B$13,Paramètres!$A$1:$I$89,3,0)*0.475*44/12</f>
        <v>1.4984658917354181E-5</v>
      </c>
      <c r="DI71" s="22">
        <f t="shared" si="69"/>
        <v>1.3746870288806181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258.93503999999984</v>
      </c>
      <c r="DQ71" s="13">
        <f t="shared" si="97"/>
        <v>62.495317322077085</v>
      </c>
      <c r="DR71" s="20">
        <f t="shared" si="70"/>
        <v>559.82453900261726</v>
      </c>
      <c r="DS71" s="59">
        <f t="shared" si="71"/>
        <v>853.15787233595051</v>
      </c>
      <c r="DT71" s="59">
        <f ca="1">AVERAGE(OFFSET($DS$3,0,0,'Données projet'!$E$14+1,1))-AVERAGE(OFFSET($H$3,0,0,'Données projet'!$E$14+1,1))</f>
        <v>296.376932094327</v>
      </c>
      <c r="DU71" s="59">
        <f t="shared" si="98"/>
        <v>350.93658329210882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1.2717711863691517</v>
      </c>
      <c r="EB71" s="21">
        <f>EXP(-LN(2)/25)*EB70+(1-EXP(-LN(2)/25))/(LN(2)/25)*Calculateur!DW71*Calculateur!DY71*VLOOKUP('Données projet'!$B$14,Paramètres!$A$1:$I$89,3,0)*0.475*44/12</f>
        <v>5.91873789806451</v>
      </c>
      <c r="EC71" s="21">
        <f>EXP(-LN(2)/2)*EC70+(1-EXP(-LN(2)/2))/(LN(2)/2)*DW71*DZ71*VLOOKUP('Données projet'!$B$14,Paramètres!$A$1:$I$89,3,0)*0.475*44/12</f>
        <v>4.6749854785073211E-5</v>
      </c>
      <c r="ED71" s="22">
        <f t="shared" si="72"/>
        <v>7.1905558342884461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4.9000000000000004</v>
      </c>
      <c r="EJ71" s="12">
        <f>IF('Données projet'!$A$192&gt;35,EJ70+EI71-ER70,IF(A71&lt;'Données projet'!$A$192,$EG$205^A71,IF(A71='Données projet'!$A$192,'Données projet'!$B$192,EJ70+EI71-ER70)))</f>
        <v>319.19999999999976</v>
      </c>
      <c r="EK71" s="17">
        <f>EJ71*VLOOKUP('Données projet'!$B$15,Paramètres!$A$1:$I$89,3,0)*VLOOKUP('Données projet'!$B$15,Paramètres!$A$1:$I$89,5,0)</f>
        <v>209.13983999999985</v>
      </c>
      <c r="EL71" s="13">
        <f t="shared" si="99"/>
        <v>51.747574219710216</v>
      </c>
      <c r="EM71" s="20">
        <f t="shared" si="73"/>
        <v>454.37891309932837</v>
      </c>
      <c r="EN71" s="59">
        <f t="shared" si="74"/>
        <v>747.71224643266169</v>
      </c>
      <c r="EO71" s="59">
        <f ca="1">AVERAGE(OFFSET($EN$3,0,0,'Données projet'!$E$15+1,1))-AVERAGE(OFFSET($H$3,0,0,'Données projet'!$E$15+1,1))</f>
        <v>231.03244099494077</v>
      </c>
      <c r="EP71" s="59">
        <f t="shared" si="100"/>
        <v>280.29723026390741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1.0271998043750838</v>
      </c>
      <c r="EW71" s="21">
        <f>EXP(-LN(2)/25)*EW70+(1-EXP(-LN(2)/25))/(LN(2)/25)*Calculateur!ER71*Calculateur!ET71*VLOOKUP('Données projet'!$B$15,Paramètres!$A$1:$I$89,3,0)*0.475*44/12</f>
        <v>4.7805190715136421</v>
      </c>
      <c r="EX71" s="21">
        <f>EXP(-LN(2)/2)*EX70+(1-EXP(-LN(2)/2))/(LN(2)/2)*ER71*EU71*VLOOKUP('Données projet'!$B$15,Paramètres!$A$1:$I$89,3,0)*0.475*44/12</f>
        <v>3.7759498095636035E-5</v>
      </c>
      <c r="EY71" s="22">
        <f t="shared" si="75"/>
        <v>5.8077566353868217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290.89320000000004</v>
      </c>
      <c r="P72" s="13">
        <f t="shared" si="87"/>
        <v>69.263916768293996</v>
      </c>
      <c r="Q72" s="20">
        <f t="shared" si="54"/>
        <v>627.27364503811202</v>
      </c>
      <c r="R72" s="59">
        <f t="shared" si="55"/>
        <v>920.60697837144539</v>
      </c>
      <c r="S72" s="59">
        <f ca="1">AVERAGE(OFFSET($R$3,0,0,'Données projet'!$E$9+1,1))-AVERAGE(OFFSET($H$3,0,0,'Données projet'!$E$9+1,1))</f>
        <v>351.15781452544906</v>
      </c>
      <c r="T72" s="59">
        <f t="shared" si="88"/>
        <v>271.54361159160169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1.1125582567427745</v>
      </c>
      <c r="AA72" s="21">
        <f>EXP(-LN(2)/25)*AA71+(1-EXP(-LN(2)/25))/(LN(2)/25)*Calculateur!V72*Calculateur!X72*VLOOKUP('Données projet'!$B$9,Paramètres!$A$1:$I$89,3,0)*0.475*44/12</f>
        <v>3.8265800669844365</v>
      </c>
      <c r="AB72" s="21">
        <f>EXP(-LN(2)/2)*AB71+(1-EXP(-LN(2)/2))/(LN(2)/2)*V72*Y72*VLOOKUP('Données projet'!$B$9,Paramètres!$A$1:$I$89,3,0)*0.475*44/12</f>
        <v>2.9068967037521732E-5</v>
      </c>
      <c r="AC72" s="22">
        <f t="shared" si="57"/>
        <v>4.939167392694249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10.199999999999999</v>
      </c>
      <c r="AI72" s="13">
        <f>IF('Données projet'!$A$62&gt;35,AI71+AH72-AQ71,IF(A72&lt;'Données projet'!$A$62,$AF$205^A72,IF(A72='Données projet'!$A$62,'Données projet'!$B$62,AI71+AH72-AQ71)))</f>
        <v>333.7999999999999</v>
      </c>
      <c r="AJ72" s="13">
        <f>AI72*VLOOKUP('Données projet'!$B$10,Paramètres!$A$1:$I$89,3,0)*VLOOKUP('Données projet'!$B$10,Paramètres!$A$1:$I$89,5,0)</f>
        <v>286.40039999999993</v>
      </c>
      <c r="AK72" s="13">
        <f t="shared" si="89"/>
        <v>68.317813073506414</v>
      </c>
      <c r="AL72" s="20">
        <f t="shared" si="58"/>
        <v>617.80088776969023</v>
      </c>
      <c r="AM72" s="59">
        <f t="shared" si="59"/>
        <v>911.13422110302349</v>
      </c>
      <c r="AN72" s="59">
        <f ca="1">AVERAGE(OFFSET($AM$3,0,0,'Données projet'!$E$10+1,1))-AVERAGE(OFFSET($H$3,0,0,'Données projet'!$E$10+1,1))</f>
        <v>405.59933429804329</v>
      </c>
      <c r="AO72" s="59">
        <f t="shared" si="90"/>
        <v>208.64922573363776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1.4859293791955224</v>
      </c>
      <c r="AW72" s="21">
        <f>EXP(-LN(2)/2)*AW71+(1-EXP(-LN(2)/2))/(LN(2)/2)*AQ72*AT72*VLOOKUP('Données projet'!$B$10,Paramètres!$A$1:$I$89,3,0)*0.475*44/12</f>
        <v>9.5535486292224929E-6</v>
      </c>
      <c r="AX72" s="21">
        <f t="shared" si="60"/>
        <v>1.4859389327441517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256.00000000000017</v>
      </c>
      <c r="BE72" s="13">
        <f>BD72*VLOOKUP('Données projet'!$B$11,Paramètres!$A$1:$I$89,3,0)*VLOOKUP('Données projet'!$B$11,Paramètres!$A$1:$I$89,5,0)</f>
        <v>247.60320000000019</v>
      </c>
      <c r="BF72" s="13">
        <f t="shared" si="91"/>
        <v>60.072414804475471</v>
      </c>
      <c r="BG72" s="20">
        <f t="shared" si="61"/>
        <v>535.86836245112841</v>
      </c>
      <c r="BH72" s="59">
        <f t="shared" si="62"/>
        <v>829.20169578446166</v>
      </c>
      <c r="BI72" s="59">
        <f ca="1">AVERAGE(OFFSET($BH$3,0,0,'Données projet'!$E$11+1,1))-AVERAGE(OFFSET($H$3,0,0,'Données projet'!$E$11+1,1))</f>
        <v>293.19327646293601</v>
      </c>
      <c r="BJ72" s="59">
        <f t="shared" si="92"/>
        <v>200.0769581869605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1.1260293459752286</v>
      </c>
      <c r="BR72" s="21">
        <f>EXP(-LN(2)/2)*BR71+(1-EXP(-LN(2)/2))/(LN(2)/2)*BL72*BO72*VLOOKUP('Données projet'!$B$11,Paramètres!$A$1:$I$89,3,0)*0.475*44/12</f>
        <v>8.9232625638140448E-6</v>
      </c>
      <c r="BS72" s="22">
        <f t="shared" si="63"/>
        <v>1.1260382692377924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</v>
      </c>
      <c r="BY72" s="12">
        <f>IF('Données projet'!$A$114&gt;35,BY71+BX72-CG71,IF(A72&lt;'Données projet'!$A$114,$BV$205^A72,IF(A72='Données projet'!$A$114,'Données projet'!$B$114,BY71+BX72-CG71)))</f>
        <v>354.90000000000015</v>
      </c>
      <c r="BZ72" s="13">
        <f>BY72*VLOOKUP('Données projet'!$B$12,Paramètres!$A$1:$I$89,3,0)*VLOOKUP('Données projet'!$B$12,Paramètres!$A$1:$I$89,5,0)</f>
        <v>276.82200000000012</v>
      </c>
      <c r="CA72" s="13">
        <f t="shared" si="93"/>
        <v>66.294960598643797</v>
      </c>
      <c r="CB72" s="20">
        <f t="shared" si="64"/>
        <v>597.59537304263813</v>
      </c>
      <c r="CC72" s="59">
        <f t="shared" si="65"/>
        <v>890.92870637597139</v>
      </c>
      <c r="CD72" s="59">
        <f ca="1">AVERAGE(OFFSET($CC$3,0,0,'Données projet'!$E$12+1,1))-AVERAGE(OFFSET($H$3,0,0,'Données projet'!$E$12+1,1))</f>
        <v>295.95249585728561</v>
      </c>
      <c r="CE72" s="59">
        <f t="shared" si="94"/>
        <v>306.85862495052709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0.6679459977365797</v>
      </c>
      <c r="CL72" s="21">
        <f>EXP(-LN(2)/25)*CL71+(1-EXP(-LN(2)/25))/(LN(2)/25)*Calculateur!CG72*Calculateur!CI72*VLOOKUP('Données projet'!$B$12,Paramètres!$A$1:$I$89,3,0)*0.475*44/12</f>
        <v>2.838939602264364</v>
      </c>
      <c r="CM72" s="21">
        <f>EXP(-LN(2)/2)*CM71+(1-EXP(-LN(2)/2))/(LN(2)/2)*CG72*CJ72*VLOOKUP('Données projet'!$B$12,Paramètres!$A$1:$I$89,3,0)*0.475*44/12</f>
        <v>1.7629088842268198E-5</v>
      </c>
      <c r="CN72" s="22">
        <f t="shared" si="66"/>
        <v>3.5069032290897857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10.199999999999999</v>
      </c>
      <c r="CT72" s="12">
        <f>IF('Données projet'!$A$140&gt;35,CT71+CS72-DB71,IF(A72&lt;'Données projet'!$A$140,$CQ$205^A72,IF(A72='Données projet'!$A$140,'Données projet'!$B$140,CT71+CS72-DB71)))</f>
        <v>333.7999999999999</v>
      </c>
      <c r="CU72" s="17">
        <f>CT72*VLOOKUP('Données projet'!$B$13,Paramètres!$A$1:$I$89,3,0)*VLOOKUP('Données projet'!$B$13,Paramètres!$A$1:$I$89,5,0)</f>
        <v>317.64407999999992</v>
      </c>
      <c r="CV72" s="13">
        <f t="shared" si="95"/>
        <v>74.862948071469148</v>
      </c>
      <c r="CW72" s="20">
        <f t="shared" si="67"/>
        <v>683.61640722447521</v>
      </c>
      <c r="CX72" s="59">
        <f t="shared" si="68"/>
        <v>976.94974055780858</v>
      </c>
      <c r="CY72" s="59">
        <f ca="1">AVERAGE(OFFSET($CX$3,0,0,'Données projet'!$E$13+1,1))-AVERAGE(OFFSET($H$3,0,0,'Données projet'!$E$13+1,1))</f>
        <v>461.10546083340631</v>
      </c>
      <c r="CZ72" s="59">
        <f t="shared" si="96"/>
        <v>233.41883071412587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1.3370815648815975</v>
      </c>
      <c r="DH72" s="21">
        <f>EXP(-LN(2)/2)*DH71+(1-EXP(-LN(2)/2))/(LN(2)/2)*DB72*DE72*VLOOKUP('Données projet'!$B$13,Paramètres!$A$1:$I$89,3,0)*0.475*44/12</f>
        <v>1.0595753934228612E-5</v>
      </c>
      <c r="DI72" s="22">
        <f t="shared" si="69"/>
        <v>1.3370921606355317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262.90991999999983</v>
      </c>
      <c r="DQ72" s="13">
        <f t="shared" si="97"/>
        <v>63.342252947711806</v>
      </c>
      <c r="DR72" s="20">
        <f t="shared" si="70"/>
        <v>568.22253455059774</v>
      </c>
      <c r="DS72" s="59">
        <f t="shared" si="71"/>
        <v>861.55586788393111</v>
      </c>
      <c r="DT72" s="59">
        <f ca="1">AVERAGE(OFFSET($DS$3,0,0,'Données projet'!$E$14+1,1))-AVERAGE(OFFSET($H$3,0,0,'Données projet'!$E$14+1,1))</f>
        <v>296.376932094327</v>
      </c>
      <c r="DU72" s="59">
        <f t="shared" si="98"/>
        <v>350.93658329210882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1.2468325291082818</v>
      </c>
      <c r="EB72" s="21">
        <f>EXP(-LN(2)/25)*EB71+(1-EXP(-LN(2)/25))/(LN(2)/25)*Calculateur!DW72*Calculateur!DY72*VLOOKUP('Données projet'!$B$14,Paramètres!$A$1:$I$89,3,0)*0.475*44/12</f>
        <v>5.7568896989890375</v>
      </c>
      <c r="EC72" s="21">
        <f>EXP(-LN(2)/2)*EC71+(1-EXP(-LN(2)/2))/(LN(2)/2)*DW72*DZ72*VLOOKUP('Données projet'!$B$14,Paramètres!$A$1:$I$89,3,0)*0.475*44/12</f>
        <v>3.3057139338011634E-5</v>
      </c>
      <c r="ED72" s="22">
        <f t="shared" si="72"/>
        <v>7.0037552852366574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4.9000000000000004</v>
      </c>
      <c r="EJ72" s="12">
        <f>IF('Données projet'!$A$192&gt;35,EJ71+EI72-ER71,IF(A72&lt;'Données projet'!$A$192,$EG$205^A72,IF(A72='Données projet'!$A$192,'Données projet'!$B$192,EJ71+EI72-ER71)))</f>
        <v>324.09999999999974</v>
      </c>
      <c r="EK72" s="17">
        <f>EJ72*VLOOKUP('Données projet'!$B$15,Paramètres!$A$1:$I$89,3,0)*VLOOKUP('Données projet'!$B$15,Paramètres!$A$1:$I$89,5,0)</f>
        <v>212.35031999999981</v>
      </c>
      <c r="EL72" s="13">
        <f t="shared" si="99"/>
        <v>52.448856588131193</v>
      </c>
      <c r="EM72" s="20">
        <f t="shared" si="73"/>
        <v>461.19189922432815</v>
      </c>
      <c r="EN72" s="59">
        <f t="shared" si="74"/>
        <v>754.52523255766141</v>
      </c>
      <c r="EO72" s="59">
        <f ca="1">AVERAGE(OFFSET($EN$3,0,0,'Données projet'!$E$15+1,1))-AVERAGE(OFFSET($H$3,0,0,'Données projet'!$E$15+1,1))</f>
        <v>231.03244099494077</v>
      </c>
      <c r="EP72" s="59">
        <f t="shared" si="100"/>
        <v>280.29723026390741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1.0070570427413044</v>
      </c>
      <c r="EW72" s="21">
        <f>EXP(-LN(2)/25)*EW71+(1-EXP(-LN(2)/25))/(LN(2)/25)*Calculateur!ER72*Calculateur!ET72*VLOOKUP('Données projet'!$B$15,Paramètres!$A$1:$I$89,3,0)*0.475*44/12</f>
        <v>4.64979552610653</v>
      </c>
      <c r="EX72" s="21">
        <f>EXP(-LN(2)/2)*EX71+(1-EXP(-LN(2)/2))/(LN(2)/2)*ER72*EU72*VLOOKUP('Données projet'!$B$15,Paramètres!$A$1:$I$89,3,0)*0.475*44/12</f>
        <v>2.6699997157624768E-5</v>
      </c>
      <c r="EY72" s="22">
        <f t="shared" si="75"/>
        <v>5.6568792688449916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298.58399999999995</v>
      </c>
      <c r="P73" s="13">
        <f t="shared" si="87"/>
        <v>70.879533797607607</v>
      </c>
      <c r="Q73" s="20">
        <f t="shared" si="54"/>
        <v>643.48232136416652</v>
      </c>
      <c r="R73" s="59">
        <f t="shared" si="55"/>
        <v>936.81565469749989</v>
      </c>
      <c r="S73" s="59">
        <f ca="1">AVERAGE(OFFSET($R$3,0,0,'Données projet'!$E$9+1,1))-AVERAGE(OFFSET($H$3,0,0,'Données projet'!$E$9+1,1))</f>
        <v>351.15781452544906</v>
      </c>
      <c r="T73" s="59">
        <f t="shared" si="88"/>
        <v>271.54361159160169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1.0907416679215798</v>
      </c>
      <c r="AA73" s="21">
        <f>EXP(-LN(2)/25)*AA72+(1-EXP(-LN(2)/25))/(LN(2)/25)*Calculateur!V73*Calculateur!X73*VLOOKUP('Données projet'!$B$9,Paramètres!$A$1:$I$89,3,0)*0.475*44/12</f>
        <v>3.7219420338216471</v>
      </c>
      <c r="AB73" s="21">
        <f>EXP(-LN(2)/2)*AB72+(1-EXP(-LN(2)/2))/(LN(2)/2)*V73*Y73*VLOOKUP('Données projet'!$B$9,Paramètres!$A$1:$I$89,3,0)*0.475*44/12</f>
        <v>2.0554863714319843E-5</v>
      </c>
      <c r="AC73" s="22">
        <f t="shared" si="57"/>
        <v>4.8127042566069411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344</v>
      </c>
      <c r="AG73" s="12">
        <f>VLOOKUP(A73,'Données projet'!$A$61:$I$81,9,0)</f>
        <v>10.199999999999999</v>
      </c>
      <c r="AH73" s="12">
        <f t="array" ref="AH73">INDEX(AG:AG,MIN(IF(ISNUMBER(AG73:AG269),ROW(AG73:AG269),"")))</f>
        <v>10.199999999999999</v>
      </c>
      <c r="AI73" s="13">
        <f>IF('Données projet'!$A$62&gt;35,AI72+AH73-AQ72,IF(A73&lt;'Données projet'!$A$62,$AF$205^A73,IF(A73='Données projet'!$A$62,'Données projet'!$B$62,AI72+AH73-AQ72)))</f>
        <v>343.99999999999989</v>
      </c>
      <c r="AJ73" s="13">
        <f>AI73*VLOOKUP('Données projet'!$B$10,Paramètres!$A$1:$I$89,3,0)*VLOOKUP('Données projet'!$B$10,Paramètres!$A$1:$I$89,5,0)</f>
        <v>295.15199999999993</v>
      </c>
      <c r="AK73" s="13">
        <f t="shared" si="89"/>
        <v>70.159174796274201</v>
      </c>
      <c r="AL73" s="20">
        <f t="shared" si="58"/>
        <v>636.25029610351078</v>
      </c>
      <c r="AM73" s="59">
        <f t="shared" si="59"/>
        <v>929.58362943684415</v>
      </c>
      <c r="AN73" s="59">
        <f ca="1">AVERAGE(OFFSET($AM$3,0,0,'Données projet'!$E$10+1,1))-AVERAGE(OFFSET($H$3,0,0,'Données projet'!$E$10+1,1))</f>
        <v>405.59933429804329</v>
      </c>
      <c r="AO73" s="59">
        <f t="shared" si="90"/>
        <v>208.64922573363776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1.4452965621797909</v>
      </c>
      <c r="AW73" s="21">
        <f>EXP(-LN(2)/2)*AW72+(1-EXP(-LN(2)/2))/(LN(2)/2)*AQ73*AT73*VLOOKUP('Données projet'!$B$10,Paramètres!$A$1:$I$89,3,0)*0.475*44/12</f>
        <v>6.7553790201186704E-6</v>
      </c>
      <c r="AX73" s="21">
        <f t="shared" si="60"/>
        <v>1.445303317558811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263.00000000000017</v>
      </c>
      <c r="BE73" s="13">
        <f>BD73*VLOOKUP('Données projet'!$B$11,Paramètres!$A$1:$I$89,3,0)*VLOOKUP('Données projet'!$B$11,Paramètres!$A$1:$I$89,5,0)</f>
        <v>254.37360000000018</v>
      </c>
      <c r="BF73" s="13">
        <f t="shared" si="91"/>
        <v>61.521534056516209</v>
      </c>
      <c r="BG73" s="20">
        <f t="shared" si="61"/>
        <v>550.18402514843262</v>
      </c>
      <c r="BH73" s="59">
        <f t="shared" si="62"/>
        <v>843.517358481766</v>
      </c>
      <c r="BI73" s="59">
        <f ca="1">AVERAGE(OFFSET($BH$3,0,0,'Données projet'!$E$11+1,1))-AVERAGE(OFFSET($H$3,0,0,'Données projet'!$E$11+1,1))</f>
        <v>293.19327646293601</v>
      </c>
      <c r="BJ73" s="59">
        <f t="shared" si="92"/>
        <v>200.0769581869605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1.0952380142942262</v>
      </c>
      <c r="BR73" s="21">
        <f>EXP(-LN(2)/2)*BR72+(1-EXP(-LN(2)/2))/(LN(2)/2)*BL73*BO73*VLOOKUP('Données projet'!$B$11,Paramètres!$A$1:$I$89,3,0)*0.475*44/12</f>
        <v>6.309699469180969E-6</v>
      </c>
      <c r="BS73" s="22">
        <f t="shared" si="63"/>
        <v>1.0952443239936953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364</v>
      </c>
      <c r="BW73" s="12">
        <f>VLOOKUP(A73,'Données projet'!$A$113:$I$133,9,0)</f>
        <v>9.1</v>
      </c>
      <c r="BX73" s="12">
        <f t="array" ref="BX73">INDEX(BW:BW,MIN(IF(ISNUMBER(BW73:BW269),ROW(BW73:BW269),"")))</f>
        <v>9.1</v>
      </c>
      <c r="BY73" s="12">
        <f>IF('Données projet'!$A$114&gt;35,BY72+BX73-CG72,IF(A73&lt;'Données projet'!$A$114,$BV$205^A73,IF(A73='Données projet'!$A$114,'Données projet'!$B$114,BY72+BX73-CG72)))</f>
        <v>364.00000000000017</v>
      </c>
      <c r="BZ73" s="13">
        <f>BY73*VLOOKUP('Données projet'!$B$12,Paramètres!$A$1:$I$89,3,0)*VLOOKUP('Données projet'!$B$12,Paramètres!$A$1:$I$89,5,0)</f>
        <v>283.92000000000013</v>
      </c>
      <c r="CA73" s="13">
        <f t="shared" si="93"/>
        <v>67.794746071143635</v>
      </c>
      <c r="CB73" s="20">
        <f t="shared" si="64"/>
        <v>612.56984940724203</v>
      </c>
      <c r="CC73" s="59">
        <f t="shared" si="65"/>
        <v>905.9031827405754</v>
      </c>
      <c r="CD73" s="59">
        <f ca="1">AVERAGE(OFFSET($CC$3,0,0,'Données projet'!$E$12+1,1))-AVERAGE(OFFSET($H$3,0,0,'Données projet'!$E$12+1,1))</f>
        <v>295.95249585728561</v>
      </c>
      <c r="CE73" s="59">
        <f t="shared" si="94"/>
        <v>306.85862495052709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69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0.65484798412779588</v>
      </c>
      <c r="CL73" s="21">
        <f>EXP(-LN(2)/25)*CL72+(1-EXP(-LN(2)/25))/(LN(2)/25)*Calculateur!CG73*Calculateur!CI73*VLOOKUP('Données projet'!$B$12,Paramètres!$A$1:$I$89,3,0)*0.475*44/12</f>
        <v>2.7613086495470998</v>
      </c>
      <c r="CM73" s="21">
        <f>EXP(-LN(2)/2)*CM72+(1-EXP(-LN(2)/2))/(LN(2)/2)*CG73*CJ73*VLOOKUP('Données projet'!$B$12,Paramètres!$A$1:$I$89,3,0)*0.475*44/12</f>
        <v>1.2465648266507945E-5</v>
      </c>
      <c r="CN73" s="22">
        <f t="shared" si="66"/>
        <v>3.4161690993231622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344</v>
      </c>
      <c r="CR73" s="12">
        <f>VLOOKUP(A73,'Données projet'!$A$139:$I$159,9,0)</f>
        <v>10.199999999999999</v>
      </c>
      <c r="CS73" s="12">
        <f t="array" ref="CS73">INDEX(CR:CR,MIN(IF(ISNUMBER(CR73:CR269),ROW(CR73:CR269),"")))</f>
        <v>10.199999999999999</v>
      </c>
      <c r="CT73" s="12">
        <f>IF('Données projet'!$A$140&gt;35,CT72+CS73-DB72,IF(A73&lt;'Données projet'!$A$140,$CQ$205^A73,IF(A73='Données projet'!$A$140,'Données projet'!$B$140,CT72+CS73-DB72)))</f>
        <v>343.99999999999989</v>
      </c>
      <c r="CU73" s="17">
        <f>CT73*VLOOKUP('Données projet'!$B$13,Paramètres!$A$1:$I$89,3,0)*VLOOKUP('Données projet'!$B$13,Paramètres!$A$1:$I$89,5,0)</f>
        <v>327.35039999999987</v>
      </c>
      <c r="CV73" s="13">
        <f t="shared" si="95"/>
        <v>76.880720023332373</v>
      </c>
      <c r="CW73" s="20">
        <f t="shared" si="67"/>
        <v>704.03586737397018</v>
      </c>
      <c r="CX73" s="59">
        <f t="shared" si="68"/>
        <v>997.36920070730343</v>
      </c>
      <c r="CY73" s="59">
        <f ca="1">AVERAGE(OFFSET($CX$3,0,0,'Données projet'!$E$13+1,1))-AVERAGE(OFFSET($H$3,0,0,'Données projet'!$E$13+1,1))</f>
        <v>461.10546083340631</v>
      </c>
      <c r="CZ73" s="59">
        <f t="shared" si="96"/>
        <v>233.41883071412587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56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1.3005189991758466</v>
      </c>
      <c r="DH73" s="21">
        <f>EXP(-LN(2)/2)*DH72+(1-EXP(-LN(2)/2))/(LN(2)/2)*DB73*DE73*VLOOKUP('Données projet'!$B$13,Paramètres!$A$1:$I$89,3,0)*0.475*44/12</f>
        <v>7.492329458677092E-6</v>
      </c>
      <c r="DI73" s="22">
        <f t="shared" si="69"/>
        <v>1.3005264915053052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266.88479999999981</v>
      </c>
      <c r="DQ73" s="13">
        <f t="shared" si="97"/>
        <v>64.187699363705633</v>
      </c>
      <c r="DR73" s="20">
        <f t="shared" si="70"/>
        <v>576.617936391787</v>
      </c>
      <c r="DS73" s="59">
        <f t="shared" si="71"/>
        <v>869.95126972512026</v>
      </c>
      <c r="DT73" s="59">
        <f ca="1">AVERAGE(OFFSET($DS$3,0,0,'Données projet'!$E$14+1,1))-AVERAGE(OFFSET($H$3,0,0,'Données projet'!$E$14+1,1))</f>
        <v>296.376932094327</v>
      </c>
      <c r="DU73" s="59">
        <f t="shared" si="98"/>
        <v>350.93658329210882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1.2223829037052187</v>
      </c>
      <c r="EB73" s="21">
        <f>EXP(-LN(2)/25)*EB72+(1-EXP(-LN(2)/25))/(LN(2)/25)*Calculateur!DW73*Calculateur!DY73*VLOOKUP('Données projet'!$B$14,Paramètres!$A$1:$I$89,3,0)*0.475*44/12</f>
        <v>5.5994672474285103</v>
      </c>
      <c r="EC73" s="21">
        <f>EXP(-LN(2)/2)*EC72+(1-EXP(-LN(2)/2))/(LN(2)/2)*DW73*DZ73*VLOOKUP('Données projet'!$B$14,Paramètres!$A$1:$I$89,3,0)*0.475*44/12</f>
        <v>2.3374927392536605E-5</v>
      </c>
      <c r="ED73" s="22">
        <f t="shared" si="72"/>
        <v>6.8218735260611219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329</v>
      </c>
      <c r="EH73" s="12">
        <f>VLOOKUP(A73,'Données projet'!$A$191:$I$211,9,0)</f>
        <v>4.9000000000000004</v>
      </c>
      <c r="EI73" s="12">
        <f t="array" ref="EI73">INDEX(EH:EH,MIN(IF(ISNUMBER(EH73:EH269),ROW(EH73:EH269),"")))</f>
        <v>4.9000000000000004</v>
      </c>
      <c r="EJ73" s="12">
        <f>IF('Données projet'!$A$192&gt;35,EJ72+EI73-ER72,IF(A73&lt;'Données projet'!$A$192,$EG$205^A73,IF(A73='Données projet'!$A$192,'Données projet'!$B$192,EJ72+EI73-ER72)))</f>
        <v>328.99999999999972</v>
      </c>
      <c r="EK73" s="17">
        <f>EJ73*VLOOKUP('Données projet'!$B$15,Paramètres!$A$1:$I$89,3,0)*VLOOKUP('Données projet'!$B$15,Paramètres!$A$1:$I$89,5,0)</f>
        <v>215.5607999999998</v>
      </c>
      <c r="EL73" s="13">
        <f t="shared" si="99"/>
        <v>53.1489058563822</v>
      </c>
      <c r="EM73" s="20">
        <f t="shared" si="73"/>
        <v>468.00273769986529</v>
      </c>
      <c r="EN73" s="59">
        <f t="shared" si="74"/>
        <v>761.33607103319855</v>
      </c>
      <c r="EO73" s="59">
        <f ca="1">AVERAGE(OFFSET($EN$3,0,0,'Données projet'!$E$15+1,1))-AVERAGE(OFFSET($H$3,0,0,'Données projet'!$E$15+1,1))</f>
        <v>231.03244099494077</v>
      </c>
      <c r="EP73" s="59">
        <f t="shared" si="100"/>
        <v>280.29723026390741</v>
      </c>
      <c r="EQ73" s="15">
        <f>IF(ISNA(VLOOKUP(A73,'Données projet'!$A$191:$I$211,3,0)),0,VLOOKUP(A73,'Données projet'!$A$191:$I$211,3,0))</f>
        <v>7</v>
      </c>
      <c r="ER73" s="15">
        <f>IF(ISNA(VLOOKUP(A73,'Données projet'!$A$191:$I$211,4,0)),0,VLOOKUP(A73,'Données projet'!$A$191:$I$211,4,0))</f>
        <v>26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0.98730926837729194</v>
      </c>
      <c r="EW73" s="21">
        <f>EXP(-LN(2)/25)*EW72+(1-EXP(-LN(2)/25))/(LN(2)/25)*Calculateur!ER73*Calculateur!ET73*VLOOKUP('Données projet'!$B$15,Paramètres!$A$1:$I$89,3,0)*0.475*44/12</f>
        <v>4.5226466229230278</v>
      </c>
      <c r="EX73" s="21">
        <f>EXP(-LN(2)/2)*EX72+(1-EXP(-LN(2)/2))/(LN(2)/2)*ER73*EU73*VLOOKUP('Données projet'!$B$15,Paramètres!$A$1:$I$89,3,0)*0.475*44/12</f>
        <v>1.8879749047818017E-5</v>
      </c>
      <c r="EY73" s="22">
        <f t="shared" si="75"/>
        <v>5.5099747710493672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254.61071999999999</v>
      </c>
      <c r="P74" s="13">
        <f t="shared" si="87"/>
        <v>61.572204587965679</v>
      </c>
      <c r="Q74" s="20">
        <f t="shared" si="54"/>
        <v>550.68526032404009</v>
      </c>
      <c r="R74" s="59">
        <f t="shared" si="55"/>
        <v>844.01859365737346</v>
      </c>
      <c r="S74" s="59">
        <f ca="1">AVERAGE(OFFSET($R$3,0,0,'Données projet'!$E$9+1,1))-AVERAGE(OFFSET($H$3,0,0,'Données projet'!$E$9+1,1))</f>
        <v>351.15781452544906</v>
      </c>
      <c r="T74" s="59">
        <f t="shared" si="88"/>
        <v>271.54361159160169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1.0693528891003634</v>
      </c>
      <c r="AA74" s="21">
        <f>EXP(-LN(2)/25)*AA73+(1-EXP(-LN(2)/25))/(LN(2)/25)*Calculateur!V74*Calculateur!X74*VLOOKUP('Données projet'!$B$9,Paramètres!$A$1:$I$89,3,0)*0.475*44/12</f>
        <v>3.6201653331783694</v>
      </c>
      <c r="AB74" s="21">
        <f>EXP(-LN(2)/2)*AB73+(1-EXP(-LN(2)/2))/(LN(2)/2)*V74*Y74*VLOOKUP('Données projet'!$B$9,Paramètres!$A$1:$I$89,3,0)*0.475*44/12</f>
        <v>1.4534483518760868E-5</v>
      </c>
      <c r="AC74" s="22">
        <f t="shared" si="57"/>
        <v>4.6895327567622518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9.1</v>
      </c>
      <c r="AI74" s="13">
        <f>IF('Données projet'!$A$62&gt;35,AI73+AH74-AQ73,IF(A74&lt;'Données projet'!$A$62,$AF$205^A74,IF(A74='Données projet'!$A$62,'Données projet'!$B$62,AI73+AH74-AQ73)))</f>
        <v>297.09999999999991</v>
      </c>
      <c r="AJ74" s="13">
        <f>AI74*VLOOKUP('Données projet'!$B$10,Paramètres!$A$1:$I$89,3,0)*VLOOKUP('Données projet'!$B$10,Paramètres!$A$1:$I$89,5,0)</f>
        <v>254.91179999999997</v>
      </c>
      <c r="AK74" s="13">
        <f t="shared" si="89"/>
        <v>61.636534914573033</v>
      </c>
      <c r="AL74" s="20">
        <f t="shared" si="58"/>
        <v>551.32168330954789</v>
      </c>
      <c r="AM74" s="59">
        <f t="shared" si="59"/>
        <v>844.65501664288126</v>
      </c>
      <c r="AN74" s="59">
        <f ca="1">AVERAGE(OFFSET($AM$3,0,0,'Données projet'!$E$10+1,1))-AVERAGE(OFFSET($H$3,0,0,'Données projet'!$E$10+1,1))</f>
        <v>405.59933429804329</v>
      </c>
      <c r="AO74" s="59">
        <f t="shared" si="90"/>
        <v>208.64922573363776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1.4057748516821416</v>
      </c>
      <c r="AW74" s="21">
        <f>EXP(-LN(2)/2)*AW73+(1-EXP(-LN(2)/2))/(LN(2)/2)*AQ74*AT74*VLOOKUP('Données projet'!$B$10,Paramètres!$A$1:$I$89,3,0)*0.475*44/12</f>
        <v>4.7767743146112464E-6</v>
      </c>
      <c r="AX74" s="21">
        <f t="shared" si="60"/>
        <v>1.4057796284564561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227.10000000000019</v>
      </c>
      <c r="BE74" s="13">
        <f>BD74*VLOOKUP('Données projet'!$B$11,Paramètres!$A$1:$I$89,3,0)*VLOOKUP('Données projet'!$B$11,Paramètres!$A$1:$I$89,5,0)</f>
        <v>219.65112000000016</v>
      </c>
      <c r="BF74" s="13">
        <f t="shared" si="91"/>
        <v>54.0390513737551</v>
      </c>
      <c r="BG74" s="20">
        <f t="shared" si="61"/>
        <v>476.67704847595706</v>
      </c>
      <c r="BH74" s="59">
        <f t="shared" si="62"/>
        <v>770.01038180929038</v>
      </c>
      <c r="BI74" s="59">
        <f ca="1">AVERAGE(OFFSET($BH$3,0,0,'Données projet'!$E$11+1,1))-AVERAGE(OFFSET($H$3,0,0,'Données projet'!$E$11+1,1))</f>
        <v>293.19327646293601</v>
      </c>
      <c r="BJ74" s="59">
        <f t="shared" si="92"/>
        <v>200.0769581869605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1.0652886731972866</v>
      </c>
      <c r="BR74" s="21">
        <f>EXP(-LN(2)/2)*BR73+(1-EXP(-LN(2)/2))/(LN(2)/2)*BL74*BO74*VLOOKUP('Données projet'!$B$11,Paramètres!$A$1:$I$89,3,0)*0.475*44/12</f>
        <v>4.4616312819070224E-6</v>
      </c>
      <c r="BS74" s="22">
        <f t="shared" si="63"/>
        <v>1.0652931348285686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8.5</v>
      </c>
      <c r="BY74" s="12">
        <f>IF('Données projet'!$A$114&gt;35,BY73+BX74-CG73,IF(A74&lt;'Données projet'!$A$114,$BV$205^A74,IF(A74='Données projet'!$A$114,'Données projet'!$B$114,BY73+BX74-CG73)))</f>
        <v>303.50000000000017</v>
      </c>
      <c r="BZ74" s="13">
        <f>BY74*VLOOKUP('Données projet'!$B$12,Paramètres!$A$1:$I$89,3,0)*VLOOKUP('Données projet'!$B$12,Paramètres!$A$1:$I$89,5,0)</f>
        <v>236.73000000000013</v>
      </c>
      <c r="CA74" s="13">
        <f t="shared" si="93"/>
        <v>57.735413300792672</v>
      </c>
      <c r="CB74" s="20">
        <f t="shared" si="64"/>
        <v>512.86059483221413</v>
      </c>
      <c r="CC74" s="59">
        <f t="shared" si="65"/>
        <v>806.1939281655475</v>
      </c>
      <c r="CD74" s="59">
        <f ca="1">AVERAGE(OFFSET($CC$3,0,0,'Données projet'!$E$12+1,1))-AVERAGE(OFFSET($H$3,0,0,'Données projet'!$E$12+1,1))</f>
        <v>295.95249585728561</v>
      </c>
      <c r="CE74" s="59">
        <f t="shared" si="94"/>
        <v>306.85862495052709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0.64200681457688091</v>
      </c>
      <c r="CL74" s="21">
        <f>EXP(-LN(2)/25)*CL73+(1-EXP(-LN(2)/25))/(LN(2)/25)*Calculateur!CG74*Calculateur!CI74*VLOOKUP('Données projet'!$B$12,Paramètres!$A$1:$I$89,3,0)*0.475*44/12</f>
        <v>2.6858005193143235</v>
      </c>
      <c r="CM74" s="21">
        <f>EXP(-LN(2)/2)*CM73+(1-EXP(-LN(2)/2))/(LN(2)/2)*CG74*CJ74*VLOOKUP('Données projet'!$B$12,Paramètres!$A$1:$I$89,3,0)*0.475*44/12</f>
        <v>8.814544421134099E-6</v>
      </c>
      <c r="CN74" s="22">
        <f t="shared" si="66"/>
        <v>3.3278161484356255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9.1</v>
      </c>
      <c r="CT74" s="12">
        <f>IF('Données projet'!$A$140&gt;35,CT73+CS74-DB73,IF(A74&lt;'Données projet'!$A$140,$CQ$205^A74,IF(A74='Données projet'!$A$140,'Données projet'!$B$140,CT73+CS74-DB73)))</f>
        <v>297.09999999999991</v>
      </c>
      <c r="CU74" s="17">
        <f>CT74*VLOOKUP('Données projet'!$B$13,Paramètres!$A$1:$I$89,3,0)*VLOOKUP('Données projet'!$B$13,Paramètres!$A$1:$I$89,5,0)</f>
        <v>282.72035999999991</v>
      </c>
      <c r="CV74" s="13">
        <f t="shared" si="95"/>
        <v>67.541575249931327</v>
      </c>
      <c r="CW74" s="20">
        <f t="shared" si="67"/>
        <v>610.0395372269636</v>
      </c>
      <c r="CX74" s="59">
        <f t="shared" si="68"/>
        <v>903.37287056029686</v>
      </c>
      <c r="CY74" s="59">
        <f ca="1">AVERAGE(OFFSET($CX$3,0,0,'Données projet'!$E$13+1,1))-AVERAGE(OFFSET($H$3,0,0,'Données projet'!$E$13+1,1))</f>
        <v>461.10546083340631</v>
      </c>
      <c r="CZ74" s="59">
        <f t="shared" si="96"/>
        <v>233.41883071412587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1.2649562387520612</v>
      </c>
      <c r="DH74" s="21">
        <f>EXP(-LN(2)/2)*DH73+(1-EXP(-LN(2)/2))/(LN(2)/2)*DB74*DE74*VLOOKUP('Données projet'!$B$13,Paramètres!$A$1:$I$89,3,0)*0.475*44/12</f>
        <v>5.2978769671143068E-6</v>
      </c>
      <c r="DI74" s="22">
        <f t="shared" si="69"/>
        <v>1.2649615366290283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248.95727999999977</v>
      </c>
      <c r="DQ74" s="13">
        <f t="shared" si="97"/>
        <v>60.362603772817359</v>
      </c>
      <c r="DR74" s="20">
        <f t="shared" si="70"/>
        <v>538.73213090432318</v>
      </c>
      <c r="DS74" s="59">
        <f t="shared" si="71"/>
        <v>832.06546423765644</v>
      </c>
      <c r="DT74" s="59">
        <f ca="1">AVERAGE(OFFSET($DS$3,0,0,'Données projet'!$E$14+1,1))-AVERAGE(OFFSET($H$3,0,0,'Données projet'!$E$14+1,1))</f>
        <v>296.376932094327</v>
      </c>
      <c r="DU74" s="59">
        <f t="shared" si="98"/>
        <v>350.93658329210882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1.1984127205435107</v>
      </c>
      <c r="EB74" s="21">
        <f>EXP(-LN(2)/25)*EB73+(1-EXP(-LN(2)/25))/(LN(2)/25)*Calculateur!DW74*Calculateur!DY74*VLOOKUP('Données projet'!$B$14,Paramètres!$A$1:$I$89,3,0)*0.475*44/12</f>
        <v>5.4463495210843931</v>
      </c>
      <c r="EC74" s="21">
        <f>EXP(-LN(2)/2)*EC73+(1-EXP(-LN(2)/2))/(LN(2)/2)*DW74*DZ74*VLOOKUP('Données projet'!$B$14,Paramètres!$A$1:$I$89,3,0)*0.475*44/12</f>
        <v>1.6528569669005817E-5</v>
      </c>
      <c r="ED74" s="22">
        <f t="shared" si="72"/>
        <v>6.6447787701975729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3.9</v>
      </c>
      <c r="EJ74" s="12">
        <f>IF('Données projet'!$A$192&gt;35,EJ73+EI74-ER73,IF(A74&lt;'Données projet'!$A$192,$EG$205^A74,IF(A74='Données projet'!$A$192,'Données projet'!$B$192,EJ73+EI74-ER73)))</f>
        <v>306.89999999999969</v>
      </c>
      <c r="EK74" s="17">
        <f>EJ74*VLOOKUP('Données projet'!$B$15,Paramètres!$A$1:$I$89,3,0)*VLOOKUP('Données projet'!$B$15,Paramètres!$A$1:$I$89,5,0)</f>
        <v>201.08087999999978</v>
      </c>
      <c r="EL74" s="13">
        <f t="shared" si="99"/>
        <v>49.981637867856342</v>
      </c>
      <c r="EM74" s="20">
        <f t="shared" si="73"/>
        <v>437.26721861984942</v>
      </c>
      <c r="EN74" s="59">
        <f t="shared" si="74"/>
        <v>730.60055195318273</v>
      </c>
      <c r="EO74" s="59">
        <f ca="1">AVERAGE(OFFSET($EN$3,0,0,'Données projet'!$E$15+1,1))-AVERAGE(OFFSET($H$3,0,0,'Données projet'!$E$15+1,1))</f>
        <v>231.03244099494077</v>
      </c>
      <c r="EP74" s="59">
        <f t="shared" si="100"/>
        <v>280.29723026390741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0.96794873582360474</v>
      </c>
      <c r="EW74" s="21">
        <f>EXP(-LN(2)/25)*EW73+(1-EXP(-LN(2)/25))/(LN(2)/25)*Calculateur!ER74*Calculateur!ET74*VLOOKUP('Données projet'!$B$15,Paramètres!$A$1:$I$89,3,0)*0.475*44/12</f>
        <v>4.3989746131835483</v>
      </c>
      <c r="EX74" s="21">
        <f>EXP(-LN(2)/2)*EX73+(1-EXP(-LN(2)/2))/(LN(2)/2)*ER74*EU74*VLOOKUP('Données projet'!$B$15,Paramètres!$A$1:$I$89,3,0)*0.475*44/12</f>
        <v>1.3349998578812384E-5</v>
      </c>
      <c r="EY74" s="22">
        <f t="shared" si="75"/>
        <v>5.3669366990057314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261.30623999999995</v>
      </c>
      <c r="P75" s="13">
        <f t="shared" si="87"/>
        <v>63.000734275359598</v>
      </c>
      <c r="Q75" s="20">
        <f t="shared" si="54"/>
        <v>564.83464686291791</v>
      </c>
      <c r="R75" s="59">
        <f t="shared" si="55"/>
        <v>858.16798019625116</v>
      </c>
      <c r="S75" s="59">
        <f ca="1">AVERAGE(OFFSET($R$3,0,0,'Données projet'!$E$9+1,1))-AVERAGE(OFFSET($H$3,0,0,'Données projet'!$E$9+1,1))</f>
        <v>351.15781452544906</v>
      </c>
      <c r="T75" s="59">
        <f t="shared" si="88"/>
        <v>271.54361159160169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1.0483835311859642</v>
      </c>
      <c r="AA75" s="21">
        <f>EXP(-LN(2)/25)*AA74+(1-EXP(-LN(2)/25))/(LN(2)/25)*Calculateur!V75*Calculateur!X75*VLOOKUP('Données projet'!$B$9,Paramètres!$A$1:$I$89,3,0)*0.475*44/12</f>
        <v>3.521171721766386</v>
      </c>
      <c r="AB75" s="21">
        <f>EXP(-LN(2)/2)*AB74+(1-EXP(-LN(2)/2))/(LN(2)/2)*V75*Y75*VLOOKUP('Données projet'!$B$9,Paramètres!$A$1:$I$89,3,0)*0.475*44/12</f>
        <v>1.0277431857159923E-5</v>
      </c>
      <c r="AC75" s="22">
        <f t="shared" si="57"/>
        <v>4.5695655303842075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9.1</v>
      </c>
      <c r="AI75" s="13">
        <f>IF('Données projet'!$A$62&gt;35,AI74+AH75-AQ74,IF(A75&lt;'Données projet'!$A$62,$AF$205^A75,IF(A75='Données projet'!$A$62,'Données projet'!$B$62,AI74+AH75-AQ74)))</f>
        <v>306.19999999999993</v>
      </c>
      <c r="AJ75" s="13">
        <f>AI75*VLOOKUP('Données projet'!$B$10,Paramètres!$A$1:$I$89,3,0)*VLOOKUP('Données projet'!$B$10,Paramètres!$A$1:$I$89,5,0)</f>
        <v>262.71959999999996</v>
      </c>
      <c r="AK75" s="13">
        <f t="shared" si="89"/>
        <v>63.30173523029687</v>
      </c>
      <c r="AL75" s="20">
        <f t="shared" si="58"/>
        <v>567.82049219276689</v>
      </c>
      <c r="AM75" s="59">
        <f t="shared" si="59"/>
        <v>861.15382552610026</v>
      </c>
      <c r="AN75" s="59">
        <f ca="1">AVERAGE(OFFSET($AM$3,0,0,'Données projet'!$E$10+1,1))-AVERAGE(OFFSET($H$3,0,0,'Données projet'!$E$10+1,1))</f>
        <v>405.59933429804329</v>
      </c>
      <c r="AO75" s="59">
        <f t="shared" si="90"/>
        <v>208.64922573363776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1.3673338644364068</v>
      </c>
      <c r="AW75" s="21">
        <f>EXP(-LN(2)/2)*AW74+(1-EXP(-LN(2)/2))/(LN(2)/2)*AQ75*AT75*VLOOKUP('Données projet'!$B$10,Paramètres!$A$1:$I$89,3,0)*0.475*44/12</f>
        <v>3.3776895100593352E-6</v>
      </c>
      <c r="AX75" s="21">
        <f t="shared" si="60"/>
        <v>1.3673372421259169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233.20000000000019</v>
      </c>
      <c r="BE75" s="13">
        <f>BD75*VLOOKUP('Données projet'!$B$11,Paramètres!$A$1:$I$89,3,0)*VLOOKUP('Données projet'!$B$11,Paramètres!$A$1:$I$89,5,0)</f>
        <v>225.5510400000002</v>
      </c>
      <c r="BF75" s="13">
        <f t="shared" si="91"/>
        <v>55.319621520227244</v>
      </c>
      <c r="BG75" s="20">
        <f t="shared" si="61"/>
        <v>489.18306881439611</v>
      </c>
      <c r="BH75" s="59">
        <f t="shared" si="62"/>
        <v>782.51640214772942</v>
      </c>
      <c r="BI75" s="59">
        <f ca="1">AVERAGE(OFFSET($BH$3,0,0,'Données projet'!$E$11+1,1))-AVERAGE(OFFSET($H$3,0,0,'Données projet'!$E$11+1,1))</f>
        <v>293.19327646293601</v>
      </c>
      <c r="BJ75" s="59">
        <f t="shared" si="92"/>
        <v>200.0769581869605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1.0361582984076103</v>
      </c>
      <c r="BR75" s="21">
        <f>EXP(-LN(2)/2)*BR74+(1-EXP(-LN(2)/2))/(LN(2)/2)*BL75*BO75*VLOOKUP('Données projet'!$B$11,Paramètres!$A$1:$I$89,3,0)*0.475*44/12</f>
        <v>3.1548497345904845E-6</v>
      </c>
      <c r="BS75" s="22">
        <f t="shared" si="63"/>
        <v>1.0361614532573449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8.5</v>
      </c>
      <c r="BY75" s="12">
        <f>IF('Données projet'!$A$114&gt;35,BY74+BX75-CG74,IF(A75&lt;'Données projet'!$A$114,$BV$205^A75,IF(A75='Données projet'!$A$114,'Données projet'!$B$114,BY74+BX75-CG74)))</f>
        <v>312.00000000000017</v>
      </c>
      <c r="BZ75" s="13">
        <f>BY75*VLOOKUP('Données projet'!$B$12,Paramètres!$A$1:$I$89,3,0)*VLOOKUP('Données projet'!$B$12,Paramètres!$A$1:$I$89,5,0)</f>
        <v>243.36000000000013</v>
      </c>
      <c r="CA75" s="13">
        <f t="shared" si="93"/>
        <v>59.161864860837184</v>
      </c>
      <c r="CB75" s="20">
        <f t="shared" si="64"/>
        <v>526.89224796595829</v>
      </c>
      <c r="CC75" s="59">
        <f t="shared" si="65"/>
        <v>820.22558129929166</v>
      </c>
      <c r="CD75" s="59">
        <f ca="1">AVERAGE(OFFSET($CC$3,0,0,'Données projet'!$E$12+1,1))-AVERAGE(OFFSET($H$3,0,0,'Données projet'!$E$12+1,1))</f>
        <v>295.95249585728561</v>
      </c>
      <c r="CE75" s="59">
        <f t="shared" si="94"/>
        <v>306.85862495052709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0.62941745252851933</v>
      </c>
      <c r="CL75" s="21">
        <f>EXP(-LN(2)/25)*CL74+(1-EXP(-LN(2)/25))/(LN(2)/25)*Calculateur!CG75*Calculateur!CI75*VLOOKUP('Données projet'!$B$12,Paramètres!$A$1:$I$89,3,0)*0.475*44/12</f>
        <v>2.6123571628735625</v>
      </c>
      <c r="CM75" s="21">
        <f>EXP(-LN(2)/2)*CM74+(1-EXP(-LN(2)/2))/(LN(2)/2)*CG75*CJ75*VLOOKUP('Données projet'!$B$12,Paramètres!$A$1:$I$89,3,0)*0.475*44/12</f>
        <v>6.2328241332539727E-6</v>
      </c>
      <c r="CN75" s="22">
        <f t="shared" si="66"/>
        <v>3.2417808482262149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9.1</v>
      </c>
      <c r="CT75" s="12">
        <f>IF('Données projet'!$A$140&gt;35,CT74+CS75-DB74,IF(A75&lt;'Données projet'!$A$140,$CQ$205^A75,IF(A75='Données projet'!$A$140,'Données projet'!$B$140,CT74+CS75-DB74)))</f>
        <v>306.19999999999993</v>
      </c>
      <c r="CU75" s="17">
        <f>CT75*VLOOKUP('Données projet'!$B$13,Paramètres!$A$1:$I$89,3,0)*VLOOKUP('Données projet'!$B$13,Paramètres!$A$1:$I$89,5,0)</f>
        <v>291.37991999999991</v>
      </c>
      <c r="CV75" s="13">
        <f t="shared" si="95"/>
        <v>69.366308788027794</v>
      </c>
      <c r="CW75" s="20">
        <f t="shared" si="67"/>
        <v>628.29968180581488</v>
      </c>
      <c r="CX75" s="59">
        <f t="shared" si="68"/>
        <v>921.63301513914826</v>
      </c>
      <c r="CY75" s="59">
        <f ca="1">AVERAGE(OFFSET($CX$3,0,0,'Données projet'!$E$13+1,1))-AVERAGE(OFFSET($H$3,0,0,'Données projet'!$E$13+1,1))</f>
        <v>461.10546083340631</v>
      </c>
      <c r="CZ75" s="59">
        <f t="shared" si="96"/>
        <v>233.41883071412587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1.2303659438822285</v>
      </c>
      <c r="DH75" s="21">
        <f>EXP(-LN(2)/2)*DH74+(1-EXP(-LN(2)/2))/(LN(2)/2)*DB75*DE75*VLOOKUP('Données projet'!$B$13,Paramètres!$A$1:$I$89,3,0)*0.475*44/12</f>
        <v>3.7461647293385464E-6</v>
      </c>
      <c r="DI75" s="22">
        <f t="shared" si="69"/>
        <v>1.2303696900469578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252.12095999999977</v>
      </c>
      <c r="DQ75" s="13">
        <f t="shared" si="97"/>
        <v>61.039888967775269</v>
      </c>
      <c r="DR75" s="20">
        <f t="shared" si="70"/>
        <v>545.42181195220826</v>
      </c>
      <c r="DS75" s="59">
        <f t="shared" si="71"/>
        <v>838.75514528554163</v>
      </c>
      <c r="DT75" s="59">
        <f ca="1">AVERAGE(OFFSET($DS$3,0,0,'Données projet'!$E$14+1,1))-AVERAGE(OFFSET($H$3,0,0,'Données projet'!$E$14+1,1))</f>
        <v>296.376932094327</v>
      </c>
      <c r="DU75" s="59">
        <f t="shared" si="98"/>
        <v>350.93658329210882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1.1749125780532357</v>
      </c>
      <c r="EB75" s="21">
        <f>EXP(-LN(2)/25)*EB74+(1-EXP(-LN(2)/25))/(LN(2)/25)*Calculateur!DW75*Calculateur!DY75*VLOOKUP('Données projet'!$B$14,Paramètres!$A$1:$I$89,3,0)*0.475*44/12</f>
        <v>5.2974188070192669</v>
      </c>
      <c r="EC75" s="21">
        <f>EXP(-LN(2)/2)*EC74+(1-EXP(-LN(2)/2))/(LN(2)/2)*DW75*DZ75*VLOOKUP('Données projet'!$B$14,Paramètres!$A$1:$I$89,3,0)*0.475*44/12</f>
        <v>1.1687463696268303E-5</v>
      </c>
      <c r="ED75" s="22">
        <f t="shared" si="72"/>
        <v>6.4723430725361988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3.9</v>
      </c>
      <c r="EJ75" s="12">
        <f>IF('Données projet'!$A$192&gt;35,EJ74+EI75-ER74,IF(A75&lt;'Données projet'!$A$192,$EG$205^A75,IF(A75='Données projet'!$A$192,'Données projet'!$B$192,EJ74+EI75-ER74)))</f>
        <v>310.79999999999967</v>
      </c>
      <c r="EK75" s="17">
        <f>EJ75*VLOOKUP('Données projet'!$B$15,Paramètres!$A$1:$I$89,3,0)*VLOOKUP('Données projet'!$B$15,Paramètres!$A$1:$I$89,5,0)</f>
        <v>203.63615999999979</v>
      </c>
      <c r="EL75" s="13">
        <f t="shared" si="99"/>
        <v>50.542445739482545</v>
      </c>
      <c r="EM75" s="20">
        <f t="shared" si="73"/>
        <v>442.69440499626506</v>
      </c>
      <c r="EN75" s="59">
        <f t="shared" si="74"/>
        <v>736.02773832959838</v>
      </c>
      <c r="EO75" s="59">
        <f ca="1">AVERAGE(OFFSET($EN$3,0,0,'Données projet'!$E$15+1,1))-AVERAGE(OFFSET($H$3,0,0,'Données projet'!$E$15+1,1))</f>
        <v>231.03244099494077</v>
      </c>
      <c r="EP75" s="59">
        <f t="shared" si="100"/>
        <v>280.29723026390741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0.94896785150453644</v>
      </c>
      <c r="EW75" s="21">
        <f>EXP(-LN(2)/25)*EW74+(1-EXP(-LN(2)/25))/(LN(2)/25)*Calculateur!ER75*Calculateur!ET75*VLOOKUP('Données projet'!$B$15,Paramètres!$A$1:$I$89,3,0)*0.475*44/12</f>
        <v>4.2786844210540229</v>
      </c>
      <c r="EX75" s="21">
        <f>EXP(-LN(2)/2)*EX74+(1-EXP(-LN(2)/2))/(LN(2)/2)*ER75*EU75*VLOOKUP('Données projet'!$B$15,Paramètres!$A$1:$I$89,3,0)*0.475*44/12</f>
        <v>9.4398745239090087E-6</v>
      </c>
      <c r="EY75" s="22">
        <f t="shared" si="75"/>
        <v>5.2276617124330835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268.00175999999993</v>
      </c>
      <c r="P76" s="13">
        <f t="shared" si="87"/>
        <v>64.425009159185578</v>
      </c>
      <c r="Q76" s="20">
        <f t="shared" si="54"/>
        <v>578.97662295224802</v>
      </c>
      <c r="R76" s="59">
        <f t="shared" si="55"/>
        <v>872.30995628558139</v>
      </c>
      <c r="S76" s="59">
        <f ca="1">AVERAGE(OFFSET($R$3,0,0,'Données projet'!$E$9+1,1))-AVERAGE(OFFSET($H$3,0,0,'Données projet'!$E$9+1,1))</f>
        <v>351.15781452544906</v>
      </c>
      <c r="T76" s="59">
        <f t="shared" si="88"/>
        <v>271.54361159160169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1.0278253695902209</v>
      </c>
      <c r="AA76" s="21">
        <f>EXP(-LN(2)/25)*AA75+(1-EXP(-LN(2)/25))/(LN(2)/25)*Calculateur!V76*Calculateur!X76*VLOOKUP('Données projet'!$B$9,Paramètres!$A$1:$I$89,3,0)*0.475*44/12</f>
        <v>3.4248850958643113</v>
      </c>
      <c r="AB76" s="21">
        <f>EXP(-LN(2)/2)*AB75+(1-EXP(-LN(2)/2))/(LN(2)/2)*V76*Y76*VLOOKUP('Données projet'!$B$9,Paramètres!$A$1:$I$89,3,0)*0.475*44/12</f>
        <v>7.2672417593804347E-6</v>
      </c>
      <c r="AC76" s="22">
        <f t="shared" si="57"/>
        <v>4.4527177326962919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9.1</v>
      </c>
      <c r="AI76" s="13">
        <f>IF('Données projet'!$A$62&gt;35,AI75+AH76-AQ75,IF(A76&lt;'Données projet'!$A$62,$AF$205^A76,IF(A76='Données projet'!$A$62,'Données projet'!$B$62,AI75+AH76-AQ75)))</f>
        <v>315.29999999999995</v>
      </c>
      <c r="AJ76" s="13">
        <f>AI76*VLOOKUP('Données projet'!$B$10,Paramètres!$A$1:$I$89,3,0)*VLOOKUP('Données projet'!$B$10,Paramètres!$A$1:$I$89,5,0)</f>
        <v>270.5274</v>
      </c>
      <c r="AK76" s="13">
        <f t="shared" si="89"/>
        <v>64.961184163385113</v>
      </c>
      <c r="AL76" s="20">
        <f t="shared" si="58"/>
        <v>584.30928408456236</v>
      </c>
      <c r="AM76" s="59">
        <f t="shared" si="59"/>
        <v>877.64261741789574</v>
      </c>
      <c r="AN76" s="59">
        <f ca="1">AVERAGE(OFFSET($AM$3,0,0,'Données projet'!$E$10+1,1))-AVERAGE(OFFSET($H$3,0,0,'Données projet'!$E$10+1,1))</f>
        <v>405.59933429804329</v>
      </c>
      <c r="AO76" s="59">
        <f t="shared" si="90"/>
        <v>208.64922573363776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1.3299440480084304</v>
      </c>
      <c r="AW76" s="21">
        <f>EXP(-LN(2)/2)*AW75+(1-EXP(-LN(2)/2))/(LN(2)/2)*AQ76*AT76*VLOOKUP('Données projet'!$B$10,Paramètres!$A$1:$I$89,3,0)*0.475*44/12</f>
        <v>2.3883871573056232E-6</v>
      </c>
      <c r="AX76" s="21">
        <f t="shared" si="60"/>
        <v>1.3299464363955877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239.30000000000018</v>
      </c>
      <c r="BE76" s="13">
        <f>BD76*VLOOKUP('Données projet'!$B$11,Paramètres!$A$1:$I$89,3,0)*VLOOKUP('Données projet'!$B$11,Paramètres!$A$1:$I$89,5,0)</f>
        <v>231.45096000000015</v>
      </c>
      <c r="BF76" s="13">
        <f t="shared" si="91"/>
        <v>56.596298087727369</v>
      </c>
      <c r="BG76" s="20">
        <f t="shared" si="61"/>
        <v>501.6823078361254</v>
      </c>
      <c r="BH76" s="59">
        <f t="shared" si="62"/>
        <v>795.01564116945872</v>
      </c>
      <c r="BI76" s="59">
        <f ca="1">AVERAGE(OFFSET($BH$3,0,0,'Données projet'!$E$11+1,1))-AVERAGE(OFFSET($H$3,0,0,'Données projet'!$E$11+1,1))</f>
        <v>293.19327646293601</v>
      </c>
      <c r="BJ76" s="59">
        <f t="shared" si="92"/>
        <v>200.0769581869605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1.0078244952484574</v>
      </c>
      <c r="BR76" s="21">
        <f>EXP(-LN(2)/2)*BR75+(1-EXP(-LN(2)/2))/(LN(2)/2)*BL76*BO76*VLOOKUP('Données projet'!$B$11,Paramètres!$A$1:$I$89,3,0)*0.475*44/12</f>
        <v>2.2308156409535112E-6</v>
      </c>
      <c r="BS76" s="22">
        <f t="shared" si="63"/>
        <v>1.0078267260640983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8.5</v>
      </c>
      <c r="BY76" s="12">
        <f>IF('Données projet'!$A$114&gt;35,BY75+BX76-CG75,IF(A76&lt;'Données projet'!$A$114,$BV$205^A76,IF(A76='Données projet'!$A$114,'Données projet'!$B$114,BY75+BX76-CG75)))</f>
        <v>320.50000000000017</v>
      </c>
      <c r="BZ76" s="13">
        <f>BY76*VLOOKUP('Données projet'!$B$12,Paramètres!$A$1:$I$89,3,0)*VLOOKUP('Données projet'!$B$12,Paramètres!$A$1:$I$89,5,0)</f>
        <v>249.99000000000015</v>
      </c>
      <c r="CA76" s="13">
        <f t="shared" si="93"/>
        <v>60.583799497866167</v>
      </c>
      <c r="CB76" s="20">
        <f t="shared" si="64"/>
        <v>540.91603412545055</v>
      </c>
      <c r="CC76" s="59">
        <f t="shared" si="65"/>
        <v>834.24936745878381</v>
      </c>
      <c r="CD76" s="59">
        <f ca="1">AVERAGE(OFFSET($CC$3,0,0,'Données projet'!$E$12+1,1))-AVERAGE(OFFSET($H$3,0,0,'Données projet'!$E$12+1,1))</f>
        <v>295.95249585728561</v>
      </c>
      <c r="CE76" s="59">
        <f t="shared" si="94"/>
        <v>306.85862495052709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0.61707496019117347</v>
      </c>
      <c r="CL76" s="21">
        <f>EXP(-LN(2)/25)*CL75+(1-EXP(-LN(2)/25))/(LN(2)/25)*Calculateur!CG76*Calculateur!CI76*VLOOKUP('Données projet'!$B$12,Paramètres!$A$1:$I$89,3,0)*0.475*44/12</f>
        <v>2.5409221188768925</v>
      </c>
      <c r="CM76" s="21">
        <f>EXP(-LN(2)/2)*CM75+(1-EXP(-LN(2)/2))/(LN(2)/2)*CG76*CJ76*VLOOKUP('Données projet'!$B$12,Paramètres!$A$1:$I$89,3,0)*0.475*44/12</f>
        <v>4.4072722105670495E-6</v>
      </c>
      <c r="CN76" s="22">
        <f t="shared" si="66"/>
        <v>3.1580014863402766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9.1</v>
      </c>
      <c r="CT76" s="12">
        <f>IF('Données projet'!$A$140&gt;35,CT75+CS76-DB75,IF(A76&lt;'Données projet'!$A$140,$CQ$205^A76,IF(A76='Données projet'!$A$140,'Données projet'!$B$140,CT75+CS76-DB75)))</f>
        <v>315.29999999999995</v>
      </c>
      <c r="CU76" s="17">
        <f>CT76*VLOOKUP('Données projet'!$B$13,Paramètres!$A$1:$I$89,3,0)*VLOOKUP('Données projet'!$B$13,Paramètres!$A$1:$I$89,5,0)</f>
        <v>300.03947999999997</v>
      </c>
      <c r="CV76" s="13">
        <f t="shared" si="95"/>
        <v>71.184739936743995</v>
      </c>
      <c r="CW76" s="20">
        <f t="shared" si="67"/>
        <v>646.54884972316245</v>
      </c>
      <c r="CX76" s="59">
        <f t="shared" si="68"/>
        <v>939.88218305649571</v>
      </c>
      <c r="CY76" s="59">
        <f ca="1">AVERAGE(OFFSET($CX$3,0,0,'Données projet'!$E$13+1,1))-AVERAGE(OFFSET($H$3,0,0,'Données projet'!$E$13+1,1))</f>
        <v>461.10546083340631</v>
      </c>
      <c r="CZ76" s="59">
        <f t="shared" si="96"/>
        <v>233.41883071412587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1.1967215224446361</v>
      </c>
      <c r="DH76" s="21">
        <f>EXP(-LN(2)/2)*DH75+(1-EXP(-LN(2)/2))/(LN(2)/2)*DB76*DE76*VLOOKUP('Données projet'!$B$13,Paramètres!$A$1:$I$89,3,0)*0.475*44/12</f>
        <v>2.6489384835571538E-6</v>
      </c>
      <c r="DI76" s="22">
        <f t="shared" si="69"/>
        <v>1.1967241713831196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255.28463999999974</v>
      </c>
      <c r="DQ76" s="13">
        <f t="shared" si="97"/>
        <v>61.71618560262462</v>
      </c>
      <c r="DR76" s="20">
        <f t="shared" si="70"/>
        <v>552.10977125790407</v>
      </c>
      <c r="DS76" s="59">
        <f t="shared" si="71"/>
        <v>845.44310459123744</v>
      </c>
      <c r="DT76" s="59">
        <f ca="1">AVERAGE(OFFSET($DS$3,0,0,'Données projet'!$E$14+1,1))-AVERAGE(OFFSET($H$3,0,0,'Données projet'!$E$14+1,1))</f>
        <v>296.376932094327</v>
      </c>
      <c r="DU76" s="59">
        <f t="shared" si="98"/>
        <v>350.93658329210882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1.1518732590235234</v>
      </c>
      <c r="EB76" s="21">
        <f>EXP(-LN(2)/25)*EB75+(1-EXP(-LN(2)/25))/(LN(2)/25)*Calculateur!DW76*Calculateur!DY76*VLOOKUP('Données projet'!$B$14,Paramètres!$A$1:$I$89,3,0)*0.475*44/12</f>
        <v>5.1525606111621771</v>
      </c>
      <c r="EC76" s="21">
        <f>EXP(-LN(2)/2)*EC75+(1-EXP(-LN(2)/2))/(LN(2)/2)*DW76*DZ76*VLOOKUP('Données projet'!$B$14,Paramètres!$A$1:$I$89,3,0)*0.475*44/12</f>
        <v>8.2642848345029085E-6</v>
      </c>
      <c r="ED76" s="22">
        <f t="shared" si="72"/>
        <v>6.304442134470535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3.9</v>
      </c>
      <c r="EJ76" s="12">
        <f>IF('Données projet'!$A$192&gt;35,EJ75+EI76-ER75,IF(A76&lt;'Données projet'!$A$192,$EG$205^A76,IF(A76='Données projet'!$A$192,'Données projet'!$B$192,EJ75+EI76-ER75)))</f>
        <v>314.69999999999965</v>
      </c>
      <c r="EK76" s="17">
        <f>EJ76*VLOOKUP('Données projet'!$B$15,Paramètres!$A$1:$I$89,3,0)*VLOOKUP('Données projet'!$B$15,Paramètres!$A$1:$I$89,5,0)</f>
        <v>206.19143999999974</v>
      </c>
      <c r="EL76" s="13">
        <f t="shared" si="99"/>
        <v>51.102435060379094</v>
      </c>
      <c r="EM76" s="20">
        <f t="shared" si="73"/>
        <v>448.12016573015973</v>
      </c>
      <c r="EN76" s="59">
        <f t="shared" si="74"/>
        <v>741.45349906349304</v>
      </c>
      <c r="EO76" s="59">
        <f ca="1">AVERAGE(OFFSET($EN$3,0,0,'Données projet'!$E$15+1,1))-AVERAGE(OFFSET($H$3,0,0,'Données projet'!$E$15+1,1))</f>
        <v>231.03244099494077</v>
      </c>
      <c r="EP76" s="59">
        <f t="shared" si="100"/>
        <v>280.29723026390741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0.93035917074976882</v>
      </c>
      <c r="EW76" s="21">
        <f>EXP(-LN(2)/25)*EW75+(1-EXP(-LN(2)/25))/(LN(2)/25)*Calculateur!ER76*Calculateur!ET76*VLOOKUP('Données projet'!$B$15,Paramètres!$A$1:$I$89,3,0)*0.475*44/12</f>
        <v>4.1616835705540662</v>
      </c>
      <c r="EX76" s="21">
        <f>EXP(-LN(2)/2)*EX75+(1-EXP(-LN(2)/2))/(LN(2)/2)*ER76*EU76*VLOOKUP('Données projet'!$B$15,Paramètres!$A$1:$I$89,3,0)*0.475*44/12</f>
        <v>6.674999289406192E-6</v>
      </c>
      <c r="EY76" s="22">
        <f t="shared" si="75"/>
        <v>5.0920494163031247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274.69727999999992</v>
      </c>
      <c r="P77" s="13">
        <f t="shared" si="87"/>
        <v>65.845147763387502</v>
      </c>
      <c r="Q77" s="20">
        <f t="shared" si="54"/>
        <v>593.11139502123308</v>
      </c>
      <c r="R77" s="59">
        <f t="shared" si="55"/>
        <v>886.44472835456645</v>
      </c>
      <c r="S77" s="59">
        <f ca="1">AVERAGE(OFFSET($R$3,0,0,'Données projet'!$E$9+1,1))-AVERAGE(OFFSET($H$3,0,0,'Données projet'!$E$9+1,1))</f>
        <v>351.15781452544906</v>
      </c>
      <c r="T77" s="59">
        <f t="shared" si="88"/>
        <v>271.54361159160169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1.0076703410041297</v>
      </c>
      <c r="AA77" s="21">
        <f>EXP(-LN(2)/25)*AA76+(1-EXP(-LN(2)/25))/(LN(2)/25)*Calculateur!V77*Calculateur!X77*VLOOKUP('Données projet'!$B$9,Paramètres!$A$1:$I$89,3,0)*0.475*44/12</f>
        <v>3.3312314328110224</v>
      </c>
      <c r="AB77" s="21">
        <f>EXP(-LN(2)/2)*AB76+(1-EXP(-LN(2)/2))/(LN(2)/2)*V77*Y77*VLOOKUP('Données projet'!$B$9,Paramètres!$A$1:$I$89,3,0)*0.475*44/12</f>
        <v>5.1387159285799624E-6</v>
      </c>
      <c r="AC77" s="22">
        <f t="shared" si="57"/>
        <v>4.3389069125310806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9.1</v>
      </c>
      <c r="AI77" s="13">
        <f>IF('Données projet'!$A$62&gt;35,AI76+AH77-AQ76,IF(A77&lt;'Données projet'!$A$62,$AF$205^A77,IF(A77='Données projet'!$A$62,'Données projet'!$B$62,AI76+AH77-AQ76)))</f>
        <v>324.39999999999998</v>
      </c>
      <c r="AJ77" s="13">
        <f>AI77*VLOOKUP('Données projet'!$B$10,Paramètres!$A$1:$I$89,3,0)*VLOOKUP('Données projet'!$B$10,Paramètres!$A$1:$I$89,5,0)</f>
        <v>278.33520000000004</v>
      </c>
      <c r="AK77" s="13">
        <f t="shared" si="89"/>
        <v>66.61506676952348</v>
      </c>
      <c r="AL77" s="20">
        <f t="shared" si="58"/>
        <v>600.78838129025337</v>
      </c>
      <c r="AM77" s="59">
        <f t="shared" si="59"/>
        <v>894.12171462358674</v>
      </c>
      <c r="AN77" s="59">
        <f ca="1">AVERAGE(OFFSET($AM$3,0,0,'Données projet'!$E$10+1,1))-AVERAGE(OFFSET($H$3,0,0,'Données projet'!$E$10+1,1))</f>
        <v>405.59933429804329</v>
      </c>
      <c r="AO77" s="59">
        <f t="shared" si="90"/>
        <v>208.64922573363776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1.2935766580769219</v>
      </c>
      <c r="AW77" s="21">
        <f>EXP(-LN(2)/2)*AW76+(1-EXP(-LN(2)/2))/(LN(2)/2)*AQ77*AT77*VLOOKUP('Données projet'!$B$10,Paramètres!$A$1:$I$89,3,0)*0.475*44/12</f>
        <v>1.6888447550296676E-6</v>
      </c>
      <c r="AX77" s="21">
        <f t="shared" si="60"/>
        <v>1.2935783469216768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245.40000000000018</v>
      </c>
      <c r="BE77" s="13">
        <f>BD77*VLOOKUP('Données projet'!$B$11,Paramètres!$A$1:$I$89,3,0)*VLOOKUP('Données projet'!$B$11,Paramètres!$A$1:$I$89,5,0)</f>
        <v>237.35088000000019</v>
      </c>
      <c r="BF77" s="13">
        <f t="shared" si="91"/>
        <v>57.869191740413591</v>
      </c>
      <c r="BG77" s="20">
        <f t="shared" si="61"/>
        <v>514.17495828122071</v>
      </c>
      <c r="BH77" s="59">
        <f t="shared" si="62"/>
        <v>807.50829161455408</v>
      </c>
      <c r="BI77" s="59">
        <f ca="1">AVERAGE(OFFSET($BH$3,0,0,'Données projet'!$E$11+1,1))-AVERAGE(OFFSET($H$3,0,0,'Données projet'!$E$11+1,1))</f>
        <v>293.19327646293601</v>
      </c>
      <c r="BJ77" s="59">
        <f t="shared" si="92"/>
        <v>200.0769581869605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0.98026548142670156</v>
      </c>
      <c r="BR77" s="21">
        <f>EXP(-LN(2)/2)*BR76+(1-EXP(-LN(2)/2))/(LN(2)/2)*BL77*BO77*VLOOKUP('Données projet'!$B$11,Paramètres!$A$1:$I$89,3,0)*0.475*44/12</f>
        <v>1.5774248672952423E-6</v>
      </c>
      <c r="BS77" s="22">
        <f t="shared" si="63"/>
        <v>0.98026705885156884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8.5</v>
      </c>
      <c r="BY77" s="12">
        <f>IF('Données projet'!$A$114&gt;35,BY76+BX77-CG76,IF(A77&lt;'Données projet'!$A$114,$BV$205^A77,IF(A77='Données projet'!$A$114,'Données projet'!$B$114,BY76+BX77-CG76)))</f>
        <v>329.00000000000017</v>
      </c>
      <c r="BZ77" s="13">
        <f>BY77*VLOOKUP('Données projet'!$B$12,Paramètres!$A$1:$I$89,3,0)*VLOOKUP('Données projet'!$B$12,Paramètres!$A$1:$I$89,5,0)</f>
        <v>256.62000000000012</v>
      </c>
      <c r="CA77" s="13">
        <f t="shared" si="93"/>
        <v>62.001350774926571</v>
      </c>
      <c r="CB77" s="20">
        <f t="shared" si="64"/>
        <v>554.9321859329973</v>
      </c>
      <c r="CC77" s="59">
        <f t="shared" si="65"/>
        <v>848.26551926633056</v>
      </c>
      <c r="CD77" s="59">
        <f ca="1">AVERAGE(OFFSET($CC$3,0,0,'Données projet'!$E$12+1,1))-AVERAGE(OFFSET($H$3,0,0,'Données projet'!$E$12+1,1))</f>
        <v>295.95249585728561</v>
      </c>
      <c r="CE77" s="59">
        <f t="shared" si="94"/>
        <v>306.85862495052709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0.60497449660038594</v>
      </c>
      <c r="CL77" s="21">
        <f>EXP(-LN(2)/25)*CL76+(1-EXP(-LN(2)/25))/(LN(2)/25)*Calculateur!CG77*Calculateur!CI77*VLOOKUP('Données projet'!$B$12,Paramètres!$A$1:$I$89,3,0)*0.475*44/12</f>
        <v>2.4714404699149171</v>
      </c>
      <c r="CM77" s="21">
        <f>EXP(-LN(2)/2)*CM76+(1-EXP(-LN(2)/2))/(LN(2)/2)*CG77*CJ77*VLOOKUP('Données projet'!$B$12,Paramètres!$A$1:$I$89,3,0)*0.475*44/12</f>
        <v>3.1164120666269864E-6</v>
      </c>
      <c r="CN77" s="22">
        <f t="shared" si="66"/>
        <v>3.0764180829273697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9.1</v>
      </c>
      <c r="CT77" s="12">
        <f>IF('Données projet'!$A$140&gt;35,CT76+CS77-DB76,IF(A77&lt;'Données projet'!$A$140,$CQ$205^A77,IF(A77='Données projet'!$A$140,'Données projet'!$B$140,CT76+CS77-DB76)))</f>
        <v>324.39999999999998</v>
      </c>
      <c r="CU77" s="17">
        <f>CT77*VLOOKUP('Données projet'!$B$13,Paramètres!$A$1:$I$89,3,0)*VLOOKUP('Données projet'!$B$13,Paramètres!$A$1:$I$89,5,0)</f>
        <v>308.69903999999997</v>
      </c>
      <c r="CV77" s="13">
        <f t="shared" si="95"/>
        <v>72.997071480882056</v>
      </c>
      <c r="CW77" s="20">
        <f t="shared" si="67"/>
        <v>664.78739416253609</v>
      </c>
      <c r="CX77" s="59">
        <f t="shared" si="68"/>
        <v>958.12072749586946</v>
      </c>
      <c r="CY77" s="59">
        <f ca="1">AVERAGE(OFFSET($CX$3,0,0,'Données projet'!$E$13+1,1))-AVERAGE(OFFSET($H$3,0,0,'Données projet'!$E$13+1,1))</f>
        <v>461.10546083340631</v>
      </c>
      <c r="CZ77" s="59">
        <f t="shared" si="96"/>
        <v>233.41883071412587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1.1639971094805379</v>
      </c>
      <c r="DH77" s="21">
        <f>EXP(-LN(2)/2)*DH76+(1-EXP(-LN(2)/2))/(LN(2)/2)*DB77*DE77*VLOOKUP('Données projet'!$B$13,Paramètres!$A$1:$I$89,3,0)*0.475*44/12</f>
        <v>1.8730823646692734E-6</v>
      </c>
      <c r="DI77" s="22">
        <f t="shared" si="69"/>
        <v>1.1639989825629027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258.44831999999968</v>
      </c>
      <c r="DQ77" s="13">
        <f t="shared" si="97"/>
        <v>62.391507345206676</v>
      </c>
      <c r="DR77" s="20">
        <f t="shared" si="70"/>
        <v>558.79603262623436</v>
      </c>
      <c r="DS77" s="59">
        <f t="shared" si="71"/>
        <v>852.12936595956762</v>
      </c>
      <c r="DT77" s="59">
        <f ca="1">AVERAGE(OFFSET($DS$3,0,0,'Données projet'!$E$14+1,1))-AVERAGE(OFFSET($H$3,0,0,'Données projet'!$E$14+1,1))</f>
        <v>296.376932094327</v>
      </c>
      <c r="DU77" s="59">
        <f t="shared" si="98"/>
        <v>350.93658329210882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1.1292857269873868</v>
      </c>
      <c r="EB77" s="21">
        <f>EXP(-LN(2)/25)*EB76+(1-EXP(-LN(2)/25))/(LN(2)/25)*Calculateur!DW77*Calculateur!DY77*VLOOKUP('Données projet'!$B$14,Paramètres!$A$1:$I$89,3,0)*0.475*44/12</f>
        <v>5.0116635702885608</v>
      </c>
      <c r="EC77" s="21">
        <f>EXP(-LN(2)/2)*EC76+(1-EXP(-LN(2)/2))/(LN(2)/2)*DW77*DZ77*VLOOKUP('Données projet'!$B$14,Paramètres!$A$1:$I$89,3,0)*0.475*44/12</f>
        <v>5.8437318481341513E-6</v>
      </c>
      <c r="ED77" s="22">
        <f t="shared" si="72"/>
        <v>6.1409551410077956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3.9</v>
      </c>
      <c r="EJ77" s="12">
        <f>IF('Données projet'!$A$192&gt;35,EJ76+EI77-ER76,IF(A77&lt;'Données projet'!$A$192,$EG$205^A77,IF(A77='Données projet'!$A$192,'Données projet'!$B$192,EJ76+EI77-ER76)))</f>
        <v>318.59999999999962</v>
      </c>
      <c r="EK77" s="17">
        <f>EJ77*VLOOKUP('Données projet'!$B$15,Paramètres!$A$1:$I$89,3,0)*VLOOKUP('Données projet'!$B$15,Paramètres!$A$1:$I$89,5,0)</f>
        <v>208.74671999999975</v>
      </c>
      <c r="EL77" s="13">
        <f t="shared" si="99"/>
        <v>51.661617147836175</v>
      </c>
      <c r="EM77" s="20">
        <f t="shared" si="73"/>
        <v>453.54452053248087</v>
      </c>
      <c r="EN77" s="59">
        <f t="shared" si="74"/>
        <v>746.87785386581413</v>
      </c>
      <c r="EO77" s="59">
        <f ca="1">AVERAGE(OFFSET($EN$3,0,0,'Données projet'!$E$15+1,1))-AVERAGE(OFFSET($H$3,0,0,'Données projet'!$E$15+1,1))</f>
        <v>231.03244099494077</v>
      </c>
      <c r="EP77" s="59">
        <f t="shared" si="100"/>
        <v>280.29723026390741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0.91211539487442772</v>
      </c>
      <c r="EW77" s="21">
        <f>EXP(-LN(2)/25)*EW76+(1-EXP(-LN(2)/25))/(LN(2)/25)*Calculateur!ER77*Calculateur!ET77*VLOOKUP('Données projet'!$B$15,Paramètres!$A$1:$I$89,3,0)*0.475*44/12</f>
        <v>4.0478821144638379</v>
      </c>
      <c r="EX77" s="21">
        <f>EXP(-LN(2)/2)*EX76+(1-EXP(-LN(2)/2))/(LN(2)/2)*ER77*EU77*VLOOKUP('Données projet'!$B$15,Paramètres!$A$1:$I$89,3,0)*0.475*44/12</f>
        <v>4.7199372619545043E-6</v>
      </c>
      <c r="EY77" s="22">
        <f t="shared" si="75"/>
        <v>4.9600022292755277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281.39279999999985</v>
      </c>
      <c r="P78" s="13">
        <f t="shared" si="87"/>
        <v>67.261262504634658</v>
      </c>
      <c r="Q78" s="20">
        <f t="shared" si="54"/>
        <v>607.23915886223847</v>
      </c>
      <c r="R78" s="59">
        <f t="shared" si="55"/>
        <v>900.57249219557184</v>
      </c>
      <c r="S78" s="59">
        <f ca="1">AVERAGE(OFFSET($R$3,0,0,'Données projet'!$E$9+1,1))-AVERAGE(OFFSET($H$3,0,0,'Données projet'!$E$9+1,1))</f>
        <v>351.15781452544906</v>
      </c>
      <c r="T78" s="59">
        <f t="shared" si="88"/>
        <v>271.54361159160169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0.98791054023525815</v>
      </c>
      <c r="AA78" s="21">
        <f>EXP(-LN(2)/25)*AA77+(1-EXP(-LN(2)/25))/(LN(2)/25)*Calculateur!V78*Calculateur!X78*VLOOKUP('Données projet'!$B$9,Paramètres!$A$1:$I$89,3,0)*0.475*44/12</f>
        <v>3.2401387340989576</v>
      </c>
      <c r="AB78" s="21">
        <f>EXP(-LN(2)/2)*AB77+(1-EXP(-LN(2)/2))/(LN(2)/2)*V78*Y78*VLOOKUP('Données projet'!$B$9,Paramètres!$A$1:$I$89,3,0)*0.475*44/12</f>
        <v>3.6336208796902182E-6</v>
      </c>
      <c r="AC78" s="22">
        <f t="shared" si="57"/>
        <v>4.2280529079550959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</v>
      </c>
      <c r="AI78" s="13">
        <f>IF('Données projet'!$A$62&gt;35,AI77+AH78-AQ77,IF(A78&lt;'Données projet'!$A$62,$AF$205^A78,IF(A78='Données projet'!$A$62,'Données projet'!$B$62,AI77+AH78-AQ77)))</f>
        <v>333.5</v>
      </c>
      <c r="AJ78" s="13">
        <f>AI78*VLOOKUP('Données projet'!$B$10,Paramètres!$A$1:$I$89,3,0)*VLOOKUP('Données projet'!$B$10,Paramètres!$A$1:$I$89,5,0)</f>
        <v>286.14300000000003</v>
      </c>
      <c r="AK78" s="13">
        <f t="shared" si="89"/>
        <v>68.263557131428286</v>
      </c>
      <c r="AL78" s="20">
        <f t="shared" si="58"/>
        <v>617.25808700390428</v>
      </c>
      <c r="AM78" s="59">
        <f t="shared" si="59"/>
        <v>910.59142033723765</v>
      </c>
      <c r="AN78" s="59">
        <f ca="1">AVERAGE(OFFSET($AM$3,0,0,'Données projet'!$E$10+1,1))-AVERAGE(OFFSET($H$3,0,0,'Données projet'!$E$10+1,1))</f>
        <v>405.59933429804329</v>
      </c>
      <c r="AO78" s="59">
        <f t="shared" si="90"/>
        <v>208.64922573363776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1.2582037363355685</v>
      </c>
      <c r="AW78" s="21">
        <f>EXP(-LN(2)/2)*AW77+(1-EXP(-LN(2)/2))/(LN(2)/2)*AQ78*AT78*VLOOKUP('Données projet'!$B$10,Paramètres!$A$1:$I$89,3,0)*0.475*44/12</f>
        <v>1.1941935786528116E-6</v>
      </c>
      <c r="AX78" s="21">
        <f t="shared" si="60"/>
        <v>1.2582049305291472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251.50000000000017</v>
      </c>
      <c r="BE78" s="13">
        <f>BD78*VLOOKUP('Données projet'!$B$11,Paramètres!$A$1:$I$89,3,0)*VLOOKUP('Données projet'!$B$11,Paramètres!$A$1:$I$89,5,0)</f>
        <v>243.25080000000014</v>
      </c>
      <c r="BF78" s="13">
        <f t="shared" si="91"/>
        <v>59.138407327216456</v>
      </c>
      <c r="BG78" s="20">
        <f t="shared" si="61"/>
        <v>526.66120276156892</v>
      </c>
      <c r="BH78" s="59">
        <f t="shared" si="62"/>
        <v>819.99453609490229</v>
      </c>
      <c r="BI78" s="59">
        <f ca="1">AVERAGE(OFFSET($BH$3,0,0,'Données projet'!$E$11+1,1))-AVERAGE(OFFSET($H$3,0,0,'Données projet'!$E$11+1,1))</f>
        <v>293.19327646293601</v>
      </c>
      <c r="BJ78" s="59">
        <f t="shared" si="92"/>
        <v>200.0769581869605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0.95346007028716717</v>
      </c>
      <c r="BR78" s="21">
        <f>EXP(-LN(2)/2)*BR77+(1-EXP(-LN(2)/2))/(LN(2)/2)*BL78*BO78*VLOOKUP('Données projet'!$B$11,Paramètres!$A$1:$I$89,3,0)*0.475*44/12</f>
        <v>1.1154078204767556E-6</v>
      </c>
      <c r="BS78" s="22">
        <f t="shared" si="63"/>
        <v>0.95346118569498761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8.5</v>
      </c>
      <c r="BY78" s="12">
        <f>IF('Données projet'!$A$114&gt;35,BY77+BX78-CG77,IF(A78&lt;'Données projet'!$A$114,$BV$205^A78,IF(A78='Données projet'!$A$114,'Données projet'!$B$114,BY77+BX78-CG77)))</f>
        <v>337.50000000000017</v>
      </c>
      <c r="BZ78" s="13">
        <f>BY78*VLOOKUP('Données projet'!$B$12,Paramètres!$A$1:$I$89,3,0)*VLOOKUP('Données projet'!$B$12,Paramètres!$A$1:$I$89,5,0)</f>
        <v>263.25000000000011</v>
      </c>
      <c r="CA78" s="13">
        <f t="shared" si="93"/>
        <v>63.414644960489447</v>
      </c>
      <c r="CB78" s="20">
        <f t="shared" si="64"/>
        <v>568.94092330618594</v>
      </c>
      <c r="CC78" s="59">
        <f t="shared" si="65"/>
        <v>862.27425663951931</v>
      </c>
      <c r="CD78" s="59">
        <f ca="1">AVERAGE(OFFSET($CC$3,0,0,'Données projet'!$E$12+1,1))-AVERAGE(OFFSET($H$3,0,0,'Données projet'!$E$12+1,1))</f>
        <v>295.95249585728561</v>
      </c>
      <c r="CE78" s="59">
        <f t="shared" si="94"/>
        <v>306.85862495052709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0.59311131572005982</v>
      </c>
      <c r="CL78" s="21">
        <f>EXP(-LN(2)/25)*CL77+(1-EXP(-LN(2)/25))/(LN(2)/25)*Calculateur!CG78*Calculateur!CI78*VLOOKUP('Données projet'!$B$12,Paramètres!$A$1:$I$89,3,0)*0.475*44/12</f>
        <v>2.4038588002976877</v>
      </c>
      <c r="CM78" s="21">
        <f>EXP(-LN(2)/2)*CM77+(1-EXP(-LN(2)/2))/(LN(2)/2)*CG78*CJ78*VLOOKUP('Données projet'!$B$12,Paramètres!$A$1:$I$89,3,0)*0.475*44/12</f>
        <v>2.2036361052835248E-6</v>
      </c>
      <c r="CN78" s="22">
        <f t="shared" si="66"/>
        <v>2.9969723196538527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</v>
      </c>
      <c r="CT78" s="12">
        <f>IF('Données projet'!$A$140&gt;35,CT77+CS78-DB77,IF(A78&lt;'Données projet'!$A$140,$CQ$205^A78,IF(A78='Données projet'!$A$140,'Données projet'!$B$140,CT77+CS78-DB77)))</f>
        <v>333.5</v>
      </c>
      <c r="CU78" s="17">
        <f>CT78*VLOOKUP('Données projet'!$B$13,Paramètres!$A$1:$I$89,3,0)*VLOOKUP('Données projet'!$B$13,Paramètres!$A$1:$I$89,5,0)</f>
        <v>317.35860000000002</v>
      </c>
      <c r="CV78" s="13">
        <f t="shared" si="95"/>
        <v>74.803494181017641</v>
      </c>
      <c r="CW78" s="20">
        <f t="shared" si="67"/>
        <v>683.01564736527234</v>
      </c>
      <c r="CX78" s="59">
        <f t="shared" si="68"/>
        <v>976.3489806986056</v>
      </c>
      <c r="CY78" s="59">
        <f ca="1">AVERAGE(OFFSET($CX$3,0,0,'Données projet'!$E$13+1,1))-AVERAGE(OFFSET($H$3,0,0,'Données projet'!$E$13+1,1))</f>
        <v>461.10546083340631</v>
      </c>
      <c r="CZ78" s="59">
        <f t="shared" si="96"/>
        <v>233.41883071412587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1.1321675473098449</v>
      </c>
      <c r="DH78" s="21">
        <f>EXP(-LN(2)/2)*DH77+(1-EXP(-LN(2)/2))/(LN(2)/2)*DB78*DE78*VLOOKUP('Données projet'!$B$13,Paramètres!$A$1:$I$89,3,0)*0.475*44/12</f>
        <v>1.3244692417785771E-6</v>
      </c>
      <c r="DI78" s="22">
        <f t="shared" si="69"/>
        <v>1.1321688717790868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261.61199999999968</v>
      </c>
      <c r="DQ78" s="13">
        <f t="shared" si="97"/>
        <v>63.065867509496385</v>
      </c>
      <c r="DR78" s="20">
        <f t="shared" si="70"/>
        <v>565.48061924570573</v>
      </c>
      <c r="DS78" s="59">
        <f t="shared" si="71"/>
        <v>858.8139525790391</v>
      </c>
      <c r="DT78" s="59">
        <f ca="1">AVERAGE(OFFSET($DS$3,0,0,'Données projet'!$E$14+1,1))-AVERAGE(OFFSET($H$3,0,0,'Données projet'!$E$14+1,1))</f>
        <v>296.376932094327</v>
      </c>
      <c r="DU78" s="59">
        <f t="shared" si="98"/>
        <v>350.93658329210882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1.1071411226774446</v>
      </c>
      <c r="EB78" s="21">
        <f>EXP(-LN(2)/25)*EB77+(1-EXP(-LN(2)/25))/(LN(2)/25)*Calculateur!DW78*Calculateur!DY78*VLOOKUP('Données projet'!$B$14,Paramètres!$A$1:$I$89,3,0)*0.475*44/12</f>
        <v>4.8746193664070869</v>
      </c>
      <c r="EC78" s="21">
        <f>EXP(-LN(2)/2)*EC77+(1-EXP(-LN(2)/2))/(LN(2)/2)*DW78*DZ78*VLOOKUP('Données projet'!$B$14,Paramètres!$A$1:$I$89,3,0)*0.475*44/12</f>
        <v>4.1321424172514543E-6</v>
      </c>
      <c r="ED78" s="22">
        <f t="shared" si="72"/>
        <v>5.9817646212269491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3.9</v>
      </c>
      <c r="EJ78" s="12">
        <f>IF('Données projet'!$A$192&gt;35,EJ77+EI78-ER77,IF(A78&lt;'Données projet'!$A$192,$EG$205^A78,IF(A78='Données projet'!$A$192,'Données projet'!$B$192,EJ77+EI78-ER77)))</f>
        <v>322.4999999999996</v>
      </c>
      <c r="EK78" s="17">
        <f>EJ78*VLOOKUP('Données projet'!$B$15,Paramètres!$A$1:$I$89,3,0)*VLOOKUP('Données projet'!$B$15,Paramètres!$A$1:$I$89,5,0)</f>
        <v>211.30199999999974</v>
      </c>
      <c r="EL78" s="13">
        <f t="shared" si="99"/>
        <v>52.220003026134087</v>
      </c>
      <c r="EM78" s="20">
        <f t="shared" si="73"/>
        <v>458.96748860384969</v>
      </c>
      <c r="EN78" s="59">
        <f t="shared" si="74"/>
        <v>752.30082193718295</v>
      </c>
      <c r="EO78" s="59">
        <f ca="1">AVERAGE(OFFSET($EN$3,0,0,'Données projet'!$E$15+1,1))-AVERAGE(OFFSET($H$3,0,0,'Données projet'!$E$15+1,1))</f>
        <v>231.03244099494077</v>
      </c>
      <c r="EP78" s="59">
        <f t="shared" si="100"/>
        <v>280.29723026390741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0.89422936831639754</v>
      </c>
      <c r="EW78" s="21">
        <f>EXP(-LN(2)/25)*EW77+(1-EXP(-LN(2)/25))/(LN(2)/25)*Calculateur!ER78*Calculateur!ET78*VLOOKUP('Données projet'!$B$15,Paramètres!$A$1:$I$89,3,0)*0.475*44/12</f>
        <v>3.9371925651749553</v>
      </c>
      <c r="EX78" s="21">
        <f>EXP(-LN(2)/2)*EX77+(1-EXP(-LN(2)/2))/(LN(2)/2)*ER78*EU78*VLOOKUP('Données projet'!$B$15,Paramètres!$A$1:$I$89,3,0)*0.475*44/12</f>
        <v>3.337499644703096E-6</v>
      </c>
      <c r="EY78" s="22">
        <f t="shared" si="75"/>
        <v>4.8314252709909971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288.0883199999999</v>
      </c>
      <c r="P79" s="13">
        <f t="shared" si="87"/>
        <v>68.673460144735557</v>
      </c>
      <c r="Q79" s="20">
        <f t="shared" si="54"/>
        <v>621.36010041874761</v>
      </c>
      <c r="R79" s="59">
        <f t="shared" si="55"/>
        <v>914.69343375208086</v>
      </c>
      <c r="S79" s="59">
        <f ca="1">AVERAGE(OFFSET($R$3,0,0,'Données projet'!$E$9+1,1))-AVERAGE(OFFSET($H$3,0,0,'Données projet'!$E$9+1,1))</f>
        <v>351.15781452544906</v>
      </c>
      <c r="T79" s="59">
        <f t="shared" si="88"/>
        <v>271.54361159160169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0.9685382171071758</v>
      </c>
      <c r="AA79" s="21">
        <f>EXP(-LN(2)/25)*AA78+(1-EXP(-LN(2)/25))/(LN(2)/25)*Calculateur!V79*Calculateur!X79*VLOOKUP('Données projet'!$B$9,Paramètres!$A$1:$I$89,3,0)*0.475*44/12</f>
        <v>3.1515369700235309</v>
      </c>
      <c r="AB79" s="21">
        <f>EXP(-LN(2)/2)*AB78+(1-EXP(-LN(2)/2))/(LN(2)/2)*V79*Y79*VLOOKUP('Données projet'!$B$9,Paramètres!$A$1:$I$89,3,0)*0.475*44/12</f>
        <v>2.5693579642899816E-6</v>
      </c>
      <c r="AC79" s="22">
        <f t="shared" si="57"/>
        <v>4.120077756488671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</v>
      </c>
      <c r="AI79" s="13">
        <f>IF('Données projet'!$A$62&gt;35,AI78+AH79-AQ78,IF(A79&lt;'Données projet'!$A$62,$AF$205^A79,IF(A79='Données projet'!$A$62,'Données projet'!$B$62,AI78+AH79-AQ78)))</f>
        <v>342.6</v>
      </c>
      <c r="AJ79" s="13">
        <f>AI79*VLOOKUP('Données projet'!$B$10,Paramètres!$A$1:$I$89,3,0)*VLOOKUP('Données projet'!$B$10,Paramètres!$A$1:$I$89,5,0)</f>
        <v>293.95080000000007</v>
      </c>
      <c r="AK79" s="13">
        <f t="shared" si="89"/>
        <v>69.906819290922996</v>
      </c>
      <c r="AL79" s="20">
        <f t="shared" si="58"/>
        <v>633.71868693169097</v>
      </c>
      <c r="AM79" s="59">
        <f t="shared" si="59"/>
        <v>927.05202026502434</v>
      </c>
      <c r="AN79" s="59">
        <f ca="1">AVERAGE(OFFSET($AM$3,0,0,'Données projet'!$E$10+1,1))-AVERAGE(OFFSET($H$3,0,0,'Données projet'!$E$10+1,1))</f>
        <v>405.59933429804329</v>
      </c>
      <c r="AO79" s="59">
        <f t="shared" si="90"/>
        <v>208.64922573363776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1.2237980889994136</v>
      </c>
      <c r="AW79" s="21">
        <f>EXP(-LN(2)/2)*AW78+(1-EXP(-LN(2)/2))/(LN(2)/2)*AQ79*AT79*VLOOKUP('Données projet'!$B$10,Paramètres!$A$1:$I$89,3,0)*0.475*44/12</f>
        <v>8.4442237751483381E-7</v>
      </c>
      <c r="AX79" s="21">
        <f t="shared" si="60"/>
        <v>1.2237989334217911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257.60000000000019</v>
      </c>
      <c r="BE79" s="13">
        <f>BD79*VLOOKUP('Données projet'!$B$11,Paramètres!$A$1:$I$89,3,0)*VLOOKUP('Données projet'!$B$11,Paramètres!$A$1:$I$89,5,0)</f>
        <v>249.15072000000021</v>
      </c>
      <c r="BF79" s="13">
        <f t="shared" si="91"/>
        <v>60.404044320946298</v>
      </c>
      <c r="BG79" s="20">
        <f t="shared" si="61"/>
        <v>539.14121452564848</v>
      </c>
      <c r="BH79" s="59">
        <f t="shared" si="62"/>
        <v>832.47454785898185</v>
      </c>
      <c r="BI79" s="59">
        <f ca="1">AVERAGE(OFFSET($BH$3,0,0,'Données projet'!$E$11+1,1))-AVERAGE(OFFSET($H$3,0,0,'Données projet'!$E$11+1,1))</f>
        <v>293.19327646293601</v>
      </c>
      <c r="BJ79" s="59">
        <f t="shared" si="92"/>
        <v>200.0769581869605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0.9273876545248787</v>
      </c>
      <c r="BR79" s="21">
        <f>EXP(-LN(2)/2)*BR78+(1-EXP(-LN(2)/2))/(LN(2)/2)*BL79*BO79*VLOOKUP('Données projet'!$B$11,Paramètres!$A$1:$I$89,3,0)*0.475*44/12</f>
        <v>7.8871243364762113E-7</v>
      </c>
      <c r="BS79" s="22">
        <f t="shared" si="63"/>
        <v>0.9273884432373124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8.5</v>
      </c>
      <c r="BY79" s="12">
        <f>IF('Données projet'!$A$114&gt;35,BY78+BX79-CG78,IF(A79&lt;'Données projet'!$A$114,$BV$205^A79,IF(A79='Données projet'!$A$114,'Données projet'!$B$114,BY78+BX79-CG78)))</f>
        <v>346.00000000000017</v>
      </c>
      <c r="BZ79" s="13">
        <f>BY79*VLOOKUP('Données projet'!$B$12,Paramètres!$A$1:$I$89,3,0)*VLOOKUP('Données projet'!$B$12,Paramètres!$A$1:$I$89,5,0)</f>
        <v>269.88000000000017</v>
      </c>
      <c r="CA79" s="13">
        <f t="shared" si="93"/>
        <v>64.823801600385877</v>
      </c>
      <c r="CB79" s="20">
        <f t="shared" si="64"/>
        <v>582.94245445400566</v>
      </c>
      <c r="CC79" s="59">
        <f t="shared" si="65"/>
        <v>876.27578778733891</v>
      </c>
      <c r="CD79" s="59">
        <f ca="1">AVERAGE(OFFSET($CC$3,0,0,'Données projet'!$E$12+1,1))-AVERAGE(OFFSET($H$3,0,0,'Données projet'!$E$12+1,1))</f>
        <v>295.95249585728561</v>
      </c>
      <c r="CE79" s="59">
        <f t="shared" si="94"/>
        <v>306.85862495052709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0.58148076458097098</v>
      </c>
      <c r="CL79" s="21">
        <f>EXP(-LN(2)/25)*CL78+(1-EXP(-LN(2)/25))/(LN(2)/25)*Calculateur!CG79*Calculateur!CI79*VLOOKUP('Données projet'!$B$12,Paramètres!$A$1:$I$89,3,0)*0.475*44/12</f>
        <v>2.3381251549901072</v>
      </c>
      <c r="CM79" s="21">
        <f>EXP(-LN(2)/2)*CM78+(1-EXP(-LN(2)/2))/(LN(2)/2)*CG79*CJ79*VLOOKUP('Données projet'!$B$12,Paramètres!$A$1:$I$89,3,0)*0.475*44/12</f>
        <v>1.5582060333134932E-6</v>
      </c>
      <c r="CN79" s="22">
        <f t="shared" si="66"/>
        <v>2.9196074777771113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</v>
      </c>
      <c r="CT79" s="12">
        <f>IF('Données projet'!$A$140&gt;35,CT78+CS79-DB78,IF(A79&lt;'Données projet'!$A$140,$CQ$205^A79,IF(A79='Données projet'!$A$140,'Données projet'!$B$140,CT78+CS79-DB78)))</f>
        <v>342.6</v>
      </c>
      <c r="CU79" s="17">
        <f>CT79*VLOOKUP('Données projet'!$B$13,Paramètres!$A$1:$I$89,3,0)*VLOOKUP('Données projet'!$B$13,Paramètres!$A$1:$I$89,5,0)</f>
        <v>326.01816000000002</v>
      </c>
      <c r="CV79" s="13">
        <f t="shared" si="95"/>
        <v>76.604187794873525</v>
      </c>
      <c r="CW79" s="20">
        <f t="shared" si="67"/>
        <v>701.23392240940484</v>
      </c>
      <c r="CX79" s="59">
        <f t="shared" si="68"/>
        <v>994.5672557427381</v>
      </c>
      <c r="CY79" s="59">
        <f ca="1">AVERAGE(OFFSET($CX$3,0,0,'Données projet'!$E$13+1,1))-AVERAGE(OFFSET($H$3,0,0,'Données projet'!$E$13+1,1))</f>
        <v>461.10546083340631</v>
      </c>
      <c r="CZ79" s="59">
        <f t="shared" si="96"/>
        <v>233.41883071412587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1.1012083661905534</v>
      </c>
      <c r="DH79" s="21">
        <f>EXP(-LN(2)/2)*DH78+(1-EXP(-LN(2)/2))/(LN(2)/2)*DB79*DE79*VLOOKUP('Données projet'!$B$13,Paramètres!$A$1:$I$89,3,0)*0.475*44/12</f>
        <v>9.3654118233463693E-7</v>
      </c>
      <c r="DI79" s="22">
        <f t="shared" si="69"/>
        <v>1.1012093027317358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264.77567999999968</v>
      </c>
      <c r="DQ79" s="13">
        <f t="shared" si="97"/>
        <v>63.739279068930102</v>
      </c>
      <c r="DR79" s="20">
        <f t="shared" si="70"/>
        <v>572.16355371171937</v>
      </c>
      <c r="DS79" s="59">
        <f t="shared" si="71"/>
        <v>865.49688704505274</v>
      </c>
      <c r="DT79" s="59">
        <f ca="1">AVERAGE(OFFSET($DS$3,0,0,'Données projet'!$E$14+1,1))-AVERAGE(OFFSET($H$3,0,0,'Données projet'!$E$14+1,1))</f>
        <v>296.376932094327</v>
      </c>
      <c r="DU79" s="59">
        <f t="shared" si="98"/>
        <v>350.93658329210882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1.0854307605511455</v>
      </c>
      <c r="EB79" s="21">
        <f>EXP(-LN(2)/25)*EB78+(1-EXP(-LN(2)/25))/(LN(2)/25)*Calculateur!DW79*Calculateur!DY79*VLOOKUP('Données projet'!$B$14,Paramètres!$A$1:$I$89,3,0)*0.475*44/12</f>
        <v>4.7413226434875941</v>
      </c>
      <c r="EC79" s="21">
        <f>EXP(-LN(2)/2)*EC78+(1-EXP(-LN(2)/2))/(LN(2)/2)*DW79*DZ79*VLOOKUP('Données projet'!$B$14,Paramètres!$A$1:$I$89,3,0)*0.475*44/12</f>
        <v>2.9218659240670757E-6</v>
      </c>
      <c r="ED79" s="22">
        <f t="shared" si="72"/>
        <v>5.8267563259046637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</v>
      </c>
      <c r="EJ79" s="12">
        <f>IF('Données projet'!$A$192&gt;35,EJ78+EI79-ER78,IF(A79&lt;'Données projet'!$A$192,$EG$205^A79,IF(A79='Données projet'!$A$192,'Données projet'!$B$192,EJ78+EI79-ER78)))</f>
        <v>326.39999999999958</v>
      </c>
      <c r="EK79" s="17">
        <f>EJ79*VLOOKUP('Données projet'!$B$15,Paramètres!$A$1:$I$89,3,0)*VLOOKUP('Données projet'!$B$15,Paramètres!$A$1:$I$89,5,0)</f>
        <v>213.85727999999972</v>
      </c>
      <c r="EL79" s="13">
        <f t="shared" si="99"/>
        <v>52.777603437579586</v>
      </c>
      <c r="EM79" s="20">
        <f t="shared" si="73"/>
        <v>464.38908865378403</v>
      </c>
      <c r="EN79" s="59">
        <f t="shared" si="74"/>
        <v>757.72242198711729</v>
      </c>
      <c r="EO79" s="59">
        <f ca="1">AVERAGE(OFFSET($EN$3,0,0,'Données projet'!$E$15+1,1))-AVERAGE(OFFSET($H$3,0,0,'Données projet'!$E$15+1,1))</f>
        <v>231.03244099494077</v>
      </c>
      <c r="EP79" s="59">
        <f t="shared" si="100"/>
        <v>280.29723026390741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0.87669407582977132</v>
      </c>
      <c r="EW79" s="21">
        <f>EXP(-LN(2)/25)*EW78+(1-EXP(-LN(2)/25))/(LN(2)/25)*Calculateur!ER79*Calculateur!ET79*VLOOKUP('Données projet'!$B$15,Paramètres!$A$1:$I$89,3,0)*0.475*44/12</f>
        <v>3.8295298274322875</v>
      </c>
      <c r="EX79" s="21">
        <f>EXP(-LN(2)/2)*EX78+(1-EXP(-LN(2)/2))/(LN(2)/2)*ER79*EU79*VLOOKUP('Données projet'!$B$15,Paramètres!$A$1:$I$89,3,0)*0.475*44/12</f>
        <v>2.3599686309772522E-6</v>
      </c>
      <c r="EY79" s="22">
        <f t="shared" si="75"/>
        <v>4.7062262632306897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294.78383999999983</v>
      </c>
      <c r="P80" s="13">
        <f t="shared" si="87"/>
        <v>70.081842199807596</v>
      </c>
      <c r="Q80" s="20">
        <f t="shared" si="54"/>
        <v>635.47439649799799</v>
      </c>
      <c r="R80" s="59">
        <f t="shared" si="55"/>
        <v>928.80772983133124</v>
      </c>
      <c r="S80" s="59">
        <f ca="1">AVERAGE(OFFSET($R$3,0,0,'Données projet'!$E$9+1,1))-AVERAGE(OFFSET($H$3,0,0,'Données projet'!$E$9+1,1))</f>
        <v>351.15781452544906</v>
      </c>
      <c r="T80" s="59">
        <f t="shared" si="88"/>
        <v>271.54361159160169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0.94954577341968482</v>
      </c>
      <c r="AA80" s="21">
        <f>EXP(-LN(2)/25)*AA79+(1-EXP(-LN(2)/25))/(LN(2)/25)*Calculateur!V80*Calculateur!X80*VLOOKUP('Données projet'!$B$9,Paramètres!$A$1:$I$89,3,0)*0.475*44/12</f>
        <v>3.0653580258461113</v>
      </c>
      <c r="AB80" s="21">
        <f>EXP(-LN(2)/2)*AB79+(1-EXP(-LN(2)/2))/(LN(2)/2)*V80*Y80*VLOOKUP('Données projet'!$B$9,Paramètres!$A$1:$I$89,3,0)*0.475*44/12</f>
        <v>1.8168104398451093E-6</v>
      </c>
      <c r="AC80" s="22">
        <f t="shared" si="57"/>
        <v>4.014905616076236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</v>
      </c>
      <c r="AI80" s="13">
        <f>IF('Données projet'!$A$62&gt;35,AI79+AH80-AQ79,IF(A80&lt;'Données projet'!$A$62,$AF$205^A80,IF(A80='Données projet'!$A$62,'Données projet'!$B$62,AI79+AH80-AQ79)))</f>
        <v>351.70000000000005</v>
      </c>
      <c r="AJ80" s="13">
        <f>AI80*VLOOKUP('Données projet'!$B$10,Paramètres!$A$1:$I$89,3,0)*VLOOKUP('Données projet'!$B$10,Paramètres!$A$1:$I$89,5,0)</f>
        <v>301.75860000000006</v>
      </c>
      <c r="AK80" s="13">
        <f t="shared" si="89"/>
        <v>71.545008079199661</v>
      </c>
      <c r="AL80" s="20">
        <f t="shared" si="58"/>
        <v>650.1704507379394</v>
      </c>
      <c r="AM80" s="59">
        <f t="shared" si="59"/>
        <v>943.50378407127278</v>
      </c>
      <c r="AN80" s="59">
        <f ca="1">AVERAGE(OFFSET($AM$3,0,0,'Données projet'!$E$10+1,1))-AVERAGE(OFFSET($H$3,0,0,'Données projet'!$E$10+1,1))</f>
        <v>405.59933429804329</v>
      </c>
      <c r="AO80" s="59">
        <f t="shared" si="90"/>
        <v>208.64922573363776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1.19033326589898</v>
      </c>
      <c r="AW80" s="21">
        <f>EXP(-LN(2)/2)*AW79+(1-EXP(-LN(2)/2))/(LN(2)/2)*AQ80*AT80*VLOOKUP('Données projet'!$B$10,Paramètres!$A$1:$I$89,3,0)*0.475*44/12</f>
        <v>5.9709678932640581E-7</v>
      </c>
      <c r="AX80" s="21">
        <f t="shared" si="60"/>
        <v>1.1903338629957694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263.70000000000022</v>
      </c>
      <c r="BE80" s="13">
        <f>BD80*VLOOKUP('Données projet'!$B$11,Paramètres!$A$1:$I$89,3,0)*VLOOKUP('Données projet'!$B$11,Paramètres!$A$1:$I$89,5,0)</f>
        <v>255.05064000000024</v>
      </c>
      <c r="BF80" s="13">
        <f t="shared" si="91"/>
        <v>61.666197214635986</v>
      </c>
      <c r="BG80" s="20">
        <f t="shared" si="61"/>
        <v>551.61515814882478</v>
      </c>
      <c r="BH80" s="59">
        <f t="shared" si="62"/>
        <v>844.94849148215803</v>
      </c>
      <c r="BI80" s="59">
        <f ca="1">AVERAGE(OFFSET($BH$3,0,0,'Données projet'!$E$11+1,1))-AVERAGE(OFFSET($H$3,0,0,'Données projet'!$E$11+1,1))</f>
        <v>293.19327646293601</v>
      </c>
      <c r="BJ80" s="59">
        <f t="shared" si="92"/>
        <v>200.0769581869605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0.90202819034269877</v>
      </c>
      <c r="BR80" s="21">
        <f>EXP(-LN(2)/2)*BR79+(1-EXP(-LN(2)/2))/(LN(2)/2)*BL80*BO80*VLOOKUP('Données projet'!$B$11,Paramètres!$A$1:$I$89,3,0)*0.475*44/12</f>
        <v>5.577039102383778E-7</v>
      </c>
      <c r="BS80" s="22">
        <f t="shared" si="63"/>
        <v>0.90202874804660904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8.5</v>
      </c>
      <c r="BY80" s="12">
        <f>IF('Données projet'!$A$114&gt;35,BY79+BX80-CG79,IF(A80&lt;'Données projet'!$A$114,$BV$205^A80,IF(A80='Données projet'!$A$114,'Données projet'!$B$114,BY79+BX80-CG79)))</f>
        <v>354.50000000000017</v>
      </c>
      <c r="BZ80" s="13">
        <f>BY80*VLOOKUP('Données projet'!$B$12,Paramètres!$A$1:$I$89,3,0)*VLOOKUP('Données projet'!$B$12,Paramètres!$A$1:$I$89,5,0)</f>
        <v>276.51000000000016</v>
      </c>
      <c r="CA80" s="13">
        <f t="shared" si="93"/>
        <v>66.228934031958417</v>
      </c>
      <c r="CB80" s="20">
        <f t="shared" si="64"/>
        <v>596.93697677232785</v>
      </c>
      <c r="CC80" s="59">
        <f t="shared" si="65"/>
        <v>890.27031010566111</v>
      </c>
      <c r="CD80" s="59">
        <f ca="1">AVERAGE(OFFSET($CC$3,0,0,'Données projet'!$E$12+1,1))-AVERAGE(OFFSET($H$3,0,0,'Données projet'!$E$12+1,1))</f>
        <v>295.95249585728561</v>
      </c>
      <c r="CE80" s="59">
        <f t="shared" si="94"/>
        <v>306.85862495052709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0.57007828145578399</v>
      </c>
      <c r="CL80" s="21">
        <f>EXP(-LN(2)/25)*CL79+(1-EXP(-LN(2)/25))/(LN(2)/25)*Calculateur!CG80*Calculateur!CI80*VLOOKUP('Données projet'!$B$12,Paramètres!$A$1:$I$89,3,0)*0.475*44/12</f>
        <v>2.2741889996702445</v>
      </c>
      <c r="CM80" s="21">
        <f>EXP(-LN(2)/2)*CM79+(1-EXP(-LN(2)/2))/(LN(2)/2)*CG80*CJ80*VLOOKUP('Données projet'!$B$12,Paramètres!$A$1:$I$89,3,0)*0.475*44/12</f>
        <v>1.1018180526417624E-6</v>
      </c>
      <c r="CN80" s="22">
        <f t="shared" si="66"/>
        <v>2.8442683829440814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</v>
      </c>
      <c r="CT80" s="12">
        <f>IF('Données projet'!$A$140&gt;35,CT79+CS80-DB79,IF(A80&lt;'Données projet'!$A$140,$CQ$205^A80,IF(A80='Données projet'!$A$140,'Données projet'!$B$140,CT79+CS80-DB79)))</f>
        <v>351.70000000000005</v>
      </c>
      <c r="CU80" s="17">
        <f>CT80*VLOOKUP('Données projet'!$B$13,Paramètres!$A$1:$I$89,3,0)*VLOOKUP('Données projet'!$B$13,Paramètres!$A$1:$I$89,5,0)</f>
        <v>334.67772000000008</v>
      </c>
      <c r="CV80" s="13">
        <f t="shared" si="95"/>
        <v>78.399321987123784</v>
      </c>
      <c r="CW80" s="20">
        <f t="shared" si="67"/>
        <v>719.44251479424065</v>
      </c>
      <c r="CX80" s="59">
        <f t="shared" si="68"/>
        <v>1012.7758481275739</v>
      </c>
      <c r="CY80" s="59">
        <f ca="1">AVERAGE(OFFSET($CX$3,0,0,'Données projet'!$E$13+1,1))-AVERAGE(OFFSET($H$3,0,0,'Données projet'!$E$13+1,1))</f>
        <v>461.10546083340631</v>
      </c>
      <c r="CZ80" s="59">
        <f t="shared" si="96"/>
        <v>233.41883071412587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1.0710957655070417</v>
      </c>
      <c r="DH80" s="21">
        <f>EXP(-LN(2)/2)*DH79+(1-EXP(-LN(2)/2))/(LN(2)/2)*DB80*DE80*VLOOKUP('Données projet'!$B$13,Paramètres!$A$1:$I$89,3,0)*0.475*44/12</f>
        <v>6.6223462088928867E-7</v>
      </c>
      <c r="DI80" s="22">
        <f t="shared" si="69"/>
        <v>1.0710964277416626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267.93935999999968</v>
      </c>
      <c r="DQ80" s="13">
        <f t="shared" si="97"/>
        <v>64.411754669078491</v>
      </c>
      <c r="DR80" s="20">
        <f t="shared" si="70"/>
        <v>578.84485804864448</v>
      </c>
      <c r="DS80" s="59">
        <f t="shared" si="71"/>
        <v>872.17819138197774</v>
      </c>
      <c r="DT80" s="59">
        <f ca="1">AVERAGE(OFFSET($DS$3,0,0,'Données projet'!$E$14+1,1))-AVERAGE(OFFSET($H$3,0,0,'Données projet'!$E$14+1,1))</f>
        <v>296.376932094327</v>
      </c>
      <c r="DU80" s="59">
        <f t="shared" si="98"/>
        <v>350.93658329210882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1.0641461253841298</v>
      </c>
      <c r="EB80" s="21">
        <f>EXP(-LN(2)/25)*EB79+(1-EXP(-LN(2)/25))/(LN(2)/25)*Calculateur!DW80*Calculateur!DY80*VLOOKUP('Données projet'!$B$14,Paramètres!$A$1:$I$89,3,0)*0.475*44/12</f>
        <v>4.6116709264661049</v>
      </c>
      <c r="EC80" s="21">
        <f>EXP(-LN(2)/2)*EC79+(1-EXP(-LN(2)/2))/(LN(2)/2)*DW80*DZ80*VLOOKUP('Données projet'!$B$14,Paramètres!$A$1:$I$89,3,0)*0.475*44/12</f>
        <v>2.0660712086257271E-6</v>
      </c>
      <c r="ED80" s="22">
        <f t="shared" si="72"/>
        <v>5.675819117921443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</v>
      </c>
      <c r="EJ80" s="12">
        <f>IF('Données projet'!$A$192&gt;35,EJ79+EI80-ER79,IF(A80&lt;'Données projet'!$A$192,$EG$205^A80,IF(A80='Données projet'!$A$192,'Données projet'!$B$192,EJ79+EI80-ER79)))</f>
        <v>330.29999999999956</v>
      </c>
      <c r="EK80" s="17">
        <f>EJ80*VLOOKUP('Données projet'!$B$15,Paramètres!$A$1:$I$89,3,0)*VLOOKUP('Données projet'!$B$15,Paramètres!$A$1:$I$89,5,0)</f>
        <v>216.4125599999997</v>
      </c>
      <c r="EL80" s="13">
        <f t="shared" si="99"/>
        <v>53.334428852998826</v>
      </c>
      <c r="EM80" s="20">
        <f t="shared" si="73"/>
        <v>469.8093389189724</v>
      </c>
      <c r="EN80" s="59">
        <f t="shared" si="74"/>
        <v>763.14267225230572</v>
      </c>
      <c r="EO80" s="59">
        <f ca="1">AVERAGE(OFFSET($EN$3,0,0,'Données projet'!$E$15+1,1))-AVERAGE(OFFSET($H$3,0,0,'Données projet'!$E$15+1,1))</f>
        <v>231.03244099494077</v>
      </c>
      <c r="EP80" s="59">
        <f t="shared" si="100"/>
        <v>280.29723026390741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0.85950263973333552</v>
      </c>
      <c r="EW80" s="21">
        <f>EXP(-LN(2)/25)*EW79+(1-EXP(-LN(2)/25))/(LN(2)/25)*Calculateur!ER80*Calculateur!ET80*VLOOKUP('Données projet'!$B$15,Paramètres!$A$1:$I$89,3,0)*0.475*44/12</f>
        <v>3.7248111329149305</v>
      </c>
      <c r="EX80" s="21">
        <f>EXP(-LN(2)/2)*EX79+(1-EXP(-LN(2)/2))/(LN(2)/2)*ER80*EU80*VLOOKUP('Données projet'!$B$15,Paramètres!$A$1:$I$89,3,0)*0.475*44/12</f>
        <v>1.668749822351548E-6</v>
      </c>
      <c r="EY80" s="22">
        <f t="shared" si="75"/>
        <v>4.5843154413980889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301.47935999999982</v>
      </c>
      <c r="P81" s="13">
        <f t="shared" si="87"/>
        <v>71.486505311225272</v>
      </c>
      <c r="Q81" s="20">
        <f t="shared" si="54"/>
        <v>649.58221541705041</v>
      </c>
      <c r="R81" s="59">
        <f t="shared" si="55"/>
        <v>942.91554875038378</v>
      </c>
      <c r="S81" s="59">
        <f ca="1">AVERAGE(OFFSET($R$3,0,0,'Données projet'!$E$9+1,1))-AVERAGE(OFFSET($H$3,0,0,'Données projet'!$E$9+1,1))</f>
        <v>351.15781452544906</v>
      </c>
      <c r="T81" s="59">
        <f t="shared" si="88"/>
        <v>271.54361159160169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0.93092575996865867</v>
      </c>
      <c r="AA81" s="21">
        <f>EXP(-LN(2)/25)*AA80+(1-EXP(-LN(2)/25))/(LN(2)/25)*Calculateur!V81*Calculateur!X81*VLOOKUP('Données projet'!$B$9,Paramètres!$A$1:$I$89,3,0)*0.475*44/12</f>
        <v>2.9815356494291767</v>
      </c>
      <c r="AB81" s="21">
        <f>EXP(-LN(2)/2)*AB80+(1-EXP(-LN(2)/2))/(LN(2)/2)*V81*Y81*VLOOKUP('Données projet'!$B$9,Paramètres!$A$1:$I$89,3,0)*0.475*44/12</f>
        <v>1.284678982144991E-6</v>
      </c>
      <c r="AC81" s="22">
        <f t="shared" si="57"/>
        <v>3.9124626940768175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</v>
      </c>
      <c r="AI81" s="13">
        <f>IF('Données projet'!$A$62&gt;35,AI80+AH81-AQ80,IF(A81&lt;'Données projet'!$A$62,$AF$205^A81,IF(A81='Données projet'!$A$62,'Données projet'!$B$62,AI80+AH81-AQ80)))</f>
        <v>360.80000000000007</v>
      </c>
      <c r="AJ81" s="13">
        <f>AI81*VLOOKUP('Données projet'!$B$10,Paramètres!$A$1:$I$89,3,0)*VLOOKUP('Données projet'!$B$10,Paramètres!$A$1:$I$89,5,0)</f>
        <v>309.5664000000001</v>
      </c>
      <c r="AK81" s="13">
        <f t="shared" si="89"/>
        <v>73.178269858732662</v>
      </c>
      <c r="AL81" s="20">
        <f t="shared" si="58"/>
        <v>666.61363333729287</v>
      </c>
      <c r="AM81" s="59">
        <f t="shared" si="59"/>
        <v>959.94696667062613</v>
      </c>
      <c r="AN81" s="59">
        <f ca="1">AVERAGE(OFFSET($AM$3,0,0,'Données projet'!$E$10+1,1))-AVERAGE(OFFSET($H$3,0,0,'Données projet'!$E$10+1,1))</f>
        <v>405.59933429804329</v>
      </c>
      <c r="AO81" s="59">
        <f t="shared" si="90"/>
        <v>208.64922573363776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1.1577835401460665</v>
      </c>
      <c r="AW81" s="21">
        <f>EXP(-LN(2)/2)*AW80+(1-EXP(-LN(2)/2))/(LN(2)/2)*AQ81*AT81*VLOOKUP('Données projet'!$B$10,Paramètres!$A$1:$I$89,3,0)*0.475*44/12</f>
        <v>4.222111887574169E-7</v>
      </c>
      <c r="AX81" s="21">
        <f t="shared" si="60"/>
        <v>1.1577839623572552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269.80000000000024</v>
      </c>
      <c r="BE81" s="13">
        <f>BD81*VLOOKUP('Données projet'!$B$11,Paramètres!$A$1:$I$89,3,0)*VLOOKUP('Données projet'!$B$11,Paramètres!$A$1:$I$89,5,0)</f>
        <v>260.95056000000022</v>
      </c>
      <c r="BF81" s="13">
        <f t="shared" si="91"/>
        <v>62.924955880176995</v>
      </c>
      <c r="BG81" s="20">
        <f t="shared" si="61"/>
        <v>564.0831901579752</v>
      </c>
      <c r="BH81" s="59">
        <f t="shared" si="62"/>
        <v>857.41652349130845</v>
      </c>
      <c r="BI81" s="59">
        <f ca="1">AVERAGE(OFFSET($BH$3,0,0,'Données projet'!$E$11+1,1))-AVERAGE(OFFSET($H$3,0,0,'Données projet'!$E$11+1,1))</f>
        <v>293.19327646293601</v>
      </c>
      <c r="BJ81" s="59">
        <f t="shared" si="92"/>
        <v>200.0769581869605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0.87736218204217675</v>
      </c>
      <c r="BR81" s="21">
        <f>EXP(-LN(2)/2)*BR80+(1-EXP(-LN(2)/2))/(LN(2)/2)*BL81*BO81*VLOOKUP('Données projet'!$B$11,Paramètres!$A$1:$I$89,3,0)*0.475*44/12</f>
        <v>3.9435621682381056E-7</v>
      </c>
      <c r="BS81" s="22">
        <f t="shared" si="63"/>
        <v>0.87736257639839355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8.5</v>
      </c>
      <c r="BY81" s="12">
        <f>IF('Données projet'!$A$114&gt;35,BY80+BX81-CG80,IF(A81&lt;'Données projet'!$A$114,$BV$205^A81,IF(A81='Données projet'!$A$114,'Données projet'!$B$114,BY80+BX81-CG80)))</f>
        <v>363.00000000000017</v>
      </c>
      <c r="BZ81" s="13">
        <f>BY81*VLOOKUP('Données projet'!$B$12,Paramètres!$A$1:$I$89,3,0)*VLOOKUP('Données projet'!$B$12,Paramètres!$A$1:$I$89,5,0)</f>
        <v>283.14000000000016</v>
      </c>
      <c r="CA81" s="13">
        <f t="shared" si="93"/>
        <v>67.630149847512001</v>
      </c>
      <c r="CB81" s="20">
        <f t="shared" si="64"/>
        <v>610.92467765108358</v>
      </c>
      <c r="CC81" s="59">
        <f t="shared" si="65"/>
        <v>904.25801098441684</v>
      </c>
      <c r="CD81" s="59">
        <f ca="1">AVERAGE(OFFSET($CC$3,0,0,'Données projet'!$E$12+1,1))-AVERAGE(OFFSET($H$3,0,0,'Données projet'!$E$12+1,1))</f>
        <v>295.95249585728561</v>
      </c>
      <c r="CE81" s="59">
        <f t="shared" si="94"/>
        <v>306.85862495052709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0.55889939406985389</v>
      </c>
      <c r="CL81" s="21">
        <f>EXP(-LN(2)/25)*CL80+(1-EXP(-LN(2)/25))/(LN(2)/25)*Calculateur!CG81*Calculateur!CI81*VLOOKUP('Données projet'!$B$12,Paramètres!$A$1:$I$89,3,0)*0.475*44/12</f>
        <v>2.2120011818798599</v>
      </c>
      <c r="CM81" s="21">
        <f>EXP(-LN(2)/2)*CM80+(1-EXP(-LN(2)/2))/(LN(2)/2)*CG81*CJ81*VLOOKUP('Données projet'!$B$12,Paramètres!$A$1:$I$89,3,0)*0.475*44/12</f>
        <v>7.7910301665674659E-7</v>
      </c>
      <c r="CN81" s="22">
        <f t="shared" si="66"/>
        <v>2.7709013550527306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</v>
      </c>
      <c r="CT81" s="12">
        <f>IF('Données projet'!$A$140&gt;35,CT80+CS81-DB80,IF(A81&lt;'Données projet'!$A$140,$CQ$205^A81,IF(A81='Données projet'!$A$140,'Données projet'!$B$140,CT80+CS81-DB80)))</f>
        <v>360.80000000000007</v>
      </c>
      <c r="CU81" s="17">
        <f>CT81*VLOOKUP('Données projet'!$B$13,Paramètres!$A$1:$I$89,3,0)*VLOOKUP('Données projet'!$B$13,Paramètres!$A$1:$I$89,5,0)</f>
        <v>343.33728000000008</v>
      </c>
      <c r="CV81" s="13">
        <f t="shared" si="95"/>
        <v>80.18905714238619</v>
      </c>
      <c r="CW81" s="20">
        <f t="shared" si="67"/>
        <v>737.64170385632281</v>
      </c>
      <c r="CX81" s="59">
        <f t="shared" si="68"/>
        <v>1030.9750371896562</v>
      </c>
      <c r="CY81" s="59">
        <f ca="1">AVERAGE(OFFSET($CX$3,0,0,'Données projet'!$E$13+1,1))-AVERAGE(OFFSET($H$3,0,0,'Données projet'!$E$13+1,1))</f>
        <v>461.10546083340631</v>
      </c>
      <c r="CZ81" s="59">
        <f t="shared" si="96"/>
        <v>233.41883071412587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1.0418065954727733</v>
      </c>
      <c r="DH81" s="21">
        <f>EXP(-LN(2)/2)*DH80+(1-EXP(-LN(2)/2))/(LN(2)/2)*DB81*DE81*VLOOKUP('Données projet'!$B$13,Paramètres!$A$1:$I$89,3,0)*0.475*44/12</f>
        <v>4.6827059116731852E-7</v>
      </c>
      <c r="DI81" s="22">
        <f t="shared" si="69"/>
        <v>1.0418070637433645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271.10303999999962</v>
      </c>
      <c r="DQ81" s="13">
        <f t="shared" si="97"/>
        <v>65.083306639703608</v>
      </c>
      <c r="DR81" s="20">
        <f t="shared" si="70"/>
        <v>585.52455373081636</v>
      </c>
      <c r="DS81" s="59">
        <f t="shared" si="71"/>
        <v>878.85788706414974</v>
      </c>
      <c r="DT81" s="59">
        <f ca="1">AVERAGE(OFFSET($DS$3,0,0,'Données projet'!$E$14+1,1))-AVERAGE(OFFSET($H$3,0,0,'Données projet'!$E$14+1,1))</f>
        <v>296.376932094327</v>
      </c>
      <c r="DU81" s="59">
        <f t="shared" si="98"/>
        <v>350.93658329210882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1.0432788689303936</v>
      </c>
      <c r="EB81" s="21">
        <f>EXP(-LN(2)/25)*EB80+(1-EXP(-LN(2)/25))/(LN(2)/25)*Calculateur!DW81*Calculateur!DY81*VLOOKUP('Données projet'!$B$14,Paramètres!$A$1:$I$89,3,0)*0.475*44/12</f>
        <v>4.4855645424646555</v>
      </c>
      <c r="EC81" s="21">
        <f>EXP(-LN(2)/2)*EC80+(1-EXP(-LN(2)/2))/(LN(2)/2)*DW81*DZ81*VLOOKUP('Données projet'!$B$14,Paramètres!$A$1:$I$89,3,0)*0.475*44/12</f>
        <v>1.4609329620335378E-6</v>
      </c>
      <c r="ED81" s="22">
        <f t="shared" si="72"/>
        <v>5.528844872328011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</v>
      </c>
      <c r="EJ81" s="12">
        <f>IF('Données projet'!$A$192&gt;35,EJ80+EI81-ER80,IF(A81&lt;'Données projet'!$A$192,$EG$205^A81,IF(A81='Données projet'!$A$192,'Données projet'!$B$192,EJ80+EI81-ER80)))</f>
        <v>334.19999999999953</v>
      </c>
      <c r="EK81" s="17">
        <f>EJ81*VLOOKUP('Données projet'!$B$15,Paramètres!$A$1:$I$89,3,0)*VLOOKUP('Données projet'!$B$15,Paramètres!$A$1:$I$89,5,0)</f>
        <v>218.96783999999971</v>
      </c>
      <c r="EL81" s="13">
        <f t="shared" si="99"/>
        <v>53.890489481721204</v>
      </c>
      <c r="EM81" s="20">
        <f t="shared" si="73"/>
        <v>475.22825718066389</v>
      </c>
      <c r="EN81" s="59">
        <f t="shared" si="74"/>
        <v>768.5615905139972</v>
      </c>
      <c r="EO81" s="59">
        <f ca="1">AVERAGE(OFFSET($EN$3,0,0,'Données projet'!$E$15+1,1))-AVERAGE(OFFSET($H$3,0,0,'Données projet'!$E$15+1,1))</f>
        <v>231.03244099494077</v>
      </c>
      <c r="EP81" s="59">
        <f t="shared" si="100"/>
        <v>280.29723026390741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0.84264831721301015</v>
      </c>
      <c r="EW81" s="21">
        <f>EXP(-LN(2)/25)*EW80+(1-EXP(-LN(2)/25))/(LN(2)/25)*Calculateur!ER81*Calculateur!ET81*VLOOKUP('Données projet'!$B$15,Paramètres!$A$1:$I$89,3,0)*0.475*44/12</f>
        <v>3.6229559766060673</v>
      </c>
      <c r="EX81" s="21">
        <f>EXP(-LN(2)/2)*EX80+(1-EXP(-LN(2)/2))/(LN(2)/2)*ER81*EU81*VLOOKUP('Données projet'!$B$15,Paramètres!$A$1:$I$89,3,0)*0.475*44/12</f>
        <v>1.1799843154886261E-6</v>
      </c>
      <c r="EY81" s="22">
        <f t="shared" si="75"/>
        <v>4.465605473803393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308.1748799999998</v>
      </c>
      <c r="P82" s="13">
        <f t="shared" si="87"/>
        <v>72.887541582684676</v>
      </c>
      <c r="Q82" s="20">
        <f t="shared" si="54"/>
        <v>663.6837175898421</v>
      </c>
      <c r="R82" s="59">
        <f t="shared" si="55"/>
        <v>957.01705092317547</v>
      </c>
      <c r="S82" s="59">
        <f ca="1">AVERAGE(OFFSET($R$3,0,0,'Données projet'!$E$9+1,1))-AVERAGE(OFFSET($H$3,0,0,'Données projet'!$E$9+1,1))</f>
        <v>351.15781452544906</v>
      </c>
      <c r="T82" s="59">
        <f t="shared" si="88"/>
        <v>271.54361159160169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0.91267087362432042</v>
      </c>
      <c r="AA82" s="21">
        <f>EXP(-LN(2)/25)*AA81+(1-EXP(-LN(2)/25))/(LN(2)/25)*Calculateur!V82*Calculateur!X82*VLOOKUP('Données projet'!$B$9,Paramètres!$A$1:$I$89,3,0)*0.475*44/12</f>
        <v>2.9000054003033906</v>
      </c>
      <c r="AB82" s="21">
        <f>EXP(-LN(2)/2)*AB81+(1-EXP(-LN(2)/2))/(LN(2)/2)*V82*Y82*VLOOKUP('Données projet'!$B$9,Paramètres!$A$1:$I$89,3,0)*0.475*44/12</f>
        <v>9.0840521992255487E-7</v>
      </c>
      <c r="AC82" s="22">
        <f t="shared" si="57"/>
        <v>3.8126771823329308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</v>
      </c>
      <c r="AI82" s="13">
        <f>IF('Données projet'!$A$62&gt;35,AI81+AH82-AQ81,IF(A82&lt;'Données projet'!$A$62,$AF$205^A82,IF(A82='Données projet'!$A$62,'Données projet'!$B$62,AI81+AH82-AQ81)))</f>
        <v>369.90000000000009</v>
      </c>
      <c r="AJ82" s="13">
        <f>AI82*VLOOKUP('Données projet'!$B$10,Paramètres!$A$1:$I$89,3,0)*VLOOKUP('Données projet'!$B$10,Paramètres!$A$1:$I$89,5,0)</f>
        <v>317.37420000000014</v>
      </c>
      <c r="AK82" s="13">
        <f t="shared" si="89"/>
        <v>74.806743188237078</v>
      </c>
      <c r="AL82" s="20">
        <f t="shared" si="58"/>
        <v>683.04847605284647</v>
      </c>
      <c r="AM82" s="59">
        <f t="shared" si="59"/>
        <v>976.38180938617984</v>
      </c>
      <c r="AN82" s="59">
        <f ca="1">AVERAGE(OFFSET($AM$3,0,0,'Données projet'!$E$10+1,1))-AVERAGE(OFFSET($H$3,0,0,'Données projet'!$E$10+1,1))</f>
        <v>405.59933429804329</v>
      </c>
      <c r="AO82" s="59">
        <f t="shared" si="90"/>
        <v>208.64922573363776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1.1261238883555822</v>
      </c>
      <c r="AW82" s="21">
        <f>EXP(-LN(2)/2)*AW81+(1-EXP(-LN(2)/2))/(LN(2)/2)*AQ82*AT82*VLOOKUP('Données projet'!$B$10,Paramètres!$A$1:$I$89,3,0)*0.475*44/12</f>
        <v>2.985483946632029E-7</v>
      </c>
      <c r="AX82" s="21">
        <f t="shared" si="60"/>
        <v>1.1261241869039769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275.90000000000026</v>
      </c>
      <c r="BE82" s="13">
        <f>BD82*VLOOKUP('Données projet'!$B$11,Paramètres!$A$1:$I$89,3,0)*VLOOKUP('Données projet'!$B$11,Paramètres!$A$1:$I$89,5,0)</f>
        <v>266.85048000000029</v>
      </c>
      <c r="BF82" s="13">
        <f t="shared" si="91"/>
        <v>64.180405893607485</v>
      </c>
      <c r="BG82" s="20">
        <f t="shared" si="61"/>
        <v>576.54545959803352</v>
      </c>
      <c r="BH82" s="59">
        <f t="shared" si="62"/>
        <v>869.87879293136689</v>
      </c>
      <c r="BI82" s="59">
        <f ca="1">AVERAGE(OFFSET($BH$3,0,0,'Données projet'!$E$11+1,1))-AVERAGE(OFFSET($H$3,0,0,'Données projet'!$E$11+1,1))</f>
        <v>293.19327646293601</v>
      </c>
      <c r="BJ82" s="59">
        <f t="shared" si="92"/>
        <v>200.0769581869605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0.85337066703576148</v>
      </c>
      <c r="BR82" s="21">
        <f>EXP(-LN(2)/2)*BR81+(1-EXP(-LN(2)/2))/(LN(2)/2)*BL82*BO82*VLOOKUP('Données projet'!$B$11,Paramètres!$A$1:$I$89,3,0)*0.475*44/12</f>
        <v>2.788519551191889E-7</v>
      </c>
      <c r="BS82" s="22">
        <f t="shared" si="63"/>
        <v>0.85337094588771656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8.5</v>
      </c>
      <c r="BY82" s="12">
        <f>IF('Données projet'!$A$114&gt;35,BY81+BX82-CG81,IF(A82&lt;'Données projet'!$A$114,$BV$205^A82,IF(A82='Données projet'!$A$114,'Données projet'!$B$114,BY81+BX82-CG81)))</f>
        <v>371.50000000000017</v>
      </c>
      <c r="BZ82" s="13">
        <f>BY82*VLOOKUP('Données projet'!$B$12,Paramètres!$A$1:$I$89,3,0)*VLOOKUP('Données projet'!$B$12,Paramètres!$A$1:$I$89,5,0)</f>
        <v>289.77000000000015</v>
      </c>
      <c r="CA82" s="13">
        <f t="shared" si="93"/>
        <v>69.027551313132406</v>
      </c>
      <c r="CB82" s="20">
        <f t="shared" si="64"/>
        <v>624.90573520370583</v>
      </c>
      <c r="CC82" s="59">
        <f t="shared" si="65"/>
        <v>918.2390685370392</v>
      </c>
      <c r="CD82" s="59">
        <f ca="1">AVERAGE(OFFSET($CC$3,0,0,'Données projet'!$E$12+1,1))-AVERAGE(OFFSET($H$3,0,0,'Données projet'!$E$12+1,1))</f>
        <v>295.95249585728561</v>
      </c>
      <c r="CE82" s="59">
        <f t="shared" si="94"/>
        <v>306.85862495052709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0.54793971784711382</v>
      </c>
      <c r="CL82" s="21">
        <f>EXP(-LN(2)/25)*CL81+(1-EXP(-LN(2)/25))/(LN(2)/25)*Calculateur!CG82*Calculateur!CI82*VLOOKUP('Données projet'!$B$12,Paramètres!$A$1:$I$89,3,0)*0.475*44/12</f>
        <v>2.1515138932372686</v>
      </c>
      <c r="CM82" s="21">
        <f>EXP(-LN(2)/2)*CM81+(1-EXP(-LN(2)/2))/(LN(2)/2)*CG82*CJ82*VLOOKUP('Données projet'!$B$12,Paramètres!$A$1:$I$89,3,0)*0.475*44/12</f>
        <v>5.5090902632088119E-7</v>
      </c>
      <c r="CN82" s="22">
        <f t="shared" si="66"/>
        <v>2.6994541619934087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</v>
      </c>
      <c r="CT82" s="12">
        <f>IF('Données projet'!$A$140&gt;35,CT81+CS82-DB81,IF(A82&lt;'Données projet'!$A$140,$CQ$205^A82,IF(A82='Données projet'!$A$140,'Données projet'!$B$140,CT81+CS82-DB81)))</f>
        <v>369.90000000000009</v>
      </c>
      <c r="CU82" s="17">
        <f>CT82*VLOOKUP('Données projet'!$B$13,Paramètres!$A$1:$I$89,3,0)*VLOOKUP('Données projet'!$B$13,Paramètres!$A$1:$I$89,5,0)</f>
        <v>351.99684000000008</v>
      </c>
      <c r="CV82" s="13">
        <f t="shared" si="95"/>
        <v>81.973545093885605</v>
      </c>
      <c r="CW82" s="20">
        <f t="shared" si="67"/>
        <v>755.83175403851749</v>
      </c>
      <c r="CX82" s="59">
        <f t="shared" si="68"/>
        <v>1049.1650873718509</v>
      </c>
      <c r="CY82" s="59">
        <f ca="1">AVERAGE(OFFSET($CX$3,0,0,'Données projet'!$E$13+1,1))-AVERAGE(OFFSET($H$3,0,0,'Données projet'!$E$13+1,1))</f>
        <v>461.10546083340631</v>
      </c>
      <c r="CZ82" s="59">
        <f t="shared" si="96"/>
        <v>233.41883071412587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1.0133183393333425</v>
      </c>
      <c r="DH82" s="21">
        <f>EXP(-LN(2)/2)*DH81+(1-EXP(-LN(2)/2))/(LN(2)/2)*DB82*DE82*VLOOKUP('Données projet'!$B$13,Paramètres!$A$1:$I$89,3,0)*0.475*44/12</f>
        <v>3.3111731044464439E-7</v>
      </c>
      <c r="DI82" s="22">
        <f t="shared" si="69"/>
        <v>1.0133186704506529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274.26671999999962</v>
      </c>
      <c r="DQ82" s="13">
        <f t="shared" si="97"/>
        <v>65.753947006237524</v>
      </c>
      <c r="DR82" s="20">
        <f t="shared" si="70"/>
        <v>592.20266170252955</v>
      </c>
      <c r="DS82" s="59">
        <f t="shared" si="71"/>
        <v>885.53599503586292</v>
      </c>
      <c r="DT82" s="59">
        <f ca="1">AVERAGE(OFFSET($DS$3,0,0,'Données projet'!$E$14+1,1))-AVERAGE(OFFSET($H$3,0,0,'Données projet'!$E$14+1,1))</f>
        <v>296.376932094327</v>
      </c>
      <c r="DU82" s="59">
        <f t="shared" si="98"/>
        <v>350.93658329210882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1.0228208066479456</v>
      </c>
      <c r="EB82" s="21">
        <f>EXP(-LN(2)/25)*EB81+(1-EXP(-LN(2)/25))/(LN(2)/25)*Calculateur!DW82*Calculateur!DY82*VLOOKUP('Données projet'!$B$14,Paramètres!$A$1:$I$89,3,0)*0.475*44/12</f>
        <v>4.362906544165372</v>
      </c>
      <c r="EC82" s="21">
        <f>EXP(-LN(2)/2)*EC81+(1-EXP(-LN(2)/2))/(LN(2)/2)*DW82*DZ82*VLOOKUP('Données projet'!$B$14,Paramètres!$A$1:$I$89,3,0)*0.475*44/12</f>
        <v>1.0330356043128636E-6</v>
      </c>
      <c r="ED82" s="22">
        <f t="shared" si="72"/>
        <v>5.3857283838489218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</v>
      </c>
      <c r="EJ82" s="12">
        <f>IF('Données projet'!$A$192&gt;35,EJ81+EI82-ER81,IF(A82&lt;'Données projet'!$A$192,$EG$205^A82,IF(A82='Données projet'!$A$192,'Données projet'!$B$192,EJ81+EI82-ER81)))</f>
        <v>338.09999999999951</v>
      </c>
      <c r="EK82" s="17">
        <f>EJ82*VLOOKUP('Données projet'!$B$15,Paramètres!$A$1:$I$89,3,0)*VLOOKUP('Données projet'!$B$15,Paramètres!$A$1:$I$89,5,0)</f>
        <v>221.52311999999966</v>
      </c>
      <c r="EL82" s="13">
        <f t="shared" si="99"/>
        <v>54.445795281083633</v>
      </c>
      <c r="EM82" s="20">
        <f t="shared" si="73"/>
        <v>480.64586078122005</v>
      </c>
      <c r="EN82" s="59">
        <f t="shared" si="74"/>
        <v>773.97919411455337</v>
      </c>
      <c r="EO82" s="59">
        <f ca="1">AVERAGE(OFFSET($EN$3,0,0,'Données projet'!$E$15+1,1))-AVERAGE(OFFSET($H$3,0,0,'Données projet'!$E$15+1,1))</f>
        <v>231.03244099494077</v>
      </c>
      <c r="EP82" s="59">
        <f t="shared" si="100"/>
        <v>280.29723026390741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0.82612449767718676</v>
      </c>
      <c r="EW82" s="21">
        <f>EXP(-LN(2)/25)*EW81+(1-EXP(-LN(2)/25))/(LN(2)/25)*Calculateur!ER82*Calculateur!ET82*VLOOKUP('Données projet'!$B$15,Paramètres!$A$1:$I$89,3,0)*0.475*44/12</f>
        <v>3.5238860549027997</v>
      </c>
      <c r="EX82" s="21">
        <f>EXP(-LN(2)/2)*EX81+(1-EXP(-LN(2)/2))/(LN(2)/2)*ER82*EU82*VLOOKUP('Données projet'!$B$15,Paramètres!$A$1:$I$89,3,0)*0.475*44/12</f>
        <v>8.34374911175774E-7</v>
      </c>
      <c r="EY82" s="22">
        <f t="shared" si="75"/>
        <v>4.3500113869548978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314.87039999999979</v>
      </c>
      <c r="P83" s="13">
        <f t="shared" si="87"/>
        <v>74.285038887149881</v>
      </c>
      <c r="Q83" s="20">
        <f t="shared" si="54"/>
        <v>677.7790560617857</v>
      </c>
      <c r="R83" s="59">
        <f t="shared" si="55"/>
        <v>971.11238939511895</v>
      </c>
      <c r="S83" s="59">
        <f ca="1">AVERAGE(OFFSET($R$3,0,0,'Données projet'!$E$9+1,1))-AVERAGE(OFFSET($H$3,0,0,'Données projet'!$E$9+1,1))</f>
        <v>351.15781452544906</v>
      </c>
      <c r="T83" s="59">
        <f t="shared" si="88"/>
        <v>271.54361159160169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0.8947739544668134</v>
      </c>
      <c r="AA83" s="21">
        <f>EXP(-LN(2)/25)*AA82+(1-EXP(-LN(2)/25))/(LN(2)/25)*Calculateur!V83*Calculateur!X83*VLOOKUP('Données projet'!$B$9,Paramètres!$A$1:$I$89,3,0)*0.475*44/12</f>
        <v>2.8207046001274385</v>
      </c>
      <c r="AB83" s="21">
        <f>EXP(-LN(2)/2)*AB82+(1-EXP(-LN(2)/2))/(LN(2)/2)*V83*Y83*VLOOKUP('Données projet'!$B$9,Paramètres!$A$1:$I$89,3,0)*0.475*44/12</f>
        <v>6.4233949107249562E-7</v>
      </c>
      <c r="AC83" s="22">
        <f t="shared" si="57"/>
        <v>3.7154791969337428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379</v>
      </c>
      <c r="AG83" s="12">
        <f>VLOOKUP(A83,'Données projet'!$A$61:$I$81,9,0)</f>
        <v>9.1</v>
      </c>
      <c r="AH83" s="12">
        <f t="array" ref="AH83">INDEX(AG:AG,MIN(IF(ISNUMBER(AG83:AG279),ROW(AG83:AG279),"")))</f>
        <v>9.1</v>
      </c>
      <c r="AI83" s="13">
        <f>IF('Données projet'!$A$62&gt;35,AI82+AH83-AQ82,IF(A83&lt;'Données projet'!$A$62,$AF$205^A83,IF(A83='Données projet'!$A$62,'Données projet'!$B$62,AI82+AH83-AQ82)))</f>
        <v>379.00000000000011</v>
      </c>
      <c r="AJ83" s="13">
        <f>AI83*VLOOKUP('Données projet'!$B$10,Paramètres!$A$1:$I$89,3,0)*VLOOKUP('Données projet'!$B$10,Paramètres!$A$1:$I$89,5,0)</f>
        <v>325.18200000000013</v>
      </c>
      <c r="AK83" s="13">
        <f t="shared" si="89"/>
        <v>76.430559420348956</v>
      </c>
      <c r="AL83" s="20">
        <f t="shared" si="58"/>
        <v>699.47520765710806</v>
      </c>
      <c r="AM83" s="59">
        <f t="shared" si="59"/>
        <v>992.80854099044132</v>
      </c>
      <c r="AN83" s="59">
        <f ca="1">AVERAGE(OFFSET($AM$3,0,0,'Données projet'!$E$10+1,1))-AVERAGE(OFFSET($H$3,0,0,'Données projet'!$E$10+1,1))</f>
        <v>405.59933429804329</v>
      </c>
      <c r="AO83" s="59">
        <f t="shared" si="90"/>
        <v>208.64922573363776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1.0953299714082172</v>
      </c>
      <c r="AW83" s="21">
        <f>EXP(-LN(2)/2)*AW82+(1-EXP(-LN(2)/2))/(LN(2)/2)*AQ83*AT83*VLOOKUP('Données projet'!$B$10,Paramètres!$A$1:$I$89,3,0)*0.475*44/12</f>
        <v>2.1110559437870845E-7</v>
      </c>
      <c r="AX83" s="21">
        <f t="shared" si="60"/>
        <v>1.0953301825138115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282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282.00000000000028</v>
      </c>
      <c r="BE83" s="13">
        <f>BD83*VLOOKUP('Données projet'!$B$11,Paramètres!$A$1:$I$89,3,0)*VLOOKUP('Données projet'!$B$11,Paramètres!$A$1:$I$89,5,0)</f>
        <v>272.7504000000003</v>
      </c>
      <c r="BF83" s="13">
        <f t="shared" si="91"/>
        <v>65.432628830820761</v>
      </c>
      <c r="BG83" s="20">
        <f t="shared" si="61"/>
        <v>589.00210854701334</v>
      </c>
      <c r="BH83" s="59">
        <f t="shared" si="62"/>
        <v>882.33544188034671</v>
      </c>
      <c r="BI83" s="59">
        <f ca="1">AVERAGE(OFFSET($BH$3,0,0,'Données projet'!$E$11+1,1))-AVERAGE(OFFSET($H$3,0,0,'Données projet'!$E$11+1,1))</f>
        <v>293.19327646293601</v>
      </c>
      <c r="BJ83" s="59">
        <f t="shared" si="92"/>
        <v>200.0769581869605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0.83003520126885555</v>
      </c>
      <c r="BR83" s="21">
        <f>EXP(-LN(2)/2)*BR82+(1-EXP(-LN(2)/2))/(LN(2)/2)*BL83*BO83*VLOOKUP('Données projet'!$B$11,Paramètres!$A$1:$I$89,3,0)*0.475*44/12</f>
        <v>1.9717810841190528E-7</v>
      </c>
      <c r="BS83" s="22">
        <f t="shared" si="63"/>
        <v>0.83003539844696395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380</v>
      </c>
      <c r="BW83" s="12">
        <f>VLOOKUP(A83,'Données projet'!$A$113:$I$133,9,0)</f>
        <v>8.5</v>
      </c>
      <c r="BX83" s="12">
        <f t="array" ref="BX83">INDEX(BW:BW,MIN(IF(ISNUMBER(BW83:BW279),ROW(BW83:BW279),"")))</f>
        <v>8.5</v>
      </c>
      <c r="BY83" s="12">
        <f>IF('Données projet'!$A$114&gt;35,BY82+BX83-CG82,IF(A83&lt;'Données projet'!$A$114,$BV$205^A83,IF(A83='Données projet'!$A$114,'Données projet'!$B$114,BY82+BX83-CG82)))</f>
        <v>380.00000000000017</v>
      </c>
      <c r="BZ83" s="13">
        <f>BY83*VLOOKUP('Données projet'!$B$12,Paramètres!$A$1:$I$89,3,0)*VLOOKUP('Données projet'!$B$12,Paramètres!$A$1:$I$89,5,0)</f>
        <v>296.40000000000015</v>
      </c>
      <c r="CA83" s="13">
        <f t="shared" si="93"/>
        <v>70.421235748094688</v>
      </c>
      <c r="CB83" s="20">
        <f t="shared" si="64"/>
        <v>638.88031892793185</v>
      </c>
      <c r="CC83" s="59">
        <f t="shared" si="65"/>
        <v>932.21365226126522</v>
      </c>
      <c r="CD83" s="59">
        <f ca="1">AVERAGE(OFFSET($CC$3,0,0,'Données projet'!$E$12+1,1))-AVERAGE(OFFSET($H$3,0,0,'Données projet'!$E$12+1,1))</f>
        <v>295.95249585728561</v>
      </c>
      <c r="CE83" s="59">
        <f t="shared" si="94"/>
        <v>306.85862495052709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380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0.53719495419035923</v>
      </c>
      <c r="CL83" s="21">
        <f>EXP(-LN(2)/25)*CL82+(1-EXP(-LN(2)/25))/(LN(2)/25)*Calculateur!CG83*Calculateur!CI83*VLOOKUP('Données projet'!$B$12,Paramètres!$A$1:$I$89,3,0)*0.475*44/12</f>
        <v>2.0926806326834972</v>
      </c>
      <c r="CM83" s="21">
        <f>EXP(-LN(2)/2)*CM82+(1-EXP(-LN(2)/2))/(LN(2)/2)*CG83*CJ83*VLOOKUP('Données projet'!$B$12,Paramètres!$A$1:$I$89,3,0)*0.475*44/12</f>
        <v>3.8955150832837329E-7</v>
      </c>
      <c r="CN83" s="22">
        <f t="shared" si="66"/>
        <v>2.6298759764253647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379</v>
      </c>
      <c r="CR83" s="12">
        <f>VLOOKUP(A83,'Données projet'!$A$139:$I$159,9,0)</f>
        <v>9.1</v>
      </c>
      <c r="CS83" s="12">
        <f t="array" ref="CS83">INDEX(CR:CR,MIN(IF(ISNUMBER(CR83:CR279),ROW(CR83:CR279),"")))</f>
        <v>9.1</v>
      </c>
      <c r="CT83" s="12">
        <f>IF('Données projet'!$A$140&gt;35,CT82+CS83-DB82,IF(A83&lt;'Données projet'!$A$140,$CQ$205^A83,IF(A83='Données projet'!$A$140,'Données projet'!$B$140,CT82+CS83-DB82)))</f>
        <v>379.00000000000011</v>
      </c>
      <c r="CU83" s="17">
        <f>CT83*VLOOKUP('Données projet'!$B$13,Paramètres!$A$1:$I$89,3,0)*VLOOKUP('Données projet'!$B$13,Paramètres!$A$1:$I$89,5,0)</f>
        <v>360.65640000000008</v>
      </c>
      <c r="CV83" s="13">
        <f t="shared" si="95"/>
        <v>83.752929778395327</v>
      </c>
      <c r="CW83" s="20">
        <f t="shared" si="67"/>
        <v>774.01291603070547</v>
      </c>
      <c r="CX83" s="59">
        <f t="shared" si="68"/>
        <v>1067.3462493640388</v>
      </c>
      <c r="CY83" s="59">
        <f ca="1">AVERAGE(OFFSET($CX$3,0,0,'Données projet'!$E$13+1,1))-AVERAGE(OFFSET($H$3,0,0,'Données projet'!$E$13+1,1))</f>
        <v>461.10546083340631</v>
      </c>
      <c r="CZ83" s="59">
        <f t="shared" si="96"/>
        <v>233.41883071412587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56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0.98560909605617675</v>
      </c>
      <c r="DH83" s="21">
        <f>EXP(-LN(2)/2)*DH82+(1-EXP(-LN(2)/2))/(LN(2)/2)*DB83*DE83*VLOOKUP('Données projet'!$B$13,Paramètres!$A$1:$I$89,3,0)*0.475*44/12</f>
        <v>2.3413529558365931E-7</v>
      </c>
      <c r="DI83" s="22">
        <f t="shared" si="69"/>
        <v>0.98560933019147234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277.43039999999962</v>
      </c>
      <c r="DQ83" s="13">
        <f t="shared" si="97"/>
        <v>66.423687500715616</v>
      </c>
      <c r="DR83" s="20">
        <f t="shared" si="70"/>
        <v>598.8792023970791</v>
      </c>
      <c r="DS83" s="59">
        <f t="shared" si="71"/>
        <v>892.21253573041236</v>
      </c>
      <c r="DT83" s="59">
        <f ca="1">AVERAGE(OFFSET($DS$3,0,0,'Données projet'!$E$14+1,1))-AVERAGE(OFFSET($H$3,0,0,'Données projet'!$E$14+1,1))</f>
        <v>296.376932094327</v>
      </c>
      <c r="DU83" s="59">
        <f t="shared" si="98"/>
        <v>350.93658329210882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1.0027639144886704</v>
      </c>
      <c r="EB83" s="21">
        <f>EXP(-LN(2)/25)*EB82+(1-EXP(-LN(2)/25))/(LN(2)/25)*Calculateur!DW83*Calculateur!DY83*VLOOKUP('Données projet'!$B$14,Paramètres!$A$1:$I$89,3,0)*0.475*44/12</f>
        <v>4.2436026352798866</v>
      </c>
      <c r="EC83" s="21">
        <f>EXP(-LN(2)/2)*EC82+(1-EXP(-LN(2)/2))/(LN(2)/2)*DW83*DZ83*VLOOKUP('Données projet'!$B$14,Paramètres!$A$1:$I$89,3,0)*0.475*44/12</f>
        <v>7.3046648101676892E-7</v>
      </c>
      <c r="ED83" s="22">
        <f t="shared" si="72"/>
        <v>5.2463672802350381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342</v>
      </c>
      <c r="EH83" s="12">
        <f>VLOOKUP(A83,'Données projet'!$A$191:$I$211,9,0)</f>
        <v>3.9</v>
      </c>
      <c r="EI83" s="12">
        <f t="array" ref="EI83">INDEX(EH:EH,MIN(IF(ISNUMBER(EH83:EH279),ROW(EH83:EH279),"")))</f>
        <v>3.9</v>
      </c>
      <c r="EJ83" s="12">
        <f>IF('Données projet'!$A$192&gt;35,EJ82+EI83-ER82,IF(A83&lt;'Données projet'!$A$192,$EG$205^A83,IF(A83='Données projet'!$A$192,'Données projet'!$B$192,EJ82+EI83-ER82)))</f>
        <v>341.99999999999949</v>
      </c>
      <c r="EK83" s="17">
        <f>EJ83*VLOOKUP('Données projet'!$B$15,Paramètres!$A$1:$I$89,3,0)*VLOOKUP('Données projet'!$B$15,Paramètres!$A$1:$I$89,5,0)</f>
        <v>224.07839999999968</v>
      </c>
      <c r="EL83" s="13">
        <f t="shared" si="99"/>
        <v>55.000355965484026</v>
      </c>
      <c r="EM83" s="20">
        <f t="shared" si="73"/>
        <v>486.06216663988408</v>
      </c>
      <c r="EN83" s="59">
        <f t="shared" si="74"/>
        <v>779.3954999732174</v>
      </c>
      <c r="EO83" s="59">
        <f ca="1">AVERAGE(OFFSET($EN$3,0,0,'Données projet'!$E$15+1,1))-AVERAGE(OFFSET($H$3,0,0,'Données projet'!$E$15+1,1))</f>
        <v>231.03244099494077</v>
      </c>
      <c r="EP83" s="59">
        <f t="shared" si="100"/>
        <v>280.29723026390741</v>
      </c>
      <c r="EQ83" s="15">
        <f>IF(ISNA(VLOOKUP(A83,'Données projet'!$A$191:$I$211,3,0)),0,VLOOKUP(A83,'Données projet'!$A$191:$I$211,3,0))</f>
        <v>8</v>
      </c>
      <c r="ER83" s="15">
        <f>IF(ISNA(VLOOKUP(A83,'Données projet'!$A$191:$I$211,4,0)),0,VLOOKUP(A83,'Données projet'!$A$191:$I$211,4,0))</f>
        <v>342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0.80992470016392604</v>
      </c>
      <c r="EW83" s="21">
        <f>EXP(-LN(2)/25)*EW82+(1-EXP(-LN(2)/25))/(LN(2)/25)*Calculateur!ER83*Calculateur!ET83*VLOOKUP('Données projet'!$B$15,Paramètres!$A$1:$I$89,3,0)*0.475*44/12</f>
        <v>3.4275252054183691</v>
      </c>
      <c r="EX83" s="21">
        <f>EXP(-LN(2)/2)*EX82+(1-EXP(-LN(2)/2))/(LN(2)/2)*ER83*EU83*VLOOKUP('Données projet'!$B$15,Paramètres!$A$1:$I$89,3,0)*0.475*44/12</f>
        <v>5.8999215774431304E-7</v>
      </c>
      <c r="EY83" s="22">
        <f t="shared" si="75"/>
        <v>4.2374504955744525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270.17327999999981</v>
      </c>
      <c r="P84" s="13">
        <f t="shared" si="87"/>
        <v>64.886042303882988</v>
      </c>
      <c r="Q84" s="20">
        <f t="shared" si="54"/>
        <v>583.56165301259591</v>
      </c>
      <c r="R84" s="59">
        <f t="shared" si="55"/>
        <v>876.89498634592928</v>
      </c>
      <c r="S84" s="59">
        <f ca="1">AVERAGE(OFFSET($R$3,0,0,'Données projet'!$E$9+1,1))-AVERAGE(OFFSET($H$3,0,0,'Données projet'!$E$9+1,1))</f>
        <v>351.15781452544906</v>
      </c>
      <c r="T84" s="59">
        <f t="shared" si="88"/>
        <v>271.54361159160169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0.87722798297794224</v>
      </c>
      <c r="AA84" s="21">
        <f>EXP(-LN(2)/25)*AA83+(1-EXP(-LN(2)/25))/(LN(2)/25)*Calculateur!V84*Calculateur!X84*VLOOKUP('Données projet'!$B$9,Paramètres!$A$1:$I$89,3,0)*0.475*44/12</f>
        <v>2.7435722845025454</v>
      </c>
      <c r="AB84" s="21">
        <f>EXP(-LN(2)/2)*AB83+(1-EXP(-LN(2)/2))/(LN(2)/2)*V84*Y84*VLOOKUP('Données projet'!$B$9,Paramètres!$A$1:$I$89,3,0)*0.475*44/12</f>
        <v>4.5420260996127749E-7</v>
      </c>
      <c r="AC84" s="22">
        <f t="shared" si="57"/>
        <v>3.6208007216830973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8.1</v>
      </c>
      <c r="AI84" s="13">
        <f>IF('Données projet'!$A$62&gt;35,AI83+AH84-AQ83,IF(A84&lt;'Données projet'!$A$62,$AF$205^A84,IF(A84='Données projet'!$A$62,'Données projet'!$B$62,AI83+AH84-AQ83)))</f>
        <v>331.10000000000014</v>
      </c>
      <c r="AJ84" s="13">
        <f>AI84*VLOOKUP('Données projet'!$B$10,Paramètres!$A$1:$I$89,3,0)*VLOOKUP('Données projet'!$B$10,Paramètres!$A$1:$I$89,5,0)</f>
        <v>284.08380000000017</v>
      </c>
      <c r="AK84" s="13">
        <f t="shared" si="89"/>
        <v>67.829304586540019</v>
      </c>
      <c r="AL84" s="20">
        <f t="shared" si="58"/>
        <v>612.91532382155742</v>
      </c>
      <c r="AM84" s="59">
        <f t="shared" si="59"/>
        <v>906.24865715489068</v>
      </c>
      <c r="AN84" s="59">
        <f ca="1">AVERAGE(OFFSET($AM$3,0,0,'Données projet'!$E$10+1,1))-AVERAGE(OFFSET($H$3,0,0,'Données projet'!$E$10+1,1))</f>
        <v>405.59933429804329</v>
      </c>
      <c r="AO84" s="59">
        <f t="shared" si="90"/>
        <v>208.64922573363776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1.0653781157391597</v>
      </c>
      <c r="AW84" s="21">
        <f>EXP(-LN(2)/2)*AW83+(1-EXP(-LN(2)/2))/(LN(2)/2)*AQ84*AT84*VLOOKUP('Données projet'!$B$10,Paramètres!$A$1:$I$89,3,0)*0.475*44/12</f>
        <v>1.4927419733160145E-7</v>
      </c>
      <c r="AX84" s="21">
        <f t="shared" si="60"/>
        <v>1.065378265013357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</v>
      </c>
      <c r="BD84" s="12">
        <f>IF('Données projet'!$A$88&gt;35,BD83+BC84-BL83,IF(A84&lt;'Données projet'!$A$88,$BA$205^A84,IF(A84='Données projet'!$A$88,'Données projet'!$B$88,BD83+BC84-BL83)))</f>
        <v>245.60000000000031</v>
      </c>
      <c r="BE84" s="13">
        <f>BD84*VLOOKUP('Données projet'!$B$11,Paramètres!$A$1:$I$89,3,0)*VLOOKUP('Données projet'!$B$11,Paramètres!$A$1:$I$89,5,0)</f>
        <v>237.54432000000031</v>
      </c>
      <c r="BF84" s="13">
        <f t="shared" si="91"/>
        <v>57.910863128488039</v>
      </c>
      <c r="BG84" s="20">
        <f t="shared" si="61"/>
        <v>514.58444394878381</v>
      </c>
      <c r="BH84" s="59">
        <f t="shared" si="62"/>
        <v>807.91777728211719</v>
      </c>
      <c r="BI84" s="59">
        <f ca="1">AVERAGE(OFFSET($BH$3,0,0,'Données projet'!$E$11+1,1))-AVERAGE(OFFSET($H$3,0,0,'Données projet'!$E$11+1,1))</f>
        <v>293.19327646293601</v>
      </c>
      <c r="BJ84" s="59">
        <f t="shared" si="92"/>
        <v>200.0769581869605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0.80733784504050454</v>
      </c>
      <c r="BR84" s="21">
        <f>EXP(-LN(2)/2)*BR83+(1-EXP(-LN(2)/2))/(LN(2)/2)*BL84*BO84*VLOOKUP('Données projet'!$B$11,Paramètres!$A$1:$I$89,3,0)*0.475*44/12</f>
        <v>1.3942597755959445E-7</v>
      </c>
      <c r="BS84" s="22">
        <f t="shared" si="63"/>
        <v>0.80733798446648208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1.7053025658242404E-13</v>
      </c>
      <c r="BZ84" s="13">
        <f>BY84*VLOOKUP('Données projet'!$B$12,Paramètres!$A$1:$I$89,3,0)*VLOOKUP('Données projet'!$B$12,Paramètres!$A$1:$I$89,5,0)</f>
        <v>1.3301360013429075E-13</v>
      </c>
      <c r="CA84" s="13">
        <f t="shared" si="93"/>
        <v>1.9329766731057041E-12</v>
      </c>
      <c r="CB84" s="20">
        <f t="shared" si="64"/>
        <v>3.5982663925596575E-12</v>
      </c>
      <c r="CC84" s="59">
        <f t="shared" si="65"/>
        <v>293.3333333333369</v>
      </c>
      <c r="CD84" s="59">
        <f ca="1">AVERAGE(OFFSET($CC$3,0,0,'Données projet'!$E$12+1,1))-AVERAGE(OFFSET($H$3,0,0,'Données projet'!$E$12+1,1))</f>
        <v>295.95249585728561</v>
      </c>
      <c r="CE84" s="59">
        <f t="shared" si="94"/>
        <v>306.85862495052709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0.52666088879525497</v>
      </c>
      <c r="CL84" s="21">
        <f>EXP(-LN(2)/25)*CL83+(1-EXP(-LN(2)/25))/(LN(2)/25)*Calculateur!CG84*Calculateur!CI84*VLOOKUP('Données projet'!$B$12,Paramètres!$A$1:$I$89,3,0)*0.475*44/12</f>
        <v>2.0354561707334753</v>
      </c>
      <c r="CM84" s="21">
        <f>EXP(-LN(2)/2)*CM83+(1-EXP(-LN(2)/2))/(LN(2)/2)*CG84*CJ84*VLOOKUP('Données projet'!$B$12,Paramètres!$A$1:$I$89,3,0)*0.475*44/12</f>
        <v>2.7545451316044059E-7</v>
      </c>
      <c r="CN84" s="22">
        <f t="shared" si="66"/>
        <v>2.5621173349832431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8.1</v>
      </c>
      <c r="CT84" s="12">
        <f>IF('Données projet'!$A$140&gt;35,CT83+CS84-DB83,IF(A84&lt;'Données projet'!$A$140,$CQ$205^A84,IF(A84='Données projet'!$A$140,'Données projet'!$B$140,CT83+CS84-DB83)))</f>
        <v>331.10000000000014</v>
      </c>
      <c r="CU84" s="17">
        <f>CT84*VLOOKUP('Données projet'!$B$13,Paramètres!$A$1:$I$89,3,0)*VLOOKUP('Données projet'!$B$13,Paramètres!$A$1:$I$89,5,0)</f>
        <v>315.07476000000014</v>
      </c>
      <c r="CV84" s="13">
        <f t="shared" si="95"/>
        <v>74.327638408484418</v>
      </c>
      <c r="CW84" s="20">
        <f t="shared" si="67"/>
        <v>678.20917722811055</v>
      </c>
      <c r="CX84" s="59">
        <f t="shared" si="68"/>
        <v>971.54251056144381</v>
      </c>
      <c r="CY84" s="59">
        <f ca="1">AVERAGE(OFFSET($CX$3,0,0,'Données projet'!$E$13+1,1))-AVERAGE(OFFSET($H$3,0,0,'Données projet'!$E$13+1,1))</f>
        <v>461.10546083340631</v>
      </c>
      <c r="CZ84" s="59">
        <f t="shared" si="96"/>
        <v>233.41883071412587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0.95865756349359088</v>
      </c>
      <c r="DH84" s="21">
        <f>EXP(-LN(2)/2)*DH83+(1-EXP(-LN(2)/2))/(LN(2)/2)*DB84*DE84*VLOOKUP('Données projet'!$B$13,Paramètres!$A$1:$I$89,3,0)*0.475*44/12</f>
        <v>1.6555865522232222E-7</v>
      </c>
      <c r="DI84" s="22">
        <f t="shared" si="69"/>
        <v>0.95865772905224611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-4.1500243241898714E-13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296.376932094327</v>
      </c>
      <c r="DU84" s="59">
        <f t="shared" si="98"/>
        <v>350.93658329210882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0.98310032575114237</v>
      </c>
      <c r="EB84" s="21">
        <f>EXP(-LN(2)/25)*EB83+(1-EXP(-LN(2)/25))/(LN(2)/25)*Calculateur!DW84*Calculateur!DY84*VLOOKUP('Données projet'!$B$14,Paramètres!$A$1:$I$89,3,0)*0.475*44/12</f>
        <v>4.1275610980567947</v>
      </c>
      <c r="EC84" s="21">
        <f>EXP(-LN(2)/2)*EC83+(1-EXP(-LN(2)/2))/(LN(2)/2)*DW84*DZ84*VLOOKUP('Données projet'!$B$14,Paramètres!$A$1:$I$89,3,0)*0.475*44/12</f>
        <v>5.1651780215643178E-7</v>
      </c>
      <c r="ED84" s="22">
        <f t="shared" si="72"/>
        <v>5.1106619403257385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-5.1159076974727213E-13</v>
      </c>
      <c r="EK84" s="17">
        <f>EJ84*VLOOKUP('Données projet'!$B$15,Paramètres!$A$1:$I$89,3,0)*VLOOKUP('Données projet'!$B$15,Paramètres!$A$1:$I$89,5,0)</f>
        <v>-3.3519427233841269E-13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231.03244099494077</v>
      </c>
      <c r="EP84" s="59">
        <f t="shared" si="100"/>
        <v>280.29723026390741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0.79404257079899954</v>
      </c>
      <c r="EW84" s="21">
        <f>EXP(-LN(2)/25)*EW83+(1-EXP(-LN(2)/25))/(LN(2)/25)*Calculateur!ER84*Calculateur!ET84*VLOOKUP('Données projet'!$B$15,Paramètres!$A$1:$I$89,3,0)*0.475*44/12</f>
        <v>3.3337993484304871</v>
      </c>
      <c r="EX84" s="21">
        <f>EXP(-LN(2)/2)*EX83+(1-EXP(-LN(2)/2))/(LN(2)/2)*ER84*EU84*VLOOKUP('Données projet'!$B$15,Paramètres!$A$1:$I$89,3,0)*0.475*44/12</f>
        <v>4.17187455587887E-7</v>
      </c>
      <c r="EY84" s="22">
        <f t="shared" si="75"/>
        <v>4.1278423364169416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276.1449599999998</v>
      </c>
      <c r="P85" s="13">
        <f t="shared" si="87"/>
        <v>66.151671938851194</v>
      </c>
      <c r="Q85" s="20">
        <f t="shared" si="54"/>
        <v>596.16663396016543</v>
      </c>
      <c r="R85" s="59">
        <f t="shared" si="55"/>
        <v>889.49996729349868</v>
      </c>
      <c r="S85" s="59">
        <f ca="1">AVERAGE(OFFSET($R$3,0,0,'Données projet'!$E$9+1,1))-AVERAGE(OFFSET($H$3,0,0,'Données projet'!$E$9+1,1))</f>
        <v>351.15781452544906</v>
      </c>
      <c r="T85" s="59">
        <f t="shared" si="88"/>
        <v>271.54361159160169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0.86002607728798197</v>
      </c>
      <c r="AA85" s="21">
        <f>EXP(-LN(2)/25)*AA84+(1-EXP(-LN(2)/25))/(LN(2)/25)*Calculateur!V85*Calculateur!X85*VLOOKUP('Données projet'!$B$9,Paramètres!$A$1:$I$89,3,0)*0.475*44/12</f>
        <v>2.6685491561046275</v>
      </c>
      <c r="AB85" s="21">
        <f>EXP(-LN(2)/2)*AB84+(1-EXP(-LN(2)/2))/(LN(2)/2)*V85*Y85*VLOOKUP('Données projet'!$B$9,Paramètres!$A$1:$I$89,3,0)*0.475*44/12</f>
        <v>3.2116974553624786E-7</v>
      </c>
      <c r="AC85" s="22">
        <f t="shared" si="57"/>
        <v>3.5285755545623547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8.1</v>
      </c>
      <c r="AI85" s="13">
        <f>IF('Données projet'!$A$62&gt;35,AI84+AH85-AQ84,IF(A85&lt;'Données projet'!$A$62,$AF$205^A85,IF(A85='Données projet'!$A$62,'Données projet'!$B$62,AI84+AH85-AQ84)))</f>
        <v>339.20000000000016</v>
      </c>
      <c r="AJ85" s="13">
        <f>AI85*VLOOKUP('Données projet'!$B$10,Paramètres!$A$1:$I$89,3,0)*VLOOKUP('Données projet'!$B$10,Paramètres!$A$1:$I$89,5,0)</f>
        <v>291.03360000000021</v>
      </c>
      <c r="AK85" s="13">
        <f t="shared" si="89"/>
        <v>69.293454972934953</v>
      </c>
      <c r="AL85" s="20">
        <f t="shared" si="58"/>
        <v>627.56962074452872</v>
      </c>
      <c r="AM85" s="59">
        <f t="shared" si="59"/>
        <v>920.90295407786198</v>
      </c>
      <c r="AN85" s="59">
        <f ca="1">AVERAGE(OFFSET($AM$3,0,0,'Données projet'!$E$10+1,1))-AVERAGE(OFFSET($H$3,0,0,'Données projet'!$E$10+1,1))</f>
        <v>405.59933429804329</v>
      </c>
      <c r="AO85" s="59">
        <f t="shared" si="90"/>
        <v>208.64922573363776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1.0362452951384722</v>
      </c>
      <c r="AW85" s="21">
        <f>EXP(-LN(2)/2)*AW84+(1-EXP(-LN(2)/2))/(LN(2)/2)*AQ85*AT85*VLOOKUP('Données projet'!$B$10,Paramètres!$A$1:$I$89,3,0)*0.475*44/12</f>
        <v>1.0555279718935423E-7</v>
      </c>
      <c r="AX85" s="21">
        <f t="shared" si="60"/>
        <v>1.0362454006912694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</v>
      </c>
      <c r="BD85" s="12">
        <f>IF('Données projet'!$A$88&gt;35,BD84+BC85-BL84,IF(A85&lt;'Données projet'!$A$88,$BA$205^A85,IF(A85='Données projet'!$A$88,'Données projet'!$B$88,BD84+BC85-BL84)))</f>
        <v>251.2000000000003</v>
      </c>
      <c r="BE85" s="13">
        <f>BD85*VLOOKUP('Données projet'!$B$11,Paramètres!$A$1:$I$89,3,0)*VLOOKUP('Données projet'!$B$11,Paramètres!$A$1:$I$89,5,0)</f>
        <v>242.96064000000032</v>
      </c>
      <c r="BF85" s="13">
        <f t="shared" si="91"/>
        <v>59.076071351835822</v>
      </c>
      <c r="BG85" s="20">
        <f t="shared" si="61"/>
        <v>526.04727227111459</v>
      </c>
      <c r="BH85" s="59">
        <f t="shared" si="62"/>
        <v>819.38060560444796</v>
      </c>
      <c r="BI85" s="59">
        <f ca="1">AVERAGE(OFFSET($BH$3,0,0,'Données projet'!$E$11+1,1))-AVERAGE(OFFSET($H$3,0,0,'Données projet'!$E$11+1,1))</f>
        <v>293.19327646293601</v>
      </c>
      <c r="BJ85" s="59">
        <f t="shared" si="92"/>
        <v>200.0769581869605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0.78526114921181989</v>
      </c>
      <c r="BR85" s="21">
        <f>EXP(-LN(2)/2)*BR84+(1-EXP(-LN(2)/2))/(LN(2)/2)*BL85*BO85*VLOOKUP('Données projet'!$B$11,Paramètres!$A$1:$I$89,3,0)*0.475*44/12</f>
        <v>9.8589054205952641E-8</v>
      </c>
      <c r="BS85" s="22">
        <f t="shared" si="63"/>
        <v>0.78526124780087414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1.7053025658242404E-13</v>
      </c>
      <c r="BZ85" s="13">
        <f>BY85*VLOOKUP('Données projet'!$B$12,Paramètres!$A$1:$I$89,3,0)*VLOOKUP('Données projet'!$B$12,Paramètres!$A$1:$I$89,5,0)</f>
        <v>1.3301360013429075E-13</v>
      </c>
      <c r="CA85" s="13">
        <f t="shared" si="93"/>
        <v>1.9329766731057041E-12</v>
      </c>
      <c r="CB85" s="20">
        <f t="shared" si="64"/>
        <v>3.5982663925596575E-12</v>
      </c>
      <c r="CC85" s="59">
        <f t="shared" si="65"/>
        <v>293.3333333333369</v>
      </c>
      <c r="CD85" s="59">
        <f ca="1">AVERAGE(OFFSET($CC$3,0,0,'Données projet'!$E$12+1,1))-AVERAGE(OFFSET($H$3,0,0,'Données projet'!$E$12+1,1))</f>
        <v>295.95249585728561</v>
      </c>
      <c r="CE85" s="59">
        <f t="shared" si="94"/>
        <v>306.85862495052709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0.51633338999740319</v>
      </c>
      <c r="CL85" s="21">
        <f>EXP(-LN(2)/25)*CL84+(1-EXP(-LN(2)/25))/(LN(2)/25)*Calculateur!CG85*Calculateur!CI85*VLOOKUP('Données projet'!$B$12,Paramètres!$A$1:$I$89,3,0)*0.475*44/12</f>
        <v>1.9797965147047805</v>
      </c>
      <c r="CM85" s="21">
        <f>EXP(-LN(2)/2)*CM84+(1-EXP(-LN(2)/2))/(LN(2)/2)*CG85*CJ85*VLOOKUP('Données projet'!$B$12,Paramètres!$A$1:$I$89,3,0)*0.475*44/12</f>
        <v>1.9477575416418665E-7</v>
      </c>
      <c r="CN85" s="22">
        <f t="shared" si="66"/>
        <v>2.4961300994779378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8.1</v>
      </c>
      <c r="CT85" s="12">
        <f>IF('Données projet'!$A$140&gt;35,CT84+CS85-DB84,IF(A85&lt;'Données projet'!$A$140,$CQ$205^A85,IF(A85='Données projet'!$A$140,'Données projet'!$B$140,CT84+CS85-DB84)))</f>
        <v>339.20000000000016</v>
      </c>
      <c r="CU85" s="17">
        <f>CT85*VLOOKUP('Données projet'!$B$13,Paramètres!$A$1:$I$89,3,0)*VLOOKUP('Données projet'!$B$13,Paramètres!$A$1:$I$89,5,0)</f>
        <v>322.78272000000015</v>
      </c>
      <c r="CV85" s="13">
        <f t="shared" si="95"/>
        <v>75.932060584990055</v>
      </c>
      <c r="CW85" s="20">
        <f t="shared" si="67"/>
        <v>694.42824285219115</v>
      </c>
      <c r="CX85" s="59">
        <f t="shared" si="68"/>
        <v>987.76157618552452</v>
      </c>
      <c r="CY85" s="59">
        <f ca="1">AVERAGE(OFFSET($CX$3,0,0,'Données projet'!$E$13+1,1))-AVERAGE(OFFSET($H$3,0,0,'Données projet'!$E$13+1,1))</f>
        <v>461.10546083340631</v>
      </c>
      <c r="CZ85" s="59">
        <f t="shared" si="96"/>
        <v>233.41883071412587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0.9324430220062484</v>
      </c>
      <c r="DH85" s="21">
        <f>EXP(-LN(2)/2)*DH84+(1-EXP(-LN(2)/2))/(LN(2)/2)*DB85*DE85*VLOOKUP('Données projet'!$B$13,Paramètres!$A$1:$I$89,3,0)*0.475*44/12</f>
        <v>1.1706764779182967E-7</v>
      </c>
      <c r="DI85" s="22">
        <f t="shared" si="69"/>
        <v>0.9324431390738962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-4.1500243241898714E-13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296.376932094327</v>
      </c>
      <c r="DU85" s="59">
        <f t="shared" si="98"/>
        <v>350.93658329210882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0.96382232799515244</v>
      </c>
      <c r="EB85" s="21">
        <f>EXP(-LN(2)/25)*EB84+(1-EXP(-LN(2)/25))/(LN(2)/25)*Calculateur!DW85*Calculateur!DY85*VLOOKUP('Données projet'!$B$14,Paramètres!$A$1:$I$89,3,0)*0.475*44/12</f>
        <v>4.0146927227714269</v>
      </c>
      <c r="EC85" s="21">
        <f>EXP(-LN(2)/2)*EC84+(1-EXP(-LN(2)/2))/(LN(2)/2)*DW85*DZ85*VLOOKUP('Données projet'!$B$14,Paramètres!$A$1:$I$89,3,0)*0.475*44/12</f>
        <v>3.6523324050838446E-7</v>
      </c>
      <c r="ED85" s="22">
        <f t="shared" si="72"/>
        <v>4.9785154159998193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-5.1159076974727213E-13</v>
      </c>
      <c r="EK85" s="17">
        <f>EJ85*VLOOKUP('Données projet'!$B$15,Paramètres!$A$1:$I$89,3,0)*VLOOKUP('Données projet'!$B$15,Paramètres!$A$1:$I$89,5,0)</f>
        <v>-3.3519427233841269E-13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231.03244099494077</v>
      </c>
      <c r="EP85" s="59">
        <f t="shared" si="100"/>
        <v>280.29723026390741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0.7784718803037769</v>
      </c>
      <c r="EW85" s="21">
        <f>EXP(-LN(2)/25)*EW84+(1-EXP(-LN(2)/25))/(LN(2)/25)*Calculateur!ER85*Calculateur!ET85*VLOOKUP('Données projet'!$B$15,Paramètres!$A$1:$I$89,3,0)*0.475*44/12</f>
        <v>3.2426364299307671</v>
      </c>
      <c r="EX85" s="21">
        <f>EXP(-LN(2)/2)*EX84+(1-EXP(-LN(2)/2))/(LN(2)/2)*ER85*EU85*VLOOKUP('Données projet'!$B$15,Paramètres!$A$1:$I$89,3,0)*0.475*44/12</f>
        <v>2.9499607887215652E-7</v>
      </c>
      <c r="EY85" s="22">
        <f t="shared" si="75"/>
        <v>4.0211086052306229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282.11663999999985</v>
      </c>
      <c r="P86" s="13">
        <f t="shared" si="87"/>
        <v>67.414119514142243</v>
      </c>
      <c r="Q86" s="20">
        <f t="shared" si="54"/>
        <v>608.76607282046416</v>
      </c>
      <c r="R86" s="59">
        <f t="shared" si="55"/>
        <v>902.09940615379742</v>
      </c>
      <c r="S86" s="59">
        <f ca="1">AVERAGE(OFFSET($R$3,0,0,'Données projet'!$E$9+1,1))-AVERAGE(OFFSET($H$3,0,0,'Données projet'!$E$9+1,1))</f>
        <v>351.15781452544906</v>
      </c>
      <c r="T86" s="59">
        <f t="shared" si="88"/>
        <v>271.54361159160169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0.84316149047647537</v>
      </c>
      <c r="AA86" s="21">
        <f>EXP(-LN(2)/25)*AA85+(1-EXP(-LN(2)/25))/(LN(2)/25)*Calculateur!V86*Calculateur!X86*VLOOKUP('Données projet'!$B$9,Paramètres!$A$1:$I$89,3,0)*0.475*44/12</f>
        <v>2.5955775390980453</v>
      </c>
      <c r="AB86" s="21">
        <f>EXP(-LN(2)/2)*AB85+(1-EXP(-LN(2)/2))/(LN(2)/2)*V86*Y86*VLOOKUP('Données projet'!$B$9,Paramètres!$A$1:$I$89,3,0)*0.475*44/12</f>
        <v>2.2710130498063877E-7</v>
      </c>
      <c r="AC86" s="22">
        <f t="shared" si="57"/>
        <v>3.4387392566758255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8.1</v>
      </c>
      <c r="AI86" s="13">
        <f>IF('Données projet'!$A$62&gt;35,AI85+AH86-AQ85,IF(A86&lt;'Données projet'!$A$62,$AF$205^A86,IF(A86='Données projet'!$A$62,'Données projet'!$B$62,AI85+AH86-AQ85)))</f>
        <v>347.30000000000018</v>
      </c>
      <c r="AJ86" s="13">
        <f>AI86*VLOOKUP('Données projet'!$B$10,Paramètres!$A$1:$I$89,3,0)*VLOOKUP('Données projet'!$B$10,Paramètres!$A$1:$I$89,5,0)</f>
        <v>297.98340000000019</v>
      </c>
      <c r="AK86" s="13">
        <f t="shared" si="89"/>
        <v>70.753540850936076</v>
      </c>
      <c r="AL86" s="20">
        <f t="shared" si="58"/>
        <v>642.21683864871386</v>
      </c>
      <c r="AM86" s="59">
        <f t="shared" si="59"/>
        <v>935.55017198204723</v>
      </c>
      <c r="AN86" s="59">
        <f ca="1">AVERAGE(OFFSET($AM$3,0,0,'Données projet'!$E$10+1,1))-AVERAGE(OFFSET($H$3,0,0,'Données projet'!$E$10+1,1))</f>
        <v>405.59933429804329</v>
      </c>
      <c r="AO86" s="59">
        <f t="shared" si="90"/>
        <v>208.64922573363776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1.0079091130491389</v>
      </c>
      <c r="AW86" s="21">
        <f>EXP(-LN(2)/2)*AW85+(1-EXP(-LN(2)/2))/(LN(2)/2)*AQ86*AT86*VLOOKUP('Données projet'!$B$10,Paramètres!$A$1:$I$89,3,0)*0.475*44/12</f>
        <v>7.4637098665800726E-8</v>
      </c>
      <c r="AX86" s="21">
        <f t="shared" si="60"/>
        <v>1.0079091876862376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</v>
      </c>
      <c r="BD86" s="12">
        <f>IF('Données projet'!$A$88&gt;35,BD85+BC86-BL85,IF(A86&lt;'Données projet'!$A$88,$BA$205^A86,IF(A86='Données projet'!$A$88,'Données projet'!$B$88,BD85+BC86-BL85)))</f>
        <v>256.8000000000003</v>
      </c>
      <c r="BE86" s="13">
        <f>BD86*VLOOKUP('Données projet'!$B$11,Paramètres!$A$1:$I$89,3,0)*VLOOKUP('Données projet'!$B$11,Paramètres!$A$1:$I$89,5,0)</f>
        <v>248.37696000000028</v>
      </c>
      <c r="BF86" s="13">
        <f t="shared" si="91"/>
        <v>60.238259626372425</v>
      </c>
      <c r="BG86" s="20">
        <f t="shared" si="61"/>
        <v>537.50484084926575</v>
      </c>
      <c r="BH86" s="59">
        <f t="shared" si="62"/>
        <v>830.838174182599</v>
      </c>
      <c r="BI86" s="59">
        <f ca="1">AVERAGE(OFFSET($BH$3,0,0,'Données projet'!$E$11+1,1))-AVERAGE(OFFSET($H$3,0,0,'Données projet'!$E$11+1,1))</f>
        <v>293.19327646293601</v>
      </c>
      <c r="BJ86" s="59">
        <f t="shared" si="92"/>
        <v>200.0769581869605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0.76378814179153354</v>
      </c>
      <c r="BR86" s="21">
        <f>EXP(-LN(2)/2)*BR85+(1-EXP(-LN(2)/2))/(LN(2)/2)*BL86*BO86*VLOOKUP('Données projet'!$B$11,Paramètres!$A$1:$I$89,3,0)*0.475*44/12</f>
        <v>6.9712988779797225E-8</v>
      </c>
      <c r="BS86" s="22">
        <f t="shared" si="63"/>
        <v>0.76378821150452236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1.7053025658242404E-13</v>
      </c>
      <c r="BZ86" s="13">
        <f>BY86*VLOOKUP('Données projet'!$B$12,Paramètres!$A$1:$I$89,3,0)*VLOOKUP('Données projet'!$B$12,Paramètres!$A$1:$I$89,5,0)</f>
        <v>1.3301360013429075E-13</v>
      </c>
      <c r="CA86" s="13">
        <f t="shared" si="93"/>
        <v>1.9329766731057041E-12</v>
      </c>
      <c r="CB86" s="20">
        <f t="shared" si="64"/>
        <v>3.5982663925596575E-12</v>
      </c>
      <c r="CC86" s="59">
        <f t="shared" si="65"/>
        <v>293.3333333333369</v>
      </c>
      <c r="CD86" s="59">
        <f ca="1">AVERAGE(OFFSET($CC$3,0,0,'Données projet'!$E$12+1,1))-AVERAGE(OFFSET($H$3,0,0,'Données projet'!$E$12+1,1))</f>
        <v>295.95249585728561</v>
      </c>
      <c r="CE86" s="59">
        <f t="shared" si="94"/>
        <v>306.85862495052709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0.50620840715182502</v>
      </c>
      <c r="CL86" s="21">
        <f>EXP(-LN(2)/25)*CL85+(1-EXP(-LN(2)/25))/(LN(2)/25)*Calculateur!CG86*Calculateur!CI86*VLOOKUP('Données projet'!$B$12,Paramètres!$A$1:$I$89,3,0)*0.475*44/12</f>
        <v>1.9256588748972043</v>
      </c>
      <c r="CM86" s="21">
        <f>EXP(-LN(2)/2)*CM85+(1-EXP(-LN(2)/2))/(LN(2)/2)*CG86*CJ86*VLOOKUP('Données projet'!$B$12,Paramètres!$A$1:$I$89,3,0)*0.475*44/12</f>
        <v>1.377272565802203E-7</v>
      </c>
      <c r="CN86" s="22">
        <f t="shared" si="66"/>
        <v>2.4318674197762862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8.1</v>
      </c>
      <c r="CT86" s="12">
        <f>IF('Données projet'!$A$140&gt;35,CT85+CS86-DB85,IF(A86&lt;'Données projet'!$A$140,$CQ$205^A86,IF(A86='Données projet'!$A$140,'Données projet'!$B$140,CT85+CS86-DB85)))</f>
        <v>347.30000000000018</v>
      </c>
      <c r="CU86" s="17">
        <f>CT86*VLOOKUP('Données projet'!$B$13,Paramètres!$A$1:$I$89,3,0)*VLOOKUP('Données projet'!$B$13,Paramètres!$A$1:$I$89,5,0)</f>
        <v>330.49068000000017</v>
      </c>
      <c r="CV86" s="13">
        <f t="shared" si="95"/>
        <v>77.532028856033449</v>
      </c>
      <c r="CW86" s="20">
        <f t="shared" si="67"/>
        <v>710.63955125759185</v>
      </c>
      <c r="CX86" s="59">
        <f t="shared" si="68"/>
        <v>1003.9728845909251</v>
      </c>
      <c r="CY86" s="59">
        <f ca="1">AVERAGE(OFFSET($CX$3,0,0,'Données projet'!$E$13+1,1))-AVERAGE(OFFSET($H$3,0,0,'Données projet'!$E$13+1,1))</f>
        <v>461.10546083340631</v>
      </c>
      <c r="CZ86" s="59">
        <f t="shared" si="96"/>
        <v>233.41883071412587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0.90694531853444016</v>
      </c>
      <c r="DH86" s="21">
        <f>EXP(-LN(2)/2)*DH85+(1-EXP(-LN(2)/2))/(LN(2)/2)*DB86*DE86*VLOOKUP('Données projet'!$B$13,Paramètres!$A$1:$I$89,3,0)*0.475*44/12</f>
        <v>8.2779327611161123E-8</v>
      </c>
      <c r="DI86" s="22">
        <f t="shared" si="69"/>
        <v>0.90694540131376777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-4.1500243241898714E-13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296.376932094327</v>
      </c>
      <c r="DU86" s="59">
        <f t="shared" si="98"/>
        <v>350.93658329210882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0.9449223600167399</v>
      </c>
      <c r="EB86" s="21">
        <f>EXP(-LN(2)/25)*EB85+(1-EXP(-LN(2)/25))/(LN(2)/25)*Calculateur!DW86*Calculateur!DY86*VLOOKUP('Données projet'!$B$14,Paramètres!$A$1:$I$89,3,0)*0.475*44/12</f>
        <v>3.9049107391437277</v>
      </c>
      <c r="EC86" s="21">
        <f>EXP(-LN(2)/2)*EC85+(1-EXP(-LN(2)/2))/(LN(2)/2)*DW86*DZ86*VLOOKUP('Données projet'!$B$14,Paramètres!$A$1:$I$89,3,0)*0.475*44/12</f>
        <v>2.5825890107821589E-7</v>
      </c>
      <c r="ED86" s="22">
        <f t="shared" si="72"/>
        <v>4.8498333574193691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-5.1159076974727213E-13</v>
      </c>
      <c r="EK86" s="17">
        <f>EJ86*VLOOKUP('Données projet'!$B$15,Paramètres!$A$1:$I$89,3,0)*VLOOKUP('Données projet'!$B$15,Paramètres!$A$1:$I$89,5,0)</f>
        <v>-3.3519427233841269E-13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231.03244099494077</v>
      </c>
      <c r="EP86" s="59">
        <f t="shared" si="100"/>
        <v>280.29723026390741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0.7632065215519821</v>
      </c>
      <c r="EW86" s="21">
        <f>EXP(-LN(2)/25)*EW85+(1-EXP(-LN(2)/25))/(LN(2)/25)*Calculateur!ER86*Calculateur!ET86*VLOOKUP('Données projet'!$B$15,Paramètres!$A$1:$I$89,3,0)*0.475*44/12</f>
        <v>3.1539663662314714</v>
      </c>
      <c r="EX86" s="21">
        <f>EXP(-LN(2)/2)*EX85+(1-EXP(-LN(2)/2))/(LN(2)/2)*ER86*EU86*VLOOKUP('Données projet'!$B$15,Paramètres!$A$1:$I$89,3,0)*0.475*44/12</f>
        <v>2.085937277939435E-7</v>
      </c>
      <c r="EY86" s="22">
        <f t="shared" si="75"/>
        <v>3.9171730963771814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288.0883199999999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914.69343375208086</v>
      </c>
      <c r="S87" s="59">
        <f ca="1">AVERAGE(OFFSET($R$3,0,0,'Données projet'!$E$9+1,1))-AVERAGE(OFFSET($H$3,0,0,'Données projet'!$E$9+1,1))</f>
        <v>351.15781452544906</v>
      </c>
      <c r="T87" s="59">
        <f t="shared" si="88"/>
        <v>271.54361159160169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0.82662760792596013</v>
      </c>
      <c r="AA87" s="21">
        <f>EXP(-LN(2)/25)*AA86+(1-EXP(-LN(2)/25))/(LN(2)/25)*Calculateur!V87*Calculateur!X87*VLOOKUP('Données projet'!$B$9,Paramètres!$A$1:$I$89,3,0)*0.475*44/12</f>
        <v>2.5246013347959186</v>
      </c>
      <c r="AB87" s="21">
        <f>EXP(-LN(2)/2)*AB86+(1-EXP(-LN(2)/2))/(LN(2)/2)*V87*Y87*VLOOKUP('Données projet'!$B$9,Paramètres!$A$1:$I$89,3,0)*0.475*44/12</f>
        <v>1.6058487276812396E-7</v>
      </c>
      <c r="AC87" s="22">
        <f t="shared" si="57"/>
        <v>3.3512291033067516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8.1</v>
      </c>
      <c r="AI87" s="13">
        <f>IF('Données projet'!$A$62&gt;35,AI86+AH87-AQ86,IF(A87&lt;'Données projet'!$A$62,$AF$205^A87,IF(A87='Données projet'!$A$62,'Données projet'!$B$62,AI86+AH87-AQ86)))</f>
        <v>355.4000000000002</v>
      </c>
      <c r="AJ87" s="13">
        <f>AI87*VLOOKUP('Données projet'!$B$10,Paramètres!$A$1:$I$89,3,0)*VLOOKUP('Données projet'!$B$10,Paramètres!$A$1:$I$89,5,0)</f>
        <v>304.93320000000023</v>
      </c>
      <c r="AK87" s="13">
        <f t="shared" si="89"/>
        <v>72.209667926220163</v>
      </c>
      <c r="AL87" s="20">
        <f t="shared" si="58"/>
        <v>656.85716163816721</v>
      </c>
      <c r="AM87" s="59">
        <f t="shared" si="59"/>
        <v>950.19049497150058</v>
      </c>
      <c r="AN87" s="59">
        <f ca="1">AVERAGE(OFFSET($AM$3,0,0,'Données projet'!$E$10+1,1))-AVERAGE(OFFSET($H$3,0,0,'Données projet'!$E$10+1,1))</f>
        <v>405.59933429804329</v>
      </c>
      <c r="AO87" s="59">
        <f t="shared" si="90"/>
        <v>208.64922573363776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0.98034778534917355</v>
      </c>
      <c r="AW87" s="21">
        <f>EXP(-LN(2)/2)*AW86+(1-EXP(-LN(2)/2))/(LN(2)/2)*AQ87*AT87*VLOOKUP('Données projet'!$B$10,Paramètres!$A$1:$I$89,3,0)*0.475*44/12</f>
        <v>5.2776398594677113E-8</v>
      </c>
      <c r="AX87" s="21">
        <f t="shared" si="60"/>
        <v>0.98034783812557214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</v>
      </c>
      <c r="BD87" s="12">
        <f>IF('Données projet'!$A$88&gt;35,BD86+BC87-BL86,IF(A87&lt;'Données projet'!$A$88,$BA$205^A87,IF(A87='Données projet'!$A$88,'Données projet'!$B$88,BD86+BC87-BL86)))</f>
        <v>262.40000000000032</v>
      </c>
      <c r="BE87" s="13">
        <f>BD87*VLOOKUP('Données projet'!$B$11,Paramètres!$A$1:$I$89,3,0)*VLOOKUP('Données projet'!$B$11,Paramètres!$A$1:$I$89,5,0)</f>
        <v>253.79328000000029</v>
      </c>
      <c r="BF87" s="13">
        <f t="shared" si="91"/>
        <v>61.397501391795316</v>
      </c>
      <c r="BG87" s="20">
        <f t="shared" si="61"/>
        <v>548.95727759071076</v>
      </c>
      <c r="BH87" s="59">
        <f t="shared" si="62"/>
        <v>842.29061092404413</v>
      </c>
      <c r="BI87" s="59">
        <f ca="1">AVERAGE(OFFSET($BH$3,0,0,'Données projet'!$E$11+1,1))-AVERAGE(OFFSET($H$3,0,0,'Données projet'!$E$11+1,1))</f>
        <v>293.19327646293601</v>
      </c>
      <c r="BJ87" s="59">
        <f t="shared" si="92"/>
        <v>200.0769581869605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0.74290231488837133</v>
      </c>
      <c r="BR87" s="21">
        <f>EXP(-LN(2)/2)*BR86+(1-EXP(-LN(2)/2))/(LN(2)/2)*BL87*BO87*VLOOKUP('Données projet'!$B$11,Paramètres!$A$1:$I$89,3,0)*0.475*44/12</f>
        <v>4.929452710297632E-8</v>
      </c>
      <c r="BS87" s="22">
        <f t="shared" si="63"/>
        <v>0.74290236418289846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1.7053025658242404E-13</v>
      </c>
      <c r="BZ87" s="13">
        <f>BY87*VLOOKUP('Données projet'!$B$12,Paramètres!$A$1:$I$89,3,0)*VLOOKUP('Données projet'!$B$12,Paramètres!$A$1:$I$89,5,0)</f>
        <v>1.3301360013429075E-13</v>
      </c>
      <c r="CA87" s="13">
        <f t="shared" si="93"/>
        <v>1.9329766731057041E-12</v>
      </c>
      <c r="CB87" s="20">
        <f t="shared" si="64"/>
        <v>3.5982663925596575E-12</v>
      </c>
      <c r="CC87" s="59">
        <f t="shared" si="65"/>
        <v>293.3333333333369</v>
      </c>
      <c r="CD87" s="59">
        <f ca="1">AVERAGE(OFFSET($CC$3,0,0,'Données projet'!$E$12+1,1))-AVERAGE(OFFSET($H$3,0,0,'Données projet'!$E$12+1,1))</f>
        <v>295.95249585728561</v>
      </c>
      <c r="CE87" s="59">
        <f t="shared" si="94"/>
        <v>306.85862495052709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0.4962819690442189</v>
      </c>
      <c r="CL87" s="21">
        <f>EXP(-LN(2)/25)*CL86+(1-EXP(-LN(2)/25))/(LN(2)/25)*Calculateur!CG87*Calculateur!CI87*VLOOKUP('Données projet'!$B$12,Paramètres!$A$1:$I$89,3,0)*0.475*44/12</f>
        <v>1.8730016316971412</v>
      </c>
      <c r="CM87" s="21">
        <f>EXP(-LN(2)/2)*CM86+(1-EXP(-LN(2)/2))/(LN(2)/2)*CG87*CJ87*VLOOKUP('Données projet'!$B$12,Paramètres!$A$1:$I$89,3,0)*0.475*44/12</f>
        <v>9.7387877082093324E-8</v>
      </c>
      <c r="CN87" s="22">
        <f t="shared" si="66"/>
        <v>2.3692836981292369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8.1</v>
      </c>
      <c r="CT87" s="12">
        <f>IF('Données projet'!$A$140&gt;35,CT86+CS87-DB86,IF(A87&lt;'Données projet'!$A$140,$CQ$205^A87,IF(A87='Données projet'!$A$140,'Données projet'!$B$140,CT86+CS87-DB86)))</f>
        <v>355.4000000000002</v>
      </c>
      <c r="CU87" s="17">
        <f>CT87*VLOOKUP('Données projet'!$B$13,Paramètres!$A$1:$I$89,3,0)*VLOOKUP('Données projet'!$B$13,Paramètres!$A$1:$I$89,5,0)</f>
        <v>338.19864000000018</v>
      </c>
      <c r="CV87" s="13">
        <f t="shared" si="95"/>
        <v>79.127659054341521</v>
      </c>
      <c r="CW87" s="20">
        <f t="shared" si="67"/>
        <v>726.84330418631168</v>
      </c>
      <c r="CX87" s="59">
        <f t="shared" si="68"/>
        <v>1020.1766375196451</v>
      </c>
      <c r="CY87" s="59">
        <f ca="1">AVERAGE(OFFSET($CX$3,0,0,'Données projet'!$E$13+1,1))-AVERAGE(OFFSET($H$3,0,0,'Données projet'!$E$13+1,1))</f>
        <v>461.10546083340631</v>
      </c>
      <c r="CZ87" s="59">
        <f t="shared" si="96"/>
        <v>233.41883071412587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0.88214485110493446</v>
      </c>
      <c r="DH87" s="21">
        <f>EXP(-LN(2)/2)*DH86+(1-EXP(-LN(2)/2))/(LN(2)/2)*DB87*DE87*VLOOKUP('Données projet'!$B$13,Paramètres!$A$1:$I$89,3,0)*0.475*44/12</f>
        <v>5.8533823895914841E-8</v>
      </c>
      <c r="DI87" s="22">
        <f t="shared" si="69"/>
        <v>0.88214490963875836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-4.1500243241898714E-13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296.376932094327</v>
      </c>
      <c r="DU87" s="59">
        <f t="shared" si="98"/>
        <v>350.93658329210882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0.92639300888254184</v>
      </c>
      <c r="EB87" s="21">
        <f>EXP(-LN(2)/25)*EB86+(1-EXP(-LN(2)/25))/(LN(2)/25)*Calculateur!DW87*Calculateur!DY87*VLOOKUP('Données projet'!$B$14,Paramètres!$A$1:$I$89,3,0)*0.475*44/12</f>
        <v>3.7981307496315115</v>
      </c>
      <c r="EC87" s="21">
        <f>EXP(-LN(2)/2)*EC86+(1-EXP(-LN(2)/2))/(LN(2)/2)*DW87*DZ87*VLOOKUP('Données projet'!$B$14,Paramètres!$A$1:$I$89,3,0)*0.475*44/12</f>
        <v>1.8261662025419223E-7</v>
      </c>
      <c r="ED87" s="22">
        <f t="shared" si="72"/>
        <v>4.7245239411306734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-5.1159076974727213E-13</v>
      </c>
      <c r="EK87" s="17">
        <f>EJ87*VLOOKUP('Données projet'!$B$15,Paramètres!$A$1:$I$89,3,0)*VLOOKUP('Données projet'!$B$15,Paramètres!$A$1:$I$89,5,0)</f>
        <v>-3.3519427233841269E-13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231.03244099494077</v>
      </c>
      <c r="EP87" s="59">
        <f t="shared" si="100"/>
        <v>280.29723026390741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0.74824050717436053</v>
      </c>
      <c r="EW87" s="21">
        <f>EXP(-LN(2)/25)*EW86+(1-EXP(-LN(2)/25))/(LN(2)/25)*Calculateur!ER87*Calculateur!ET87*VLOOKUP('Données projet'!$B$15,Paramètres!$A$1:$I$89,3,0)*0.475*44/12</f>
        <v>3.0677209900869893</v>
      </c>
      <c r="EX87" s="21">
        <f>EXP(-LN(2)/2)*EX86+(1-EXP(-LN(2)/2))/(LN(2)/2)*ER87*EU87*VLOOKUP('Données projet'!$B$15,Paramètres!$A$1:$I$89,3,0)*0.475*44/12</f>
        <v>1.4749803943607826E-7</v>
      </c>
      <c r="EY87" s="22">
        <f t="shared" si="75"/>
        <v>3.8159616447593896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294.05999999999989</v>
      </c>
      <c r="P88" s="13">
        <f t="shared" si="87"/>
        <v>69.929765653573313</v>
      </c>
      <c r="Q88" s="20">
        <f t="shared" si="54"/>
        <v>633.94884184663999</v>
      </c>
      <c r="R88" s="59">
        <f t="shared" si="55"/>
        <v>927.28217517997336</v>
      </c>
      <c r="S88" s="59">
        <f ca="1">AVERAGE(OFFSET($R$3,0,0,'Données projet'!$E$9+1,1))-AVERAGE(OFFSET($H$3,0,0,'Données projet'!$E$9+1,1))</f>
        <v>351.15781452544906</v>
      </c>
      <c r="T88" s="59">
        <f t="shared" si="88"/>
        <v>271.54361159160169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0.81041794472758799</v>
      </c>
      <c r="AA88" s="21">
        <f>EXP(-LN(2)/25)*AA87+(1-EXP(-LN(2)/25))/(LN(2)/25)*Calculateur!V88*Calculateur!X88*VLOOKUP('Données projet'!$B$9,Paramètres!$A$1:$I$89,3,0)*0.475*44/12</f>
        <v>2.4555659785329103</v>
      </c>
      <c r="AB88" s="21">
        <f>EXP(-LN(2)/2)*AB87+(1-EXP(-LN(2)/2))/(LN(2)/2)*V88*Y88*VLOOKUP('Données projet'!$B$9,Paramètres!$A$1:$I$89,3,0)*0.475*44/12</f>
        <v>1.1355065249031941E-7</v>
      </c>
      <c r="AC88" s="22">
        <f t="shared" si="57"/>
        <v>3.2659840368111506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8.1</v>
      </c>
      <c r="AI88" s="13">
        <f>IF('Données projet'!$A$62&gt;35,AI87+AH88-AQ87,IF(A88&lt;'Données projet'!$A$62,$AF$205^A88,IF(A88='Données projet'!$A$62,'Données projet'!$B$62,AI87+AH88-AQ87)))</f>
        <v>363.50000000000023</v>
      </c>
      <c r="AJ88" s="13">
        <f>AI88*VLOOKUP('Données projet'!$B$10,Paramètres!$A$1:$I$89,3,0)*VLOOKUP('Données projet'!$B$10,Paramètres!$A$1:$I$89,5,0)</f>
        <v>311.88300000000027</v>
      </c>
      <c r="AK88" s="13">
        <f t="shared" si="89"/>
        <v>73.661936811145893</v>
      </c>
      <c r="AL88" s="20">
        <f t="shared" si="58"/>
        <v>671.49076494607959</v>
      </c>
      <c r="AM88" s="59">
        <f t="shared" si="59"/>
        <v>964.82409827941296</v>
      </c>
      <c r="AN88" s="59">
        <f ca="1">AVERAGE(OFFSET($AM$3,0,0,'Données projet'!$E$10+1,1))-AVERAGE(OFFSET($H$3,0,0,'Données projet'!$E$10+1,1))</f>
        <v>405.59933429804329</v>
      </c>
      <c r="AO88" s="59">
        <f t="shared" si="90"/>
        <v>208.64922573363776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0.95354012360455098</v>
      </c>
      <c r="AW88" s="21">
        <f>EXP(-LN(2)/2)*AW87+(1-EXP(-LN(2)/2))/(LN(2)/2)*AQ88*AT88*VLOOKUP('Données projet'!$B$10,Paramètres!$A$1:$I$89,3,0)*0.475*44/12</f>
        <v>3.7318549332900363E-8</v>
      </c>
      <c r="AX88" s="21">
        <f t="shared" si="60"/>
        <v>0.95354016092310034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</v>
      </c>
      <c r="BD88" s="12">
        <f>IF('Données projet'!$A$88&gt;35,BD87+BC88-BL87,IF(A88&lt;'Données projet'!$A$88,$BA$205^A88,IF(A88='Données projet'!$A$88,'Données projet'!$B$88,BD87+BC88-BL87)))</f>
        <v>268.00000000000034</v>
      </c>
      <c r="BE88" s="13">
        <f>BD88*VLOOKUP('Données projet'!$B$11,Paramètres!$A$1:$I$89,3,0)*VLOOKUP('Données projet'!$B$11,Paramètres!$A$1:$I$89,5,0)</f>
        <v>259.20960000000036</v>
      </c>
      <c r="BF88" s="13">
        <f t="shared" si="91"/>
        <v>62.553866774106815</v>
      </c>
      <c r="BG88" s="20">
        <f t="shared" si="61"/>
        <v>560.4047046315701</v>
      </c>
      <c r="BH88" s="59">
        <f t="shared" si="62"/>
        <v>853.73803796490347</v>
      </c>
      <c r="BI88" s="59">
        <f ca="1">AVERAGE(OFFSET($BH$3,0,0,'Données projet'!$E$11+1,1))-AVERAGE(OFFSET($H$3,0,0,'Données projet'!$E$11+1,1))</f>
        <v>293.19327646293601</v>
      </c>
      <c r="BJ88" s="59">
        <f t="shared" si="92"/>
        <v>200.0769581869605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0.72258761202021404</v>
      </c>
      <c r="BR88" s="21">
        <f>EXP(-LN(2)/2)*BR87+(1-EXP(-LN(2)/2))/(LN(2)/2)*BL88*BO88*VLOOKUP('Données projet'!$B$11,Paramètres!$A$1:$I$89,3,0)*0.475*44/12</f>
        <v>3.4856494389898613E-8</v>
      </c>
      <c r="BS88" s="22">
        <f t="shared" si="63"/>
        <v>0.7225876468767084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1.7053025658242404E-13</v>
      </c>
      <c r="BZ88" s="13">
        <f>BY88*VLOOKUP('Données projet'!$B$12,Paramètres!$A$1:$I$89,3,0)*VLOOKUP('Données projet'!$B$12,Paramètres!$A$1:$I$89,5,0)</f>
        <v>1.3301360013429075E-13</v>
      </c>
      <c r="CA88" s="13">
        <f t="shared" si="93"/>
        <v>1.9329766731057041E-12</v>
      </c>
      <c r="CB88" s="20">
        <f t="shared" si="64"/>
        <v>3.5982663925596575E-12</v>
      </c>
      <c r="CC88" s="59">
        <f t="shared" si="65"/>
        <v>293.3333333333369</v>
      </c>
      <c r="CD88" s="59">
        <f ca="1">AVERAGE(OFFSET($CC$3,0,0,'Données projet'!$E$12+1,1))-AVERAGE(OFFSET($H$3,0,0,'Données projet'!$E$12+1,1))</f>
        <v>295.95249585728561</v>
      </c>
      <c r="CE88" s="59">
        <f t="shared" si="94"/>
        <v>306.85862495052709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0.48655018233337355</v>
      </c>
      <c r="CL88" s="21">
        <f>EXP(-LN(2)/25)*CL87+(1-EXP(-LN(2)/25))/(LN(2)/25)*Calculateur!CG88*Calculateur!CI88*VLOOKUP('Données projet'!$B$12,Paramètres!$A$1:$I$89,3,0)*0.475*44/12</f>
        <v>1.8217843035815078</v>
      </c>
      <c r="CM88" s="21">
        <f>EXP(-LN(2)/2)*CM87+(1-EXP(-LN(2)/2))/(LN(2)/2)*CG88*CJ88*VLOOKUP('Données projet'!$B$12,Paramètres!$A$1:$I$89,3,0)*0.475*44/12</f>
        <v>6.8863628290110149E-8</v>
      </c>
      <c r="CN88" s="22">
        <f t="shared" si="66"/>
        <v>2.3083345547785092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8.1</v>
      </c>
      <c r="CT88" s="12">
        <f>IF('Données projet'!$A$140&gt;35,CT87+CS88-DB87,IF(A88&lt;'Données projet'!$A$140,$CQ$205^A88,IF(A88='Données projet'!$A$140,'Données projet'!$B$140,CT87+CS88-DB87)))</f>
        <v>363.50000000000023</v>
      </c>
      <c r="CU88" s="17">
        <f>CT88*VLOOKUP('Données projet'!$B$13,Paramètres!$A$1:$I$89,3,0)*VLOOKUP('Données projet'!$B$13,Paramètres!$A$1:$I$89,5,0)</f>
        <v>345.9066000000002</v>
      </c>
      <c r="CV88" s="13">
        <f t="shared" si="95"/>
        <v>80.719061431361865</v>
      </c>
      <c r="CW88" s="20">
        <f t="shared" si="67"/>
        <v>743.03969365962223</v>
      </c>
      <c r="CX88" s="59">
        <f t="shared" si="68"/>
        <v>1036.3730269929556</v>
      </c>
      <c r="CY88" s="59">
        <f ca="1">AVERAGE(OFFSET($CX$3,0,0,'Données projet'!$E$13+1,1))-AVERAGE(OFFSET($H$3,0,0,'Données projet'!$E$13+1,1))</f>
        <v>461.10546083340631</v>
      </c>
      <c r="CZ88" s="59">
        <f t="shared" si="96"/>
        <v>233.41883071412587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0.8580225537614885</v>
      </c>
      <c r="DH88" s="21">
        <f>EXP(-LN(2)/2)*DH87+(1-EXP(-LN(2)/2))/(LN(2)/2)*DB88*DE88*VLOOKUP('Données projet'!$B$13,Paramètres!$A$1:$I$89,3,0)*0.475*44/12</f>
        <v>4.1389663805580568E-8</v>
      </c>
      <c r="DI88" s="22">
        <f t="shared" si="69"/>
        <v>0.85802259515115231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-4.1500243241898714E-13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296.376932094327</v>
      </c>
      <c r="DU88" s="59">
        <f t="shared" si="98"/>
        <v>350.93658329210882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0.90822700702229719</v>
      </c>
      <c r="EB88" s="21">
        <f>EXP(-LN(2)/25)*EB87+(1-EXP(-LN(2)/25))/(LN(2)/25)*Calculateur!DW88*Calculateur!DY88*VLOOKUP('Données projet'!$B$14,Paramètres!$A$1:$I$89,3,0)*0.475*44/12</f>
        <v>3.6942706645478225</v>
      </c>
      <c r="EC88" s="21">
        <f>EXP(-LN(2)/2)*EC87+(1-EXP(-LN(2)/2))/(LN(2)/2)*DW88*DZ88*VLOOKUP('Données projet'!$B$14,Paramètres!$A$1:$I$89,3,0)*0.475*44/12</f>
        <v>1.2912945053910795E-7</v>
      </c>
      <c r="ED88" s="22">
        <f t="shared" si="72"/>
        <v>4.6024978006995703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-5.1159076974727213E-13</v>
      </c>
      <c r="EK88" s="17">
        <f>EJ88*VLOOKUP('Données projet'!$B$15,Paramètres!$A$1:$I$89,3,0)*VLOOKUP('Données projet'!$B$15,Paramètres!$A$1:$I$89,5,0)</f>
        <v>-3.3519427233841269E-13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231.03244099494077</v>
      </c>
      <c r="EP88" s="59">
        <f t="shared" si="100"/>
        <v>280.29723026390741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0.7335679672103167</v>
      </c>
      <c r="EW88" s="21">
        <f>EXP(-LN(2)/25)*EW87+(1-EXP(-LN(2)/25))/(LN(2)/25)*Calculateur!ER88*Calculateur!ET88*VLOOKUP('Données projet'!$B$15,Paramètres!$A$1:$I$89,3,0)*0.475*44/12</f>
        <v>2.9838339982886253</v>
      </c>
      <c r="EX88" s="21">
        <f>EXP(-LN(2)/2)*EX87+(1-EXP(-LN(2)/2))/(LN(2)/2)*ER88*EU88*VLOOKUP('Données projet'!$B$15,Paramètres!$A$1:$I$89,3,0)*0.475*44/12</f>
        <v>1.0429686389697175E-7</v>
      </c>
      <c r="EY88" s="22">
        <f t="shared" si="75"/>
        <v>3.7174020697958059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300.03167999999994</v>
      </c>
      <c r="P89" s="13">
        <f t="shared" si="87"/>
        <v>71.183104779714938</v>
      </c>
      <c r="Q89" s="20">
        <f t="shared" si="54"/>
        <v>646.53241682467001</v>
      </c>
      <c r="R89" s="59">
        <f t="shared" si="55"/>
        <v>939.86575015800327</v>
      </c>
      <c r="S89" s="59">
        <f ca="1">AVERAGE(OFFSET($R$3,0,0,'Données projet'!$E$9+1,1))-AVERAGE(OFFSET($H$3,0,0,'Données projet'!$E$9+1,1))</f>
        <v>351.15781452544906</v>
      </c>
      <c r="T89" s="59">
        <f t="shared" si="88"/>
        <v>271.54361159160169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0.7945261431376176</v>
      </c>
      <c r="AA89" s="21">
        <f>EXP(-LN(2)/25)*AA88+(1-EXP(-LN(2)/25))/(LN(2)/25)*Calculateur!V89*Calculateur!X89*VLOOKUP('Données projet'!$B$9,Paramètres!$A$1:$I$89,3,0)*0.475*44/12</f>
        <v>2.3884183977173254</v>
      </c>
      <c r="AB89" s="21">
        <f>EXP(-LN(2)/2)*AB88+(1-EXP(-LN(2)/2))/(LN(2)/2)*V89*Y89*VLOOKUP('Données projet'!$B$9,Paramètres!$A$1:$I$89,3,0)*0.475*44/12</f>
        <v>8.0292436384061992E-8</v>
      </c>
      <c r="AC89" s="22">
        <f t="shared" si="57"/>
        <v>3.1829446211473793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8.1</v>
      </c>
      <c r="AI89" s="13">
        <f>IF('Données projet'!$A$62&gt;35,AI88+AH89-AQ88,IF(A89&lt;'Données projet'!$A$62,$AF$205^A89,IF(A89='Données projet'!$A$62,'Données projet'!$B$62,AI88+AH89-AQ88)))</f>
        <v>371.60000000000025</v>
      </c>
      <c r="AJ89" s="13">
        <f>AI89*VLOOKUP('Données projet'!$B$10,Paramètres!$A$1:$I$89,3,0)*VLOOKUP('Données projet'!$B$10,Paramètres!$A$1:$I$89,5,0)</f>
        <v>318.83280000000025</v>
      </c>
      <c r="AK89" s="13">
        <f t="shared" si="89"/>
        <v>75.110443378112123</v>
      </c>
      <c r="AL89" s="20">
        <f t="shared" si="58"/>
        <v>686.11781555021219</v>
      </c>
      <c r="AM89" s="59">
        <f t="shared" si="59"/>
        <v>979.45114888354556</v>
      </c>
      <c r="AN89" s="59">
        <f ca="1">AVERAGE(OFFSET($AM$3,0,0,'Données projet'!$E$10+1,1))-AVERAGE(OFFSET($H$3,0,0,'Données projet'!$E$10+1,1))</f>
        <v>405.59933429804329</v>
      </c>
      <c r="AO89" s="59">
        <f t="shared" si="90"/>
        <v>208.64922573363776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0.92746551878008876</v>
      </c>
      <c r="AW89" s="21">
        <f>EXP(-LN(2)/2)*AW88+(1-EXP(-LN(2)/2))/(LN(2)/2)*AQ89*AT89*VLOOKUP('Données projet'!$B$10,Paramètres!$A$1:$I$89,3,0)*0.475*44/12</f>
        <v>2.6388199297338556E-8</v>
      </c>
      <c r="AX89" s="21">
        <f t="shared" si="60"/>
        <v>0.92746554516828805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273.60000000000036</v>
      </c>
      <c r="BE89" s="13">
        <f>BD89*VLOOKUP('Données projet'!$B$11,Paramètres!$A$1:$I$89,3,0)*VLOOKUP('Données projet'!$B$11,Paramètres!$A$1:$I$89,5,0)</f>
        <v>264.62592000000035</v>
      </c>
      <c r="BF89" s="13">
        <f t="shared" si="91"/>
        <v>63.707422801198717</v>
      </c>
      <c r="BG89" s="20">
        <f t="shared" si="61"/>
        <v>571.84723871208837</v>
      </c>
      <c r="BH89" s="59">
        <f t="shared" si="62"/>
        <v>865.18057204542174</v>
      </c>
      <c r="BI89" s="59">
        <f ca="1">AVERAGE(OFFSET($BH$3,0,0,'Données projet'!$E$11+1,1))-AVERAGE(OFFSET($H$3,0,0,'Données projet'!$E$11+1,1))</f>
        <v>293.19327646293601</v>
      </c>
      <c r="BJ89" s="59">
        <f t="shared" si="92"/>
        <v>200.0769581869605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0.70282841577029032</v>
      </c>
      <c r="BR89" s="21">
        <f>EXP(-LN(2)/2)*BR88+(1-EXP(-LN(2)/2))/(LN(2)/2)*BL89*BO89*VLOOKUP('Données projet'!$B$11,Paramètres!$A$1:$I$89,3,0)*0.475*44/12</f>
        <v>2.464726355148816E-8</v>
      </c>
      <c r="BS89" s="22">
        <f t="shared" si="63"/>
        <v>0.70282844041755388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1.7053025658242404E-13</v>
      </c>
      <c r="BZ89" s="13">
        <f>BY89*VLOOKUP('Données projet'!$B$12,Paramètres!$A$1:$I$89,3,0)*VLOOKUP('Données projet'!$B$12,Paramètres!$A$1:$I$89,5,0)</f>
        <v>1.3301360013429075E-13</v>
      </c>
      <c r="CA89" s="13">
        <f t="shared" si="93"/>
        <v>1.9329766731057041E-12</v>
      </c>
      <c r="CB89" s="20">
        <f t="shared" si="64"/>
        <v>3.5982663925596575E-12</v>
      </c>
      <c r="CC89" s="59">
        <f t="shared" si="65"/>
        <v>293.3333333333369</v>
      </c>
      <c r="CD89" s="59">
        <f ca="1">AVERAGE(OFFSET($CC$3,0,0,'Données projet'!$E$12+1,1))-AVERAGE(OFFSET($H$3,0,0,'Données projet'!$E$12+1,1))</f>
        <v>295.95249585728561</v>
      </c>
      <c r="CE89" s="59">
        <f t="shared" si="94"/>
        <v>306.85862495052709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0.4770092300241241</v>
      </c>
      <c r="CL89" s="21">
        <f>EXP(-LN(2)/25)*CL88+(1-EXP(-LN(2)/25))/(LN(2)/25)*Calculateur!CG89*Calculateur!CI89*VLOOKUP('Données projet'!$B$12,Paramètres!$A$1:$I$89,3,0)*0.475*44/12</f>
        <v>1.7719675159965986</v>
      </c>
      <c r="CM89" s="21">
        <f>EXP(-LN(2)/2)*CM88+(1-EXP(-LN(2)/2))/(LN(2)/2)*CG89*CJ89*VLOOKUP('Données projet'!$B$12,Paramètres!$A$1:$I$89,3,0)*0.475*44/12</f>
        <v>4.8693938541046662E-8</v>
      </c>
      <c r="CN89" s="22">
        <f t="shared" si="66"/>
        <v>2.2489767947146615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8.1</v>
      </c>
      <c r="CT89" s="12">
        <f>IF('Données projet'!$A$140&gt;35,CT88+CS89-DB88,IF(A89&lt;'Données projet'!$A$140,$CQ$205^A89,IF(A89='Données projet'!$A$140,'Données projet'!$B$140,CT88+CS89-DB88)))</f>
        <v>371.60000000000025</v>
      </c>
      <c r="CU89" s="17">
        <f>CT89*VLOOKUP('Données projet'!$B$13,Paramètres!$A$1:$I$89,3,0)*VLOOKUP('Données projet'!$B$13,Paramètres!$A$1:$I$89,5,0)</f>
        <v>353.61456000000027</v>
      </c>
      <c r="CV89" s="13">
        <f t="shared" si="95"/>
        <v>82.306341044473896</v>
      </c>
      <c r="CW89" s="20">
        <f t="shared" si="67"/>
        <v>759.22890265245906</v>
      </c>
      <c r="CX89" s="59">
        <f t="shared" si="68"/>
        <v>1052.5622359857923</v>
      </c>
      <c r="CY89" s="59">
        <f ca="1">AVERAGE(OFFSET($CX$3,0,0,'Données projet'!$E$13+1,1))-AVERAGE(OFFSET($H$3,0,0,'Données projet'!$E$13+1,1))</f>
        <v>461.10546083340631</v>
      </c>
      <c r="CZ89" s="59">
        <f t="shared" si="96"/>
        <v>233.41883071412587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0.83455988190743557</v>
      </c>
      <c r="DH89" s="21">
        <f>EXP(-LN(2)/2)*DH88+(1-EXP(-LN(2)/2))/(LN(2)/2)*DB89*DE89*VLOOKUP('Données projet'!$B$13,Paramètres!$A$1:$I$89,3,0)*0.475*44/12</f>
        <v>2.9266911947957427E-8</v>
      </c>
      <c r="DI89" s="22">
        <f t="shared" si="69"/>
        <v>0.83455991117434747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-4.1500243241898714E-13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296.376932094327</v>
      </c>
      <c r="DU89" s="59">
        <f t="shared" si="98"/>
        <v>350.93658329210882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0.89041722937836487</v>
      </c>
      <c r="EB89" s="21">
        <f>EXP(-LN(2)/25)*EB88+(1-EXP(-LN(2)/25))/(LN(2)/25)*Calculateur!DW89*Calculateur!DY89*VLOOKUP('Données projet'!$B$14,Paramètres!$A$1:$I$89,3,0)*0.475*44/12</f>
        <v>3.5932506389525116</v>
      </c>
      <c r="EC89" s="21">
        <f>EXP(-LN(2)/2)*EC88+(1-EXP(-LN(2)/2))/(LN(2)/2)*DW89*DZ89*VLOOKUP('Données projet'!$B$14,Paramètres!$A$1:$I$89,3,0)*0.475*44/12</f>
        <v>9.1308310127096115E-8</v>
      </c>
      <c r="ED89" s="22">
        <f t="shared" si="72"/>
        <v>4.4836679596391864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-5.1159076974727213E-13</v>
      </c>
      <c r="EK89" s="17">
        <f>EJ89*VLOOKUP('Données projet'!$B$15,Paramètres!$A$1:$I$89,3,0)*VLOOKUP('Données projet'!$B$15,Paramètres!$A$1:$I$89,5,0)</f>
        <v>-3.3519427233841269E-13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231.03244099494077</v>
      </c>
      <c r="EP89" s="59">
        <f t="shared" si="100"/>
        <v>280.29723026390741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0.71918314680560214</v>
      </c>
      <c r="EW89" s="21">
        <f>EXP(-LN(2)/25)*EW88+(1-EXP(-LN(2)/25))/(LN(2)/25)*Calculateur!ER89*Calculateur!ET89*VLOOKUP('Données projet'!$B$15,Paramètres!$A$1:$I$89,3,0)*0.475*44/12</f>
        <v>2.9022409006924126</v>
      </c>
      <c r="EX89" s="21">
        <f>EXP(-LN(2)/2)*EX88+(1-EXP(-LN(2)/2))/(LN(2)/2)*ER89*EU89*VLOOKUP('Données projet'!$B$15,Paramètres!$A$1:$I$89,3,0)*0.475*44/12</f>
        <v>7.374901971803913E-8</v>
      </c>
      <c r="EY89" s="22">
        <f t="shared" si="75"/>
        <v>3.6214241212470344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306.00335999999993</v>
      </c>
      <c r="P90" s="13">
        <f t="shared" si="87"/>
        <v>72.433543369450447</v>
      </c>
      <c r="Q90" s="20">
        <f t="shared" si="54"/>
        <v>659.11094003512596</v>
      </c>
      <c r="R90" s="59">
        <f t="shared" si="55"/>
        <v>952.44427336845933</v>
      </c>
      <c r="S90" s="59">
        <f ca="1">AVERAGE(OFFSET($R$3,0,0,'Données projet'!$E$9+1,1))-AVERAGE(OFFSET($H$3,0,0,'Données projet'!$E$9+1,1))</f>
        <v>351.15781452544906</v>
      </c>
      <c r="T90" s="59">
        <f t="shared" si="88"/>
        <v>271.54361159160169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0.77894597008378463</v>
      </c>
      <c r="AA90" s="21">
        <f>EXP(-LN(2)/25)*AA89+(1-EXP(-LN(2)/25))/(LN(2)/25)*Calculateur!V90*Calculateur!X90*VLOOKUP('Données projet'!$B$9,Paramètres!$A$1:$I$89,3,0)*0.475*44/12</f>
        <v>2.3231069710302803</v>
      </c>
      <c r="AB90" s="21">
        <f>EXP(-LN(2)/2)*AB89+(1-EXP(-LN(2)/2))/(LN(2)/2)*V90*Y90*VLOOKUP('Données projet'!$B$9,Paramètres!$A$1:$I$89,3,0)*0.475*44/12</f>
        <v>5.6775326245159712E-8</v>
      </c>
      <c r="AC90" s="22">
        <f t="shared" si="57"/>
        <v>3.1020529978893912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8.1</v>
      </c>
      <c r="AI90" s="13">
        <f>IF('Données projet'!$A$62&gt;35,AI89+AH90-AQ89,IF(A90&lt;'Données projet'!$A$62,$AF$205^A90,IF(A90='Données projet'!$A$62,'Données projet'!$B$62,AI89+AH90-AQ89)))</f>
        <v>379.70000000000027</v>
      </c>
      <c r="AJ90" s="13">
        <f>AI90*VLOOKUP('Données projet'!$B$10,Paramètres!$A$1:$I$89,3,0)*VLOOKUP('Données projet'!$B$10,Paramètres!$A$1:$I$89,5,0)</f>
        <v>325.78260000000029</v>
      </c>
      <c r="AK90" s="13">
        <f t="shared" si="89"/>
        <v>76.555279081238425</v>
      </c>
      <c r="AL90" s="20">
        <f t="shared" si="58"/>
        <v>700.73847273315744</v>
      </c>
      <c r="AM90" s="59">
        <f t="shared" si="59"/>
        <v>994.07180606649081</v>
      </c>
      <c r="AN90" s="59">
        <f ca="1">AVERAGE(OFFSET($AM$3,0,0,'Données projet'!$E$10+1,1))-AVERAGE(OFFSET($H$3,0,0,'Données projet'!$E$10+1,1))</f>
        <v>405.59933429804329</v>
      </c>
      <c r="AO90" s="59">
        <f t="shared" si="90"/>
        <v>208.64922573363776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0.90210392539575535</v>
      </c>
      <c r="AW90" s="21">
        <f>EXP(-LN(2)/2)*AW89+(1-EXP(-LN(2)/2))/(LN(2)/2)*AQ90*AT90*VLOOKUP('Données projet'!$B$10,Paramètres!$A$1:$I$89,3,0)*0.475*44/12</f>
        <v>1.8659274666450181E-8</v>
      </c>
      <c r="AX90" s="21">
        <f t="shared" si="60"/>
        <v>0.90210394405503003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279.20000000000039</v>
      </c>
      <c r="BE90" s="13">
        <f>BD90*VLOOKUP('Données projet'!$B$11,Paramètres!$A$1:$I$89,3,0)*VLOOKUP('Données projet'!$B$11,Paramètres!$A$1:$I$89,5,0)</f>
        <v>270.04224000000039</v>
      </c>
      <c r="BF90" s="13">
        <f t="shared" si="91"/>
        <v>64.858233600288202</v>
      </c>
      <c r="BG90" s="20">
        <f t="shared" si="61"/>
        <v>583.28499152050256</v>
      </c>
      <c r="BH90" s="59">
        <f t="shared" si="62"/>
        <v>876.61832485383593</v>
      </c>
      <c r="BI90" s="59">
        <f ca="1">AVERAGE(OFFSET($BH$3,0,0,'Données projet'!$E$11+1,1))-AVERAGE(OFFSET($H$3,0,0,'Données projet'!$E$11+1,1))</f>
        <v>293.19327646293601</v>
      </c>
      <c r="BJ90" s="59">
        <f t="shared" si="92"/>
        <v>200.0769581869605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0.68360953578091166</v>
      </c>
      <c r="BR90" s="21">
        <f>EXP(-LN(2)/2)*BR89+(1-EXP(-LN(2)/2))/(LN(2)/2)*BL90*BO90*VLOOKUP('Données projet'!$B$11,Paramètres!$A$1:$I$89,3,0)*0.475*44/12</f>
        <v>1.7428247194949306E-8</v>
      </c>
      <c r="BS90" s="22">
        <f t="shared" si="63"/>
        <v>0.68360955320915884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1.7053025658242404E-13</v>
      </c>
      <c r="BZ90" s="13">
        <f>BY90*VLOOKUP('Données projet'!$B$12,Paramètres!$A$1:$I$89,3,0)*VLOOKUP('Données projet'!$B$12,Paramètres!$A$1:$I$89,5,0)</f>
        <v>1.3301360013429075E-13</v>
      </c>
      <c r="CA90" s="13">
        <f t="shared" si="93"/>
        <v>1.9329766731057041E-12</v>
      </c>
      <c r="CB90" s="20">
        <f t="shared" si="64"/>
        <v>3.5982663925596575E-12</v>
      </c>
      <c r="CC90" s="59">
        <f t="shared" si="65"/>
        <v>293.3333333333369</v>
      </c>
      <c r="CD90" s="59">
        <f ca="1">AVERAGE(OFFSET($CC$3,0,0,'Données projet'!$E$12+1,1))-AVERAGE(OFFSET($H$3,0,0,'Données projet'!$E$12+1,1))</f>
        <v>295.95249585728561</v>
      </c>
      <c r="CE90" s="59">
        <f t="shared" si="94"/>
        <v>306.85862495052709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0.4676553699702527</v>
      </c>
      <c r="CL90" s="21">
        <f>EXP(-LN(2)/25)*CL89+(1-EXP(-LN(2)/25))/(LN(2)/25)*Calculateur!CG90*Calculateur!CI90*VLOOKUP('Données projet'!$B$12,Paramètres!$A$1:$I$89,3,0)*0.475*44/12</f>
        <v>1.7235129710879498</v>
      </c>
      <c r="CM90" s="21">
        <f>EXP(-LN(2)/2)*CM89+(1-EXP(-LN(2)/2))/(LN(2)/2)*CG90*CJ90*VLOOKUP('Données projet'!$B$12,Paramètres!$A$1:$I$89,3,0)*0.475*44/12</f>
        <v>3.4431814145055074E-8</v>
      </c>
      <c r="CN90" s="22">
        <f t="shared" si="66"/>
        <v>2.1911683754900166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8.1</v>
      </c>
      <c r="CT90" s="12">
        <f>IF('Données projet'!$A$140&gt;35,CT89+CS90-DB89,IF(A90&lt;'Données projet'!$A$140,$CQ$205^A90,IF(A90='Données projet'!$A$140,'Données projet'!$B$140,CT89+CS90-DB89)))</f>
        <v>379.70000000000027</v>
      </c>
      <c r="CU90" s="17">
        <f>CT90*VLOOKUP('Données projet'!$B$13,Paramètres!$A$1:$I$89,3,0)*VLOOKUP('Données projet'!$B$13,Paramètres!$A$1:$I$89,5,0)</f>
        <v>361.32252000000028</v>
      </c>
      <c r="CV90" s="13">
        <f t="shared" si="95"/>
        <v>83.889598109488034</v>
      </c>
      <c r="CW90" s="20">
        <f t="shared" si="67"/>
        <v>775.41110570735873</v>
      </c>
      <c r="CX90" s="59">
        <f t="shared" si="68"/>
        <v>1068.744439040692</v>
      </c>
      <c r="CY90" s="59">
        <f ca="1">AVERAGE(OFFSET($CX$3,0,0,'Données projet'!$E$13+1,1))-AVERAGE(OFFSET($H$3,0,0,'Données projet'!$E$13+1,1))</f>
        <v>461.10546083340631</v>
      </c>
      <c r="CZ90" s="59">
        <f t="shared" si="96"/>
        <v>233.41883071412587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0.81173879804908</v>
      </c>
      <c r="DH90" s="21">
        <f>EXP(-LN(2)/2)*DH89+(1-EXP(-LN(2)/2))/(LN(2)/2)*DB90*DE90*VLOOKUP('Données projet'!$B$13,Paramètres!$A$1:$I$89,3,0)*0.475*44/12</f>
        <v>2.0694831902790287E-8</v>
      </c>
      <c r="DI90" s="22">
        <f t="shared" si="69"/>
        <v>0.81173881874391185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-4.1500243241898714E-13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296.376932094327</v>
      </c>
      <c r="DU90" s="59">
        <f t="shared" si="98"/>
        <v>350.93658329210882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0.87295669061113834</v>
      </c>
      <c r="EB90" s="21">
        <f>EXP(-LN(2)/25)*EB89+(1-EXP(-LN(2)/25))/(LN(2)/25)*Calculateur!DW90*Calculateur!DY90*VLOOKUP('Données projet'!$B$14,Paramètres!$A$1:$I$89,3,0)*0.475*44/12</f>
        <v>3.4949930112695164</v>
      </c>
      <c r="EC90" s="21">
        <f>EXP(-LN(2)/2)*EC89+(1-EXP(-LN(2)/2))/(LN(2)/2)*DW90*DZ90*VLOOKUP('Données projet'!$B$14,Paramètres!$A$1:$I$89,3,0)*0.475*44/12</f>
        <v>6.4564725269553973E-8</v>
      </c>
      <c r="ED90" s="22">
        <f t="shared" si="72"/>
        <v>4.3679497664453795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-5.1159076974727213E-13</v>
      </c>
      <c r="EK90" s="17">
        <f>EJ90*VLOOKUP('Données projet'!$B$15,Paramètres!$A$1:$I$89,3,0)*VLOOKUP('Données projet'!$B$15,Paramètres!$A$1:$I$89,5,0)</f>
        <v>-3.3519427233841269E-13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231.03244099494077</v>
      </c>
      <c r="EP90" s="59">
        <f t="shared" si="100"/>
        <v>280.29723026390741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0.70508040395514993</v>
      </c>
      <c r="EW90" s="21">
        <f>EXP(-LN(2)/25)*EW89+(1-EXP(-LN(2)/25))/(LN(2)/25)*Calculateur!ER90*Calculateur!ET90*VLOOKUP('Données projet'!$B$15,Paramètres!$A$1:$I$89,3,0)*0.475*44/12</f>
        <v>2.8228789706407627</v>
      </c>
      <c r="EX90" s="21">
        <f>EXP(-LN(2)/2)*EX89+(1-EXP(-LN(2)/2))/(LN(2)/2)*ER90*EU90*VLOOKUP('Données projet'!$B$15,Paramètres!$A$1:$I$89,3,0)*0.475*44/12</f>
        <v>5.2148431948485875E-8</v>
      </c>
      <c r="EY90" s="22">
        <f t="shared" si="75"/>
        <v>3.5279594267443444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311.97503999999992</v>
      </c>
      <c r="P91" s="13">
        <f t="shared" si="87"/>
        <v>73.681144552074599</v>
      </c>
      <c r="Q91" s="20">
        <f t="shared" si="54"/>
        <v>671.68452142819649</v>
      </c>
      <c r="R91" s="59">
        <f t="shared" si="55"/>
        <v>965.01785476152986</v>
      </c>
      <c r="S91" s="59">
        <f ca="1">AVERAGE(OFFSET($R$3,0,0,'Données projet'!$E$9+1,1))-AVERAGE(OFFSET($H$3,0,0,'Données projet'!$E$9+1,1))</f>
        <v>351.15781452544906</v>
      </c>
      <c r="T91" s="59">
        <f t="shared" si="88"/>
        <v>271.54361159160169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0.76367131472057015</v>
      </c>
      <c r="AA91" s="21">
        <f>EXP(-LN(2)/25)*AA90+(1-EXP(-LN(2)/25))/(LN(2)/25)*Calculateur!V91*Calculateur!X91*VLOOKUP('Données projet'!$B$9,Paramètres!$A$1:$I$89,3,0)*0.475*44/12</f>
        <v>2.2595814887405714</v>
      </c>
      <c r="AB91" s="21">
        <f>EXP(-LN(2)/2)*AB90+(1-EXP(-LN(2)/2))/(LN(2)/2)*V91*Y91*VLOOKUP('Données projet'!$B$9,Paramètres!$A$1:$I$89,3,0)*0.475*44/12</f>
        <v>4.0146218192031003E-8</v>
      </c>
      <c r="AC91" s="22">
        <f t="shared" si="57"/>
        <v>3.0232528436073598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8.1</v>
      </c>
      <c r="AI91" s="13">
        <f>IF('Données projet'!$A$62&gt;35,AI90+AH91-AQ90,IF(A91&lt;'Données projet'!$A$62,$AF$205^A91,IF(A91='Données projet'!$A$62,'Données projet'!$B$62,AI90+AH91-AQ90)))</f>
        <v>387.8000000000003</v>
      </c>
      <c r="AJ91" s="13">
        <f>AI91*VLOOKUP('Données projet'!$B$10,Paramètres!$A$1:$I$89,3,0)*VLOOKUP('Données projet'!$B$10,Paramètres!$A$1:$I$89,5,0)</f>
        <v>332.73240000000033</v>
      </c>
      <c r="AK91" s="13">
        <f t="shared" si="89"/>
        <v>77.996531249821373</v>
      </c>
      <c r="AL91" s="20">
        <f t="shared" si="58"/>
        <v>715.35288859343939</v>
      </c>
      <c r="AM91" s="59">
        <f t="shared" si="59"/>
        <v>1008.6862219267728</v>
      </c>
      <c r="AN91" s="59">
        <f ca="1">AVERAGE(OFFSET($AM$3,0,0,'Données projet'!$E$10+1,1))-AVERAGE(OFFSET($H$3,0,0,'Données projet'!$E$10+1,1))</f>
        <v>405.59933429804329</v>
      </c>
      <c r="AO91" s="59">
        <f t="shared" si="90"/>
        <v>208.64922573363776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0.87743584611622472</v>
      </c>
      <c r="AW91" s="21">
        <f>EXP(-LN(2)/2)*AW90+(1-EXP(-LN(2)/2))/(LN(2)/2)*AQ91*AT91*VLOOKUP('Données projet'!$B$10,Paramètres!$A$1:$I$89,3,0)*0.475*44/12</f>
        <v>1.3194099648669278E-8</v>
      </c>
      <c r="AX91" s="21">
        <f t="shared" si="60"/>
        <v>0.87743585931032442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284.80000000000041</v>
      </c>
      <c r="BE91" s="13">
        <f>BD91*VLOOKUP('Données projet'!$B$11,Paramètres!$A$1:$I$89,3,0)*VLOOKUP('Données projet'!$B$11,Paramètres!$A$1:$I$89,5,0)</f>
        <v>275.45856000000038</v>
      </c>
      <c r="BF91" s="13">
        <f t="shared" si="91"/>
        <v>66.006360579066268</v>
      </c>
      <c r="BG91" s="20">
        <f t="shared" si="61"/>
        <v>594.71807000854108</v>
      </c>
      <c r="BH91" s="59">
        <f t="shared" si="62"/>
        <v>888.05140334187445</v>
      </c>
      <c r="BI91" s="59">
        <f ca="1">AVERAGE(OFFSET($BH$3,0,0,'Données projet'!$E$11+1,1))-AVERAGE(OFFSET($H$3,0,0,'Données projet'!$E$11+1,1))</f>
        <v>293.19327646293601</v>
      </c>
      <c r="BJ91" s="59">
        <f t="shared" si="92"/>
        <v>200.0769581869605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0.66491619707551952</v>
      </c>
      <c r="BR91" s="21">
        <f>EXP(-LN(2)/2)*BR90+(1-EXP(-LN(2)/2))/(LN(2)/2)*BL91*BO91*VLOOKUP('Données projet'!$B$11,Paramètres!$A$1:$I$89,3,0)*0.475*44/12</f>
        <v>1.232363177574408E-8</v>
      </c>
      <c r="BS91" s="22">
        <f t="shared" si="63"/>
        <v>0.6649162093991513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1.7053025658242404E-13</v>
      </c>
      <c r="BZ91" s="13">
        <f>BY91*VLOOKUP('Données projet'!$B$12,Paramètres!$A$1:$I$89,3,0)*VLOOKUP('Données projet'!$B$12,Paramètres!$A$1:$I$89,5,0)</f>
        <v>1.3301360013429075E-13</v>
      </c>
      <c r="CA91" s="13">
        <f t="shared" si="93"/>
        <v>1.9329766731057041E-12</v>
      </c>
      <c r="CB91" s="20">
        <f t="shared" si="64"/>
        <v>3.5982663925596575E-12</v>
      </c>
      <c r="CC91" s="59">
        <f t="shared" si="65"/>
        <v>293.3333333333369</v>
      </c>
      <c r="CD91" s="59">
        <f ca="1">AVERAGE(OFFSET($CC$3,0,0,'Données projet'!$E$12+1,1))-AVERAGE(OFFSET($H$3,0,0,'Données projet'!$E$12+1,1))</f>
        <v>295.95249585728561</v>
      </c>
      <c r="CE91" s="59">
        <f t="shared" si="94"/>
        <v>306.85862495052709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0.45848493340674645</v>
      </c>
      <c r="CL91" s="21">
        <f>EXP(-LN(2)/25)*CL90+(1-EXP(-LN(2)/25))/(LN(2)/25)*Calculateur!CG91*Calculateur!CI91*VLOOKUP('Données projet'!$B$12,Paramètres!$A$1:$I$89,3,0)*0.475*44/12</f>
        <v>1.6763834182579418</v>
      </c>
      <c r="CM91" s="21">
        <f>EXP(-LN(2)/2)*CM90+(1-EXP(-LN(2)/2))/(LN(2)/2)*CG91*CJ91*VLOOKUP('Données projet'!$B$12,Paramètres!$A$1:$I$89,3,0)*0.475*44/12</f>
        <v>2.4346969270523331E-8</v>
      </c>
      <c r="CN91" s="22">
        <f t="shared" si="66"/>
        <v>2.1348683760116578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8.1</v>
      </c>
      <c r="CT91" s="12">
        <f>IF('Données projet'!$A$140&gt;35,CT90+CS91-DB90,IF(A91&lt;'Données projet'!$A$140,$CQ$205^A91,IF(A91='Données projet'!$A$140,'Données projet'!$B$140,CT90+CS91-DB90)))</f>
        <v>387.8000000000003</v>
      </c>
      <c r="CU91" s="17">
        <f>CT91*VLOOKUP('Données projet'!$B$13,Paramètres!$A$1:$I$89,3,0)*VLOOKUP('Données projet'!$B$13,Paramètres!$A$1:$I$89,5,0)</f>
        <v>369.0304800000003</v>
      </c>
      <c r="CV91" s="13">
        <f t="shared" si="95"/>
        <v>85.468928322216456</v>
      </c>
      <c r="CW91" s="20">
        <f t="shared" si="67"/>
        <v>791.58646949452748</v>
      </c>
      <c r="CX91" s="59">
        <f t="shared" si="68"/>
        <v>1084.9198028278608</v>
      </c>
      <c r="CY91" s="59">
        <f ca="1">AVERAGE(OFFSET($CX$3,0,0,'Données projet'!$E$13+1,1))-AVERAGE(OFFSET($H$3,0,0,'Données projet'!$E$13+1,1))</f>
        <v>461.10546083340631</v>
      </c>
      <c r="CZ91" s="59">
        <f t="shared" si="96"/>
        <v>233.41883071412587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0.78954175792893977</v>
      </c>
      <c r="DH91" s="21">
        <f>EXP(-LN(2)/2)*DH90+(1-EXP(-LN(2)/2))/(LN(2)/2)*DB91*DE91*VLOOKUP('Données projet'!$B$13,Paramètres!$A$1:$I$89,3,0)*0.475*44/12</f>
        <v>1.4633455973978715E-8</v>
      </c>
      <c r="DI91" s="22">
        <f t="shared" si="69"/>
        <v>0.78954177256239577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-4.1500243241898714E-13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296.376932094327</v>
      </c>
      <c r="DU91" s="59">
        <f t="shared" si="98"/>
        <v>350.93658329210882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0.85583854235926005</v>
      </c>
      <c r="EB91" s="21">
        <f>EXP(-LN(2)/25)*EB90+(1-EXP(-LN(2)/25))/(LN(2)/25)*Calculateur!DW91*Calculateur!DY91*VLOOKUP('Données projet'!$B$14,Paramètres!$A$1:$I$89,3,0)*0.475*44/12</f>
        <v>3.3994222435826571</v>
      </c>
      <c r="EC91" s="21">
        <f>EXP(-LN(2)/2)*EC90+(1-EXP(-LN(2)/2))/(LN(2)/2)*DW91*DZ91*VLOOKUP('Données projet'!$B$14,Paramètres!$A$1:$I$89,3,0)*0.475*44/12</f>
        <v>4.5654155063548057E-8</v>
      </c>
      <c r="ED91" s="22">
        <f t="shared" si="72"/>
        <v>4.2552608315960727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-5.1159076974727213E-13</v>
      </c>
      <c r="EK91" s="17">
        <f>EJ91*VLOOKUP('Données projet'!$B$15,Paramètres!$A$1:$I$89,3,0)*VLOOKUP('Données projet'!$B$15,Paramètres!$A$1:$I$89,5,0)</f>
        <v>-3.3519427233841269E-13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231.03244099494077</v>
      </c>
      <c r="EP91" s="59">
        <f t="shared" si="100"/>
        <v>280.29723026390741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0.69125420729017129</v>
      </c>
      <c r="EW91" s="21">
        <f>EXP(-LN(2)/25)*EW90+(1-EXP(-LN(2)/25))/(LN(2)/25)*Calculateur!ER91*Calculateur!ET91*VLOOKUP('Données projet'!$B$15,Paramètres!$A$1:$I$89,3,0)*0.475*44/12</f>
        <v>2.7456871967398375</v>
      </c>
      <c r="EX91" s="21">
        <f>EXP(-LN(2)/2)*EX90+(1-EXP(-LN(2)/2))/(LN(2)/2)*ER91*EU91*VLOOKUP('Données projet'!$B$15,Paramètres!$A$1:$I$89,3,0)*0.475*44/12</f>
        <v>3.6874509859019565E-8</v>
      </c>
      <c r="EY91" s="22">
        <f t="shared" si="75"/>
        <v>3.4369414409045183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317.94671999999997</v>
      </c>
      <c r="P92" s="13">
        <f t="shared" si="87"/>
        <v>74.925968901822259</v>
      </c>
      <c r="Q92" s="20">
        <f t="shared" si="54"/>
        <v>684.253266504007</v>
      </c>
      <c r="R92" s="59">
        <f t="shared" si="55"/>
        <v>977.58659983734037</v>
      </c>
      <c r="S92" s="59">
        <f ca="1">AVERAGE(OFFSET($R$3,0,0,'Données projet'!$E$9+1,1))-AVERAGE(OFFSET($H$3,0,0,'Données projet'!$E$9+1,1))</f>
        <v>351.15781452544906</v>
      </c>
      <c r="T92" s="59">
        <f t="shared" si="88"/>
        <v>271.54361159160169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0.74869618603240851</v>
      </c>
      <c r="AA92" s="21">
        <f>EXP(-LN(2)/25)*AA91+(1-EXP(-LN(2)/25))/(LN(2)/25)*Calculateur!V92*Calculateur!X92*VLOOKUP('Données projet'!$B$9,Paramètres!$A$1:$I$89,3,0)*0.475*44/12</f>
        <v>2.1977931141047344</v>
      </c>
      <c r="AB92" s="21">
        <f>EXP(-LN(2)/2)*AB91+(1-EXP(-LN(2)/2))/(LN(2)/2)*V92*Y92*VLOOKUP('Données projet'!$B$9,Paramètres!$A$1:$I$89,3,0)*0.475*44/12</f>
        <v>2.8387663122579863E-8</v>
      </c>
      <c r="AC92" s="22">
        <f t="shared" si="57"/>
        <v>2.9464893285248062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8.1</v>
      </c>
      <c r="AI92" s="13">
        <f>IF('Données projet'!$A$62&gt;35,AI91+AH92-AQ91,IF(A92&lt;'Données projet'!$A$62,$AF$205^A92,IF(A92='Données projet'!$A$62,'Données projet'!$B$62,AI91+AH92-AQ91)))</f>
        <v>395.90000000000032</v>
      </c>
      <c r="AJ92" s="13">
        <f>AI92*VLOOKUP('Données projet'!$B$10,Paramètres!$A$1:$I$89,3,0)*VLOOKUP('Données projet'!$B$10,Paramètres!$A$1:$I$89,5,0)</f>
        <v>339.68220000000031</v>
      </c>
      <c r="AK92" s="13">
        <f t="shared" si="89"/>
        <v>79.434283356581474</v>
      </c>
      <c r="AL92" s="20">
        <f t="shared" si="58"/>
        <v>729.96120851271326</v>
      </c>
      <c r="AM92" s="59">
        <f t="shared" si="59"/>
        <v>1023.2945418460465</v>
      </c>
      <c r="AN92" s="59">
        <f ca="1">AVERAGE(OFFSET($AM$3,0,0,'Données projet'!$E$10+1,1))-AVERAGE(OFFSET($H$3,0,0,'Données projet'!$E$10+1,1))</f>
        <v>405.59933429804329</v>
      </c>
      <c r="AO92" s="59">
        <f t="shared" si="90"/>
        <v>208.64922573363776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0.8534423167618308</v>
      </c>
      <c r="AW92" s="21">
        <f>EXP(-LN(2)/2)*AW91+(1-EXP(-LN(2)/2))/(LN(2)/2)*AQ92*AT92*VLOOKUP('Données projet'!$B$10,Paramètres!$A$1:$I$89,3,0)*0.475*44/12</f>
        <v>9.3296373332250907E-9</v>
      </c>
      <c r="AX92" s="21">
        <f t="shared" si="60"/>
        <v>0.85344232609146808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290.40000000000043</v>
      </c>
      <c r="BE92" s="13">
        <f>BD92*VLOOKUP('Données projet'!$B$11,Paramètres!$A$1:$I$89,3,0)*VLOOKUP('Données projet'!$B$11,Paramètres!$A$1:$I$89,5,0)</f>
        <v>280.87488000000042</v>
      </c>
      <c r="BF92" s="13">
        <f t="shared" si="91"/>
        <v>67.151862592195968</v>
      </c>
      <c r="BG92" s="20">
        <f t="shared" si="61"/>
        <v>606.14657668140865</v>
      </c>
      <c r="BH92" s="59">
        <f t="shared" si="62"/>
        <v>899.47991001474202</v>
      </c>
      <c r="BI92" s="59">
        <f ca="1">AVERAGE(OFFSET($BH$3,0,0,'Données projet'!$E$11+1,1))-AVERAGE(OFFSET($H$3,0,0,'Données projet'!$E$11+1,1))</f>
        <v>293.19327646293601</v>
      </c>
      <c r="BJ92" s="59">
        <f t="shared" si="92"/>
        <v>200.0769581869605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0.64673402870006635</v>
      </c>
      <c r="BR92" s="21">
        <f>EXP(-LN(2)/2)*BR91+(1-EXP(-LN(2)/2))/(LN(2)/2)*BL92*BO92*VLOOKUP('Données projet'!$B$11,Paramètres!$A$1:$I$89,3,0)*0.475*44/12</f>
        <v>8.7141235974746532E-9</v>
      </c>
      <c r="BS92" s="22">
        <f t="shared" si="63"/>
        <v>0.64673403741419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1.7053025658242404E-13</v>
      </c>
      <c r="BZ92" s="13">
        <f>BY92*VLOOKUP('Données projet'!$B$12,Paramètres!$A$1:$I$89,3,0)*VLOOKUP('Données projet'!$B$12,Paramètres!$A$1:$I$89,5,0)</f>
        <v>1.3301360013429075E-13</v>
      </c>
      <c r="CA92" s="13">
        <f t="shared" si="93"/>
        <v>1.9329766731057041E-12</v>
      </c>
      <c r="CB92" s="20">
        <f t="shared" si="64"/>
        <v>3.5982663925596575E-12</v>
      </c>
      <c r="CC92" s="59">
        <f t="shared" si="65"/>
        <v>293.3333333333369</v>
      </c>
      <c r="CD92" s="59">
        <f ca="1">AVERAGE(OFFSET($CC$3,0,0,'Données projet'!$E$12+1,1))-AVERAGE(OFFSET($H$3,0,0,'Données projet'!$E$12+1,1))</f>
        <v>295.95249585728561</v>
      </c>
      <c r="CE92" s="59">
        <f t="shared" si="94"/>
        <v>306.85862495052709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0.44949432351083657</v>
      </c>
      <c r="CL92" s="21">
        <f>EXP(-LN(2)/25)*CL91+(1-EXP(-LN(2)/25))/(LN(2)/25)*Calculateur!CG92*Calculateur!CI92*VLOOKUP('Données projet'!$B$12,Paramètres!$A$1:$I$89,3,0)*0.475*44/12</f>
        <v>1.6305426255285058</v>
      </c>
      <c r="CM92" s="21">
        <f>EXP(-LN(2)/2)*CM91+(1-EXP(-LN(2)/2))/(LN(2)/2)*CG92*CJ92*VLOOKUP('Données projet'!$B$12,Paramètres!$A$1:$I$89,3,0)*0.475*44/12</f>
        <v>1.7215907072527537E-8</v>
      </c>
      <c r="CN92" s="22">
        <f t="shared" si="66"/>
        <v>2.0800369662552494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8.1</v>
      </c>
      <c r="CT92" s="12">
        <f>IF('Données projet'!$A$140&gt;35,CT91+CS92-DB91,IF(A92&lt;'Données projet'!$A$140,$CQ$205^A92,IF(A92='Données projet'!$A$140,'Données projet'!$B$140,CT91+CS92-DB91)))</f>
        <v>395.90000000000032</v>
      </c>
      <c r="CU92" s="17">
        <f>CT92*VLOOKUP('Données projet'!$B$13,Paramètres!$A$1:$I$89,3,0)*VLOOKUP('Données projet'!$B$13,Paramètres!$A$1:$I$89,5,0)</f>
        <v>376.73844000000031</v>
      </c>
      <c r="CV92" s="13">
        <f t="shared" si="95"/>
        <v>87.044423152418545</v>
      </c>
      <c r="CW92" s="20">
        <f t="shared" si="67"/>
        <v>807.75515332379609</v>
      </c>
      <c r="CX92" s="59">
        <f t="shared" si="68"/>
        <v>1101.0884866571294</v>
      </c>
      <c r="CY92" s="59">
        <f ca="1">AVERAGE(OFFSET($CX$3,0,0,'Données projet'!$E$13+1,1))-AVERAGE(OFFSET($H$3,0,0,'Données projet'!$E$13+1,1))</f>
        <v>461.10546083340631</v>
      </c>
      <c r="CZ92" s="59">
        <f t="shared" si="96"/>
        <v>233.41883071412587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0.76795169703817634</v>
      </c>
      <c r="DH92" s="21">
        <f>EXP(-LN(2)/2)*DH91+(1-EXP(-LN(2)/2))/(LN(2)/2)*DB92*DE92*VLOOKUP('Données projet'!$B$13,Paramètres!$A$1:$I$89,3,0)*0.475*44/12</f>
        <v>1.0347415951395145E-8</v>
      </c>
      <c r="DI92" s="22">
        <f t="shared" si="69"/>
        <v>0.76795170738559226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-4.1500243241898714E-13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296.376932094327</v>
      </c>
      <c r="DU92" s="59">
        <f t="shared" si="98"/>
        <v>350.93658329210882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0.83905607055356157</v>
      </c>
      <c r="EB92" s="21">
        <f>EXP(-LN(2)/25)*EB91+(1-EXP(-LN(2)/25))/(LN(2)/25)*Calculateur!DW92*Calculateur!DY92*VLOOKUP('Données projet'!$B$14,Paramètres!$A$1:$I$89,3,0)*0.475*44/12</f>
        <v>3.306464863564043</v>
      </c>
      <c r="EC92" s="21">
        <f>EXP(-LN(2)/2)*EC91+(1-EXP(-LN(2)/2))/(LN(2)/2)*DW92*DZ92*VLOOKUP('Données projet'!$B$14,Paramètres!$A$1:$I$89,3,0)*0.475*44/12</f>
        <v>3.2282362634776986E-8</v>
      </c>
      <c r="ED92" s="22">
        <f t="shared" si="72"/>
        <v>4.1455209663999675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-5.1159076974727213E-13</v>
      </c>
      <c r="EK92" s="17">
        <f>EJ92*VLOOKUP('Données projet'!$B$15,Paramètres!$A$1:$I$89,3,0)*VLOOKUP('Données projet'!$B$15,Paramètres!$A$1:$I$89,5,0)</f>
        <v>-3.3519427233841269E-13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231.03244099494077</v>
      </c>
      <c r="EP92" s="59">
        <f t="shared" si="100"/>
        <v>280.29723026390741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0.67769913390864567</v>
      </c>
      <c r="EW92" s="21">
        <f>EXP(-LN(2)/25)*EW91+(1-EXP(-LN(2)/25))/(LN(2)/25)*Calculateur!ER92*Calculateur!ET92*VLOOKUP('Données projet'!$B$15,Paramètres!$A$1:$I$89,3,0)*0.475*44/12</f>
        <v>2.6706062359555722</v>
      </c>
      <c r="EX92" s="21">
        <f>EXP(-LN(2)/2)*EX91+(1-EXP(-LN(2)/2))/(LN(2)/2)*ER92*EU92*VLOOKUP('Données projet'!$B$15,Paramètres!$A$1:$I$89,3,0)*0.475*44/12</f>
        <v>2.6074215974242938E-8</v>
      </c>
      <c r="EY92" s="22">
        <f t="shared" si="75"/>
        <v>3.3483053959384339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323.91839999999996</v>
      </c>
      <c r="P93" s="13">
        <f t="shared" si="87"/>
        <v>76.168074587293091</v>
      </c>
      <c r="Q93" s="20">
        <f t="shared" si="54"/>
        <v>696.81727657286876</v>
      </c>
      <c r="R93" s="59">
        <f t="shared" si="55"/>
        <v>990.15060990620213</v>
      </c>
      <c r="S93" s="59">
        <f ca="1">AVERAGE(OFFSET($R$3,0,0,'Données projet'!$E$9+1,1))-AVERAGE(OFFSET($H$3,0,0,'Données projet'!$E$9+1,1))</f>
        <v>351.15781452544906</v>
      </c>
      <c r="T93" s="59">
        <f t="shared" si="88"/>
        <v>271.54361159160169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0.73401471048389511</v>
      </c>
      <c r="AA93" s="21">
        <f>EXP(-LN(2)/25)*AA92+(1-EXP(-LN(2)/25))/(LN(2)/25)*Calculateur!V93*Calculateur!X93*VLOOKUP('Données projet'!$B$9,Paramètres!$A$1:$I$89,3,0)*0.475*44/12</f>
        <v>2.1376943458226236</v>
      </c>
      <c r="AB93" s="21">
        <f>EXP(-LN(2)/2)*AB92+(1-EXP(-LN(2)/2))/(LN(2)/2)*V93*Y93*VLOOKUP('Données projet'!$B$9,Paramètres!$A$1:$I$89,3,0)*0.475*44/12</f>
        <v>2.0073109096015505E-8</v>
      </c>
      <c r="AC93" s="22">
        <f t="shared" si="57"/>
        <v>2.8717090763796276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404</v>
      </c>
      <c r="AG93" s="12">
        <f>VLOOKUP(A93,'Données projet'!$A$61:$I$81,9,0)</f>
        <v>8.1</v>
      </c>
      <c r="AH93" s="12">
        <f t="array" ref="AH93">INDEX(AG:AG,MIN(IF(ISNUMBER(AG93:AG289),ROW(AG93:AG289),"")))</f>
        <v>8.1</v>
      </c>
      <c r="AI93" s="13">
        <f>IF('Données projet'!$A$62&gt;35,AI92+AH93-AQ92,IF(A93&lt;'Données projet'!$A$62,$AF$205^A93,IF(A93='Données projet'!$A$62,'Données projet'!$B$62,AI92+AH93-AQ92)))</f>
        <v>404.00000000000034</v>
      </c>
      <c r="AJ93" s="13">
        <f>AI93*VLOOKUP('Données projet'!$B$10,Paramètres!$A$1:$I$89,3,0)*VLOOKUP('Données projet'!$B$10,Paramètres!$A$1:$I$89,5,0)</f>
        <v>346.63200000000035</v>
      </c>
      <c r="AK93" s="13">
        <f t="shared" si="89"/>
        <v>80.868615263336864</v>
      </c>
      <c r="AL93" s="20">
        <f t="shared" si="58"/>
        <v>744.56357158364563</v>
      </c>
      <c r="AM93" s="59">
        <f t="shared" si="59"/>
        <v>1037.8969049169789</v>
      </c>
      <c r="AN93" s="59">
        <f ca="1">AVERAGE(OFFSET($AM$3,0,0,'Données projet'!$E$10+1,1))-AVERAGE(OFFSET($H$3,0,0,'Données projet'!$E$10+1,1))</f>
        <v>405.59933429804329</v>
      </c>
      <c r="AO93" s="59">
        <f t="shared" si="90"/>
        <v>208.64922573363776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53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0.83010489172939772</v>
      </c>
      <c r="AW93" s="21">
        <f>EXP(-LN(2)/2)*AW92+(1-EXP(-LN(2)/2))/(LN(2)/2)*AQ93*AT93*VLOOKUP('Données projet'!$B$10,Paramètres!$A$1:$I$89,3,0)*0.475*44/12</f>
        <v>6.5970498243346391E-9</v>
      </c>
      <c r="AX93" s="21">
        <f t="shared" si="60"/>
        <v>0.83010489832644752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5.6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296.00000000000045</v>
      </c>
      <c r="BE93" s="13">
        <f>BD93*VLOOKUP('Données projet'!$B$11,Paramètres!$A$1:$I$89,3,0)*VLOOKUP('Données projet'!$B$11,Paramètres!$A$1:$I$89,5,0)</f>
        <v>286.29120000000046</v>
      </c>
      <c r="BF93" s="13">
        <f t="shared" si="91"/>
        <v>68.294796094604521</v>
      </c>
      <c r="BG93" s="20">
        <f t="shared" si="61"/>
        <v>617.57060986477029</v>
      </c>
      <c r="BH93" s="59">
        <f t="shared" si="62"/>
        <v>910.90394319810366</v>
      </c>
      <c r="BI93" s="59">
        <f ca="1">AVERAGE(OFFSET($BH$3,0,0,'Données projet'!$E$11+1,1))-AVERAGE(OFFSET($H$3,0,0,'Données projet'!$E$11+1,1))</f>
        <v>293.19327646293601</v>
      </c>
      <c r="BJ93" s="59">
        <f t="shared" si="92"/>
        <v>200.0769581869605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0.62904905267499855</v>
      </c>
      <c r="BR93" s="21">
        <f>EXP(-LN(2)/2)*BR92+(1-EXP(-LN(2)/2))/(LN(2)/2)*BL93*BO93*VLOOKUP('Données projet'!$B$11,Paramètres!$A$1:$I$89,3,0)*0.475*44/12</f>
        <v>6.1618158878720401E-9</v>
      </c>
      <c r="BS93" s="22">
        <f t="shared" si="63"/>
        <v>0.62904905883681439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1.7053025658242404E-13</v>
      </c>
      <c r="BZ93" s="13">
        <f>BY93*VLOOKUP('Données projet'!$B$12,Paramètres!$A$1:$I$89,3,0)*VLOOKUP('Données projet'!$B$12,Paramètres!$A$1:$I$89,5,0)</f>
        <v>1.3301360013429075E-13</v>
      </c>
      <c r="CA93" s="13">
        <f t="shared" si="93"/>
        <v>1.9329766731057041E-12</v>
      </c>
      <c r="CB93" s="20">
        <f t="shared" si="64"/>
        <v>3.5982663925596575E-12</v>
      </c>
      <c r="CC93" s="59">
        <f t="shared" si="65"/>
        <v>293.3333333333369</v>
      </c>
      <c r="CD93" s="59">
        <f ca="1">AVERAGE(OFFSET($CC$3,0,0,'Données projet'!$E$12+1,1))-AVERAGE(OFFSET($H$3,0,0,'Données projet'!$E$12+1,1))</f>
        <v>295.95249585728561</v>
      </c>
      <c r="CE93" s="59">
        <f t="shared" si="94"/>
        <v>306.85862495052709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0.44068001399125489</v>
      </c>
      <c r="CL93" s="21">
        <f>EXP(-LN(2)/25)*CL92+(1-EXP(-LN(2)/25))/(LN(2)/25)*Calculateur!CG93*Calculateur!CI93*VLOOKUP('Données projet'!$B$12,Paramètres!$A$1:$I$89,3,0)*0.475*44/12</f>
        <v>1.5859553516869187</v>
      </c>
      <c r="CM93" s="21">
        <f>EXP(-LN(2)/2)*CM92+(1-EXP(-LN(2)/2))/(LN(2)/2)*CG93*CJ93*VLOOKUP('Données projet'!$B$12,Paramètres!$A$1:$I$89,3,0)*0.475*44/12</f>
        <v>1.2173484635261665E-8</v>
      </c>
      <c r="CN93" s="22">
        <f t="shared" si="66"/>
        <v>2.0266353778516581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404</v>
      </c>
      <c r="CR93" s="12">
        <f>VLOOKUP(A93,'Données projet'!$A$139:$I$159,9,0)</f>
        <v>8.1</v>
      </c>
      <c r="CS93" s="12">
        <f t="array" ref="CS93">INDEX(CR:CR,MIN(IF(ISNUMBER(CR93:CR289),ROW(CR93:CR289),"")))</f>
        <v>8.1</v>
      </c>
      <c r="CT93" s="12">
        <f>IF('Données projet'!$A$140&gt;35,CT92+CS93-DB92,IF(A93&lt;'Données projet'!$A$140,$CQ$205^A93,IF(A93='Données projet'!$A$140,'Données projet'!$B$140,CT92+CS93-DB92)))</f>
        <v>404.00000000000034</v>
      </c>
      <c r="CU93" s="17">
        <f>CT93*VLOOKUP('Données projet'!$B$13,Paramètres!$A$1:$I$89,3,0)*VLOOKUP('Données projet'!$B$13,Paramètres!$A$1:$I$89,5,0)</f>
        <v>384.44640000000032</v>
      </c>
      <c r="CV93" s="13">
        <f t="shared" si="95"/>
        <v>88.616170113012146</v>
      </c>
      <c r="CW93" s="20">
        <f t="shared" si="67"/>
        <v>823.91730961349674</v>
      </c>
      <c r="CX93" s="59">
        <f t="shared" si="68"/>
        <v>1117.2506429468301</v>
      </c>
      <c r="CY93" s="59">
        <f ca="1">AVERAGE(OFFSET($CX$3,0,0,'Données projet'!$E$13+1,1))-AVERAGE(OFFSET($H$3,0,0,'Données projet'!$E$13+1,1))</f>
        <v>461.10546083340631</v>
      </c>
      <c r="CZ93" s="59">
        <f t="shared" si="96"/>
        <v>233.41883071412587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53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0.74695201749784279</v>
      </c>
      <c r="DH93" s="21">
        <f>EXP(-LN(2)/2)*DH92+(1-EXP(-LN(2)/2))/(LN(2)/2)*DB93*DE93*VLOOKUP('Données projet'!$B$13,Paramètres!$A$1:$I$89,3,0)*0.475*44/12</f>
        <v>7.3167279869893593E-9</v>
      </c>
      <c r="DI93" s="22">
        <f t="shared" si="69"/>
        <v>0.74695202481457079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-4.1500243241898714E-13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296.376932094327</v>
      </c>
      <c r="DU93" s="59">
        <f t="shared" si="98"/>
        <v>350.93658329210882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0.82260269278367582</v>
      </c>
      <c r="EB93" s="21">
        <f>EXP(-LN(2)/25)*EB92+(1-EXP(-LN(2)/25))/(LN(2)/25)*Calculateur!DW93*Calculateur!DY93*VLOOKUP('Données projet'!$B$14,Paramètres!$A$1:$I$89,3,0)*0.475*44/12</f>
        <v>3.2160494079904542</v>
      </c>
      <c r="EC93" s="21">
        <f>EXP(-LN(2)/2)*EC92+(1-EXP(-LN(2)/2))/(LN(2)/2)*DW93*DZ93*VLOOKUP('Données projet'!$B$14,Paramètres!$A$1:$I$89,3,0)*0.475*44/12</f>
        <v>2.2827077531774029E-8</v>
      </c>
      <c r="ED93" s="22">
        <f t="shared" si="72"/>
        <v>4.0386521236012074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-5.1159076974727213E-13</v>
      </c>
      <c r="EK93" s="17">
        <f>EJ93*VLOOKUP('Données projet'!$B$15,Paramètres!$A$1:$I$89,3,0)*VLOOKUP('Données projet'!$B$15,Paramètres!$A$1:$I$89,5,0)</f>
        <v>-3.3519427233841269E-13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231.03244099494077</v>
      </c>
      <c r="EP93" s="59">
        <f t="shared" si="100"/>
        <v>280.29723026390741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0.66440986724835338</v>
      </c>
      <c r="EW93" s="21">
        <f>EXP(-LN(2)/25)*EW92+(1-EXP(-LN(2)/25))/(LN(2)/25)*Calculateur!ER93*Calculateur!ET93*VLOOKUP('Données projet'!$B$15,Paramètres!$A$1:$I$89,3,0)*0.475*44/12</f>
        <v>2.597578367992289</v>
      </c>
      <c r="EX93" s="21">
        <f>EXP(-LN(2)/2)*EX92+(1-EXP(-LN(2)/2))/(LN(2)/2)*ER93*EU93*VLOOKUP('Données projet'!$B$15,Paramètres!$A$1:$I$89,3,0)*0.475*44/12</f>
        <v>1.8437254929509783E-8</v>
      </c>
      <c r="EY93" s="22">
        <f t="shared" si="75"/>
        <v>3.2619882536778975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278.58791999999994</v>
      </c>
      <c r="P94" s="13">
        <f t="shared" si="87"/>
        <v>66.668508032294213</v>
      </c>
      <c r="Q94" s="20">
        <f t="shared" si="54"/>
        <v>601.32161215624558</v>
      </c>
      <c r="R94" s="59">
        <f t="shared" si="55"/>
        <v>894.65494548957895</v>
      </c>
      <c r="S94" s="59">
        <f ca="1">AVERAGE(OFFSET($R$3,0,0,'Données projet'!$E$9+1,1))-AVERAGE(OFFSET($H$3,0,0,'Données projet'!$E$9+1,1))</f>
        <v>351.15781452544906</v>
      </c>
      <c r="T94" s="59">
        <f t="shared" si="88"/>
        <v>271.54361159160169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0.71962112971607217</v>
      </c>
      <c r="AA94" s="21">
        <f>EXP(-LN(2)/25)*AA93+(1-EXP(-LN(2)/25))/(LN(2)/25)*Calculateur!V94*Calculateur!X94*VLOOKUP('Données projet'!$B$9,Paramètres!$A$1:$I$89,3,0)*0.475*44/12</f>
        <v>2.0792389815196439</v>
      </c>
      <c r="AB94" s="21">
        <f>EXP(-LN(2)/2)*AB93+(1-EXP(-LN(2)/2))/(LN(2)/2)*V94*Y94*VLOOKUP('Données projet'!$B$9,Paramètres!$A$1:$I$89,3,0)*0.475*44/12</f>
        <v>1.4193831561289933E-8</v>
      </c>
      <c r="AC94" s="22">
        <f t="shared" si="57"/>
        <v>2.7988601254295475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7.4</v>
      </c>
      <c r="AI94" s="13">
        <f>IF('Données projet'!$A$62&gt;35,AI93+AH94-AQ93,IF(A94&lt;'Données projet'!$A$62,$AF$205^A94,IF(A94='Données projet'!$A$62,'Données projet'!$B$62,AI93+AH94-AQ93)))</f>
        <v>358.40000000000032</v>
      </c>
      <c r="AJ94" s="13">
        <f>AI94*VLOOKUP('Données projet'!$B$10,Paramètres!$A$1:$I$89,3,0)*VLOOKUP('Données projet'!$B$10,Paramètres!$A$1:$I$89,5,0)</f>
        <v>307.50720000000035</v>
      </c>
      <c r="AK94" s="13">
        <f t="shared" si="89"/>
        <v>72.74798994294045</v>
      </c>
      <c r="AL94" s="20">
        <f t="shared" si="58"/>
        <v>662.27778915062186</v>
      </c>
      <c r="AM94" s="59">
        <f t="shared" si="59"/>
        <v>955.61112248395511</v>
      </c>
      <c r="AN94" s="59">
        <f ca="1">AVERAGE(OFFSET($AM$3,0,0,'Données projet'!$E$10+1,1))-AVERAGE(OFFSET($H$3,0,0,'Données projet'!$E$10+1,1))</f>
        <v>405.59933429804329</v>
      </c>
      <c r="AO94" s="59">
        <f t="shared" si="90"/>
        <v>208.64922573363776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0.80740562981173836</v>
      </c>
      <c r="AW94" s="21">
        <f>EXP(-LN(2)/2)*AW93+(1-EXP(-LN(2)/2))/(LN(2)/2)*AQ94*AT94*VLOOKUP('Données projet'!$B$10,Paramètres!$A$1:$I$89,3,0)*0.475*44/12</f>
        <v>4.6648186666125454E-9</v>
      </c>
      <c r="AX94" s="21">
        <f t="shared" si="60"/>
        <v>0.807405634476557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258.90000000000043</v>
      </c>
      <c r="BE94" s="13">
        <f>BD94*VLOOKUP('Données projet'!$B$11,Paramètres!$A$1:$I$89,3,0)*VLOOKUP('Données projet'!$B$11,Paramètres!$A$1:$I$89,5,0)</f>
        <v>250.40808000000041</v>
      </c>
      <c r="BF94" s="13">
        <f t="shared" si="91"/>
        <v>60.673316745925817</v>
      </c>
      <c r="BG94" s="20">
        <f t="shared" si="61"/>
        <v>541.80009933248812</v>
      </c>
      <c r="BH94" s="59">
        <f t="shared" si="62"/>
        <v>835.13343266582137</v>
      </c>
      <c r="BI94" s="59">
        <f ca="1">AVERAGE(OFFSET($BH$3,0,0,'Données projet'!$E$11+1,1))-AVERAGE(OFFSET($H$3,0,0,'Données projet'!$E$11+1,1))</f>
        <v>293.19327646293601</v>
      </c>
      <c r="BJ94" s="59">
        <f t="shared" si="92"/>
        <v>200.0769581869605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0.61184767324934874</v>
      </c>
      <c r="BR94" s="21">
        <f>EXP(-LN(2)/2)*BR93+(1-EXP(-LN(2)/2))/(LN(2)/2)*BL94*BO94*VLOOKUP('Données projet'!$B$11,Paramètres!$A$1:$I$89,3,0)*0.475*44/12</f>
        <v>4.3570617987373266E-9</v>
      </c>
      <c r="BS94" s="22">
        <f t="shared" si="63"/>
        <v>0.61184767760641057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1.7053025658242404E-13</v>
      </c>
      <c r="BZ94" s="13">
        <f>BY94*VLOOKUP('Données projet'!$B$12,Paramètres!$A$1:$I$89,3,0)*VLOOKUP('Données projet'!$B$12,Paramètres!$A$1:$I$89,5,0)</f>
        <v>1.3301360013429075E-13</v>
      </c>
      <c r="CA94" s="13">
        <f t="shared" si="93"/>
        <v>1.9329766731057041E-12</v>
      </c>
      <c r="CB94" s="20">
        <f t="shared" si="64"/>
        <v>3.5982663925596575E-12</v>
      </c>
      <c r="CC94" s="59">
        <f t="shared" si="65"/>
        <v>293.3333333333369</v>
      </c>
      <c r="CD94" s="59">
        <f ca="1">AVERAGE(OFFSET($CC$3,0,0,'Données projet'!$E$12+1,1))-AVERAGE(OFFSET($H$3,0,0,'Données projet'!$E$12+1,1))</f>
        <v>295.95249585728561</v>
      </c>
      <c r="CE94" s="59">
        <f t="shared" si="94"/>
        <v>306.85862495052709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0.43203854770515426</v>
      </c>
      <c r="CL94" s="21">
        <f>EXP(-LN(2)/25)*CL93+(1-EXP(-LN(2)/25))/(LN(2)/25)*Calculateur!CG94*Calculateur!CI94*VLOOKUP('Données projet'!$B$12,Paramètres!$A$1:$I$89,3,0)*0.475*44/12</f>
        <v>1.5425873191932726</v>
      </c>
      <c r="CM94" s="21">
        <f>EXP(-LN(2)/2)*CM93+(1-EXP(-LN(2)/2))/(LN(2)/2)*CG94*CJ94*VLOOKUP('Données projet'!$B$12,Paramètres!$A$1:$I$89,3,0)*0.475*44/12</f>
        <v>8.6079535362637686E-9</v>
      </c>
      <c r="CN94" s="22">
        <f t="shared" si="66"/>
        <v>1.9746258755063804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7.4</v>
      </c>
      <c r="CT94" s="12">
        <f>IF('Données projet'!$A$140&gt;35,CT93+CS94-DB93,IF(A94&lt;'Données projet'!$A$140,$CQ$205^A94,IF(A94='Données projet'!$A$140,'Données projet'!$B$140,CT93+CS94-DB93)))</f>
        <v>358.40000000000032</v>
      </c>
      <c r="CU94" s="17">
        <f>CT94*VLOOKUP('Données projet'!$B$13,Paramètres!$A$1:$I$89,3,0)*VLOOKUP('Données projet'!$B$13,Paramètres!$A$1:$I$89,5,0)</f>
        <v>341.05344000000031</v>
      </c>
      <c r="CV94" s="13">
        <f t="shared" si="95"/>
        <v>79.717554593592794</v>
      </c>
      <c r="CW94" s="20">
        <f t="shared" si="67"/>
        <v>732.84281558384134</v>
      </c>
      <c r="CX94" s="59">
        <f t="shared" si="68"/>
        <v>1026.1761489171747</v>
      </c>
      <c r="CY94" s="59">
        <f ca="1">AVERAGE(OFFSET($CX$3,0,0,'Données projet'!$E$13+1,1))-AVERAGE(OFFSET($H$3,0,0,'Données projet'!$E$13+1,1))</f>
        <v>461.10546083340631</v>
      </c>
      <c r="CZ94" s="59">
        <f t="shared" si="96"/>
        <v>233.41883071412587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0.72652657529886489</v>
      </c>
      <c r="DH94" s="21">
        <f>EXP(-LN(2)/2)*DH93+(1-EXP(-LN(2)/2))/(LN(2)/2)*DB94*DE94*VLOOKUP('Données projet'!$B$13,Paramètres!$A$1:$I$89,3,0)*0.475*44/12</f>
        <v>5.1737079756975735E-9</v>
      </c>
      <c r="DI94" s="22">
        <f t="shared" si="69"/>
        <v>0.7265265804725729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-4.1500243241898714E-13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296.376932094327</v>
      </c>
      <c r="DU94" s="59">
        <f t="shared" si="98"/>
        <v>350.93658329210882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0.80647195571628805</v>
      </c>
      <c r="EB94" s="21">
        <f>EXP(-LN(2)/25)*EB93+(1-EXP(-LN(2)/25))/(LN(2)/25)*Calculateur!DW94*Calculateur!DY94*VLOOKUP('Données projet'!$B$14,Paramètres!$A$1:$I$89,3,0)*0.475*44/12</f>
        <v>3.1281063678042673</v>
      </c>
      <c r="EC94" s="21">
        <f>EXP(-LN(2)/2)*EC93+(1-EXP(-LN(2)/2))/(LN(2)/2)*DW94*DZ94*VLOOKUP('Données projet'!$B$14,Paramètres!$A$1:$I$89,3,0)*0.475*44/12</f>
        <v>1.6141181317388493E-8</v>
      </c>
      <c r="ED94" s="22">
        <f t="shared" si="72"/>
        <v>3.9345783396617366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-5.1159076974727213E-13</v>
      </c>
      <c r="EK94" s="17">
        <f>EJ94*VLOOKUP('Données projet'!$B$15,Paramètres!$A$1:$I$89,3,0)*VLOOKUP('Données projet'!$B$15,Paramètres!$A$1:$I$89,5,0)</f>
        <v>-3.3519427233841269E-13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231.03244099494077</v>
      </c>
      <c r="EP94" s="59">
        <f t="shared" si="100"/>
        <v>280.29723026390741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0.65138119500161706</v>
      </c>
      <c r="EW94" s="21">
        <f>EXP(-LN(2)/25)*EW93+(1-EXP(-LN(2)/25))/(LN(2)/25)*Calculateur!ER94*Calculateur!ET94*VLOOKUP('Données projet'!$B$15,Paramètres!$A$1:$I$89,3,0)*0.475*44/12</f>
        <v>2.5265474509188302</v>
      </c>
      <c r="EX94" s="21">
        <f>EXP(-LN(2)/2)*EX93+(1-EXP(-LN(2)/2))/(LN(2)/2)*ER94*EU94*VLOOKUP('Données projet'!$B$15,Paramètres!$A$1:$I$89,3,0)*0.475*44/12</f>
        <v>1.3037107987121469E-8</v>
      </c>
      <c r="EY94" s="22">
        <f t="shared" si="75"/>
        <v>3.1779286589575553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283.92623999999995</v>
      </c>
      <c r="P95" s="13">
        <f t="shared" si="87"/>
        <v>67.796062628528304</v>
      </c>
      <c r="Q95" s="20">
        <f t="shared" si="54"/>
        <v>612.58301041135337</v>
      </c>
      <c r="R95" s="59">
        <f t="shared" si="55"/>
        <v>905.91634374468663</v>
      </c>
      <c r="S95" s="59">
        <f ca="1">AVERAGE(OFFSET($R$3,0,0,'Données projet'!$E$9+1,1))-AVERAGE(OFFSET($H$3,0,0,'Données projet'!$E$9+1,1))</f>
        <v>351.15781452544906</v>
      </c>
      <c r="T95" s="59">
        <f t="shared" si="88"/>
        <v>271.54361159160169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0.70550979828788885</v>
      </c>
      <c r="AA95" s="21">
        <f>EXP(-LN(2)/25)*AA94+(1-EXP(-LN(2)/25))/(LN(2)/25)*Calculateur!V95*Calculateur!X95*VLOOKUP('Données projet'!$B$9,Paramètres!$A$1:$I$89,3,0)*0.475*44/12</f>
        <v>2.0223820822275633</v>
      </c>
      <c r="AB95" s="21">
        <f>EXP(-LN(2)/2)*AB94+(1-EXP(-LN(2)/2))/(LN(2)/2)*V95*Y95*VLOOKUP('Données projet'!$B$9,Paramètres!$A$1:$I$89,3,0)*0.475*44/12</f>
        <v>1.0036554548007754E-8</v>
      </c>
      <c r="AC95" s="22">
        <f t="shared" si="57"/>
        <v>2.7278918905520069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7.4</v>
      </c>
      <c r="AI95" s="13">
        <f>IF('Données projet'!$A$62&gt;35,AI94+AH95-AQ94,IF(A95&lt;'Données projet'!$A$62,$AF$205^A95,IF(A95='Données projet'!$A$62,'Données projet'!$B$62,AI94+AH95-AQ94)))</f>
        <v>365.8000000000003</v>
      </c>
      <c r="AJ95" s="13">
        <f>AI95*VLOOKUP('Données projet'!$B$10,Paramètres!$A$1:$I$89,3,0)*VLOOKUP('Données projet'!$B$10,Paramètres!$A$1:$I$89,5,0)</f>
        <v>313.85640000000029</v>
      </c>
      <c r="AK95" s="13">
        <f t="shared" si="89"/>
        <v>74.073619568253108</v>
      </c>
      <c r="AL95" s="20">
        <f t="shared" si="58"/>
        <v>675.64478408137461</v>
      </c>
      <c r="AM95" s="59">
        <f t="shared" si="59"/>
        <v>968.97811741470787</v>
      </c>
      <c r="AN95" s="59">
        <f ca="1">AVERAGE(OFFSET($AM$3,0,0,'Données projet'!$E$10+1,1))-AVERAGE(OFFSET($H$3,0,0,'Données projet'!$E$10+1,1))</f>
        <v>405.59933429804329</v>
      </c>
      <c r="AO95" s="59">
        <f t="shared" si="90"/>
        <v>208.64922573363776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0.78532708040491961</v>
      </c>
      <c r="AW95" s="21">
        <f>EXP(-LN(2)/2)*AW94+(1-EXP(-LN(2)/2))/(LN(2)/2)*AQ95*AT95*VLOOKUP('Données projet'!$B$10,Paramètres!$A$1:$I$89,3,0)*0.475*44/12</f>
        <v>3.2985249121673196E-9</v>
      </c>
      <c r="AX95" s="21">
        <f t="shared" si="60"/>
        <v>0.78532708370344451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263.80000000000041</v>
      </c>
      <c r="BE95" s="13">
        <f>BD95*VLOOKUP('Données projet'!$B$11,Paramètres!$A$1:$I$89,3,0)*VLOOKUP('Données projet'!$B$11,Paramètres!$A$1:$I$89,5,0)</f>
        <v>255.14736000000039</v>
      </c>
      <c r="BF95" s="13">
        <f t="shared" si="91"/>
        <v>61.686859728645757</v>
      </c>
      <c r="BG95" s="20">
        <f t="shared" si="61"/>
        <v>551.81959936072542</v>
      </c>
      <c r="BH95" s="59">
        <f t="shared" si="62"/>
        <v>845.15293269405879</v>
      </c>
      <c r="BI95" s="59">
        <f ca="1">AVERAGE(OFFSET($BH$3,0,0,'Données projet'!$E$11+1,1))-AVERAGE(OFFSET($H$3,0,0,'Données projet'!$E$11+1,1))</f>
        <v>293.19327646293601</v>
      </c>
      <c r="BJ95" s="59">
        <f t="shared" si="92"/>
        <v>200.0769581869605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0.59511666644867456</v>
      </c>
      <c r="BR95" s="21">
        <f>EXP(-LN(2)/2)*BR94+(1-EXP(-LN(2)/2))/(LN(2)/2)*BL95*BO95*VLOOKUP('Données projet'!$B$11,Paramètres!$A$1:$I$89,3,0)*0.475*44/12</f>
        <v>3.08090794393602E-9</v>
      </c>
      <c r="BS95" s="22">
        <f t="shared" si="63"/>
        <v>0.59511666952958253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1.7053025658242404E-13</v>
      </c>
      <c r="BZ95" s="13">
        <f>BY95*VLOOKUP('Données projet'!$B$12,Paramètres!$A$1:$I$89,3,0)*VLOOKUP('Données projet'!$B$12,Paramètres!$A$1:$I$89,5,0)</f>
        <v>1.3301360013429075E-13</v>
      </c>
      <c r="CA95" s="13">
        <f t="shared" si="93"/>
        <v>1.9329766731057041E-12</v>
      </c>
      <c r="CB95" s="20">
        <f t="shared" si="64"/>
        <v>3.5982663925596575E-12</v>
      </c>
      <c r="CC95" s="59">
        <f t="shared" si="65"/>
        <v>293.3333333333369</v>
      </c>
      <c r="CD95" s="59">
        <f ca="1">AVERAGE(OFFSET($CC$3,0,0,'Données projet'!$E$12+1,1))-AVERAGE(OFFSET($H$3,0,0,'Données projet'!$E$12+1,1))</f>
        <v>295.95249585728561</v>
      </c>
      <c r="CE95" s="59">
        <f t="shared" si="94"/>
        <v>306.85862495052709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0.4235665353021501</v>
      </c>
      <c r="CL95" s="21">
        <f>EXP(-LN(2)/25)*CL94+(1-EXP(-LN(2)/25))/(LN(2)/25)*Calculateur!CG95*Calculateur!CI95*VLOOKUP('Données projet'!$B$12,Paramètres!$A$1:$I$89,3,0)*0.475*44/12</f>
        <v>1.5004051878287912</v>
      </c>
      <c r="CM95" s="21">
        <f>EXP(-LN(2)/2)*CM94+(1-EXP(-LN(2)/2))/(LN(2)/2)*CG95*CJ95*VLOOKUP('Données projet'!$B$12,Paramètres!$A$1:$I$89,3,0)*0.475*44/12</f>
        <v>6.0867423176308327E-9</v>
      </c>
      <c r="CN95" s="22">
        <f t="shared" si="66"/>
        <v>1.9239717292176834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7.4</v>
      </c>
      <c r="CT95" s="12">
        <f>IF('Données projet'!$A$140&gt;35,CT94+CS95-DB94,IF(A95&lt;'Données projet'!$A$140,$CQ$205^A95,IF(A95='Données projet'!$A$140,'Données projet'!$B$140,CT94+CS95-DB94)))</f>
        <v>365.8000000000003</v>
      </c>
      <c r="CU95" s="17">
        <f>CT95*VLOOKUP('Données projet'!$B$13,Paramètres!$A$1:$I$89,3,0)*VLOOKUP('Données projet'!$B$13,Paramètres!$A$1:$I$89,5,0)</f>
        <v>348.09528000000029</v>
      </c>
      <c r="CV95" s="13">
        <f t="shared" si="95"/>
        <v>81.170185135132598</v>
      </c>
      <c r="CW95" s="20">
        <f t="shared" si="67"/>
        <v>747.63735177702301</v>
      </c>
      <c r="CX95" s="59">
        <f t="shared" si="68"/>
        <v>1040.9706851103563</v>
      </c>
      <c r="CY95" s="59">
        <f ca="1">AVERAGE(OFFSET($CX$3,0,0,'Données projet'!$E$13+1,1))-AVERAGE(OFFSET($H$3,0,0,'Données projet'!$E$13+1,1))</f>
        <v>461.10546083340631</v>
      </c>
      <c r="CZ95" s="59">
        <f t="shared" si="96"/>
        <v>233.41883071412587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0.70665966789094536</v>
      </c>
      <c r="DH95" s="21">
        <f>EXP(-LN(2)/2)*DH94+(1-EXP(-LN(2)/2))/(LN(2)/2)*DB95*DE95*VLOOKUP('Données projet'!$B$13,Paramètres!$A$1:$I$89,3,0)*0.475*44/12</f>
        <v>3.6583639934946801E-9</v>
      </c>
      <c r="DI95" s="22">
        <f t="shared" si="69"/>
        <v>0.70665967154930931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-4.1500243241898714E-13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296.376932094327</v>
      </c>
      <c r="DU95" s="59">
        <f t="shared" si="98"/>
        <v>350.93658329210882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0.79065753256401361</v>
      </c>
      <c r="EB95" s="21">
        <f>EXP(-LN(2)/25)*EB94+(1-EXP(-LN(2)/25))/(LN(2)/25)*Calculateur!DW95*Calculateur!DY95*VLOOKUP('Données projet'!$B$14,Paramètres!$A$1:$I$89,3,0)*0.475*44/12</f>
        <v>3.0425681346766953</v>
      </c>
      <c r="EC95" s="21">
        <f>EXP(-LN(2)/2)*EC94+(1-EXP(-LN(2)/2))/(LN(2)/2)*DW95*DZ95*VLOOKUP('Données projet'!$B$14,Paramètres!$A$1:$I$89,3,0)*0.475*44/12</f>
        <v>1.1413538765887014E-8</v>
      </c>
      <c r="ED95" s="22">
        <f t="shared" si="72"/>
        <v>3.8332256786542476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-5.1159076974727213E-13</v>
      </c>
      <c r="EK95" s="17">
        <f>EJ95*VLOOKUP('Données projet'!$B$15,Paramètres!$A$1:$I$89,3,0)*VLOOKUP('Données projet'!$B$15,Paramètres!$A$1:$I$89,5,0)</f>
        <v>-3.3519427233841269E-13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231.03244099494077</v>
      </c>
      <c r="EP95" s="59">
        <f t="shared" si="100"/>
        <v>280.29723026390741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0.6386080070709339</v>
      </c>
      <c r="EW95" s="21">
        <f>EXP(-LN(2)/25)*EW94+(1-EXP(-LN(2)/25))/(LN(2)/25)*Calculateur!ER95*Calculateur!ET95*VLOOKUP('Données projet'!$B$15,Paramètres!$A$1:$I$89,3,0)*0.475*44/12</f>
        <v>2.4574588780080986</v>
      </c>
      <c r="EX95" s="21">
        <f>EXP(-LN(2)/2)*EX94+(1-EXP(-LN(2)/2))/(LN(2)/2)*ER95*EU95*VLOOKUP('Données projet'!$B$15,Paramètres!$A$1:$I$89,3,0)*0.475*44/12</f>
        <v>9.2186274647548913E-9</v>
      </c>
      <c r="EY95" s="22">
        <f t="shared" si="75"/>
        <v>3.0960668942976604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289.26455999999996</v>
      </c>
      <c r="P96" s="13">
        <f t="shared" si="87"/>
        <v>68.921152085057912</v>
      </c>
      <c r="Q96" s="20">
        <f t="shared" si="54"/>
        <v>623.84011521480909</v>
      </c>
      <c r="R96" s="59">
        <f t="shared" si="55"/>
        <v>917.17344854814246</v>
      </c>
      <c r="S96" s="59">
        <f ca="1">AVERAGE(OFFSET($R$3,0,0,'Données projet'!$E$9+1,1))-AVERAGE(OFFSET($H$3,0,0,'Données projet'!$E$9+1,1))</f>
        <v>351.15781452544906</v>
      </c>
      <c r="T96" s="59">
        <f t="shared" si="88"/>
        <v>271.54361159160169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0.69167518146194984</v>
      </c>
      <c r="AA96" s="21">
        <f>EXP(-LN(2)/25)*AA95+(1-EXP(-LN(2)/25))/(LN(2)/25)*Calculateur!V96*Calculateur!X96*VLOOKUP('Données projet'!$B$9,Paramètres!$A$1:$I$89,3,0)*0.475*44/12</f>
        <v>1.9670799378365991</v>
      </c>
      <c r="AB96" s="21">
        <f>EXP(-LN(2)/2)*AB95+(1-EXP(-LN(2)/2))/(LN(2)/2)*V96*Y96*VLOOKUP('Données projet'!$B$9,Paramètres!$A$1:$I$89,3,0)*0.475*44/12</f>
        <v>7.0969157806449674E-9</v>
      </c>
      <c r="AC96" s="22">
        <f t="shared" si="57"/>
        <v>2.658755126395465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7.4</v>
      </c>
      <c r="AI96" s="13">
        <f>IF('Données projet'!$A$62&gt;35,AI95+AH96-AQ95,IF(A96&lt;'Données projet'!$A$62,$AF$205^A96,IF(A96='Données projet'!$A$62,'Données projet'!$B$62,AI95+AH96-AQ95)))</f>
        <v>373.20000000000027</v>
      </c>
      <c r="AJ96" s="13">
        <f>AI96*VLOOKUP('Données projet'!$B$10,Paramètres!$A$1:$I$89,3,0)*VLOOKUP('Données projet'!$B$10,Paramètres!$A$1:$I$89,5,0)</f>
        <v>320.20560000000029</v>
      </c>
      <c r="AK96" s="13">
        <f t="shared" si="89"/>
        <v>75.396131142020067</v>
      </c>
      <c r="AL96" s="20">
        <f t="shared" si="58"/>
        <v>689.00634840568546</v>
      </c>
      <c r="AM96" s="59">
        <f t="shared" si="59"/>
        <v>982.33968173901872</v>
      </c>
      <c r="AN96" s="59">
        <f ca="1">AVERAGE(OFFSET($AM$3,0,0,'Données projet'!$E$10+1,1))-AVERAGE(OFFSET($H$3,0,0,'Données projet'!$E$10+1,1))</f>
        <v>405.59933429804329</v>
      </c>
      <c r="AO96" s="59">
        <f t="shared" si="90"/>
        <v>208.64922573363776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0.76385227009269085</v>
      </c>
      <c r="AW96" s="21">
        <f>EXP(-LN(2)/2)*AW95+(1-EXP(-LN(2)/2))/(LN(2)/2)*AQ96*AT96*VLOOKUP('Données projet'!$B$10,Paramètres!$A$1:$I$89,3,0)*0.475*44/12</f>
        <v>2.3324093333062727E-9</v>
      </c>
      <c r="AX96" s="21">
        <f t="shared" si="60"/>
        <v>0.76385227242510023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268.70000000000039</v>
      </c>
      <c r="BE96" s="13">
        <f>BD96*VLOOKUP('Données projet'!$B$11,Paramètres!$A$1:$I$89,3,0)*VLOOKUP('Données projet'!$B$11,Paramètres!$A$1:$I$89,5,0)</f>
        <v>259.8866400000004</v>
      </c>
      <c r="BF96" s="13">
        <f t="shared" si="91"/>
        <v>62.698213571884054</v>
      </c>
      <c r="BG96" s="20">
        <f t="shared" si="61"/>
        <v>561.83528663769869</v>
      </c>
      <c r="BH96" s="59">
        <f t="shared" si="62"/>
        <v>855.16861997103206</v>
      </c>
      <c r="BI96" s="59">
        <f ca="1">AVERAGE(OFFSET($BH$3,0,0,'Données projet'!$E$11+1,1))-AVERAGE(OFFSET($H$3,0,0,'Données projet'!$E$11+1,1))</f>
        <v>293.19327646293601</v>
      </c>
      <c r="BJ96" s="59">
        <f t="shared" si="92"/>
        <v>200.0769581869605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0.57884316990881024</v>
      </c>
      <c r="BR96" s="21">
        <f>EXP(-LN(2)/2)*BR95+(1-EXP(-LN(2)/2))/(LN(2)/2)*BL96*BO96*VLOOKUP('Données projet'!$B$11,Paramètres!$A$1:$I$89,3,0)*0.475*44/12</f>
        <v>2.1785308993686633E-9</v>
      </c>
      <c r="BS96" s="22">
        <f t="shared" si="63"/>
        <v>0.57884317208734115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1.7053025658242404E-13</v>
      </c>
      <c r="BZ96" s="13">
        <f>BY96*VLOOKUP('Données projet'!$B$12,Paramètres!$A$1:$I$89,3,0)*VLOOKUP('Données projet'!$B$12,Paramètres!$A$1:$I$89,5,0)</f>
        <v>1.3301360013429075E-13</v>
      </c>
      <c r="CA96" s="13">
        <f t="shared" si="93"/>
        <v>1.9329766731057041E-12</v>
      </c>
      <c r="CB96" s="20">
        <f t="shared" si="64"/>
        <v>3.5982663925596575E-12</v>
      </c>
      <c r="CC96" s="59">
        <f t="shared" si="65"/>
        <v>293.3333333333369</v>
      </c>
      <c r="CD96" s="59">
        <f ca="1">AVERAGE(OFFSET($CC$3,0,0,'Données projet'!$E$12+1,1))-AVERAGE(OFFSET($H$3,0,0,'Données projet'!$E$12+1,1))</f>
        <v>295.95249585728561</v>
      </c>
      <c r="CE96" s="59">
        <f t="shared" si="94"/>
        <v>306.85862495052709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0.41526065389495154</v>
      </c>
      <c r="CL96" s="21">
        <f>EXP(-LN(2)/25)*CL95+(1-EXP(-LN(2)/25))/(LN(2)/25)*Calculateur!CG96*Calculateur!CI96*VLOOKUP('Données projet'!$B$12,Paramètres!$A$1:$I$89,3,0)*0.475*44/12</f>
        <v>1.4593765290647334</v>
      </c>
      <c r="CM96" s="21">
        <f>EXP(-LN(2)/2)*CM95+(1-EXP(-LN(2)/2))/(LN(2)/2)*CG96*CJ96*VLOOKUP('Données projet'!$B$12,Paramètres!$A$1:$I$89,3,0)*0.475*44/12</f>
        <v>4.3039767681318843E-9</v>
      </c>
      <c r="CN96" s="22">
        <f t="shared" si="66"/>
        <v>1.8746371872636616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7.4</v>
      </c>
      <c r="CT96" s="12">
        <f>IF('Données projet'!$A$140&gt;35,CT95+CS96-DB95,IF(A96&lt;'Données projet'!$A$140,$CQ$205^A96,IF(A96='Données projet'!$A$140,'Données projet'!$B$140,CT95+CS96-DB95)))</f>
        <v>373.20000000000027</v>
      </c>
      <c r="CU96" s="17">
        <f>CT96*VLOOKUP('Données projet'!$B$13,Paramètres!$A$1:$I$89,3,0)*VLOOKUP('Données projet'!$B$13,Paramètres!$A$1:$I$89,5,0)</f>
        <v>355.13712000000027</v>
      </c>
      <c r="CV96" s="13">
        <f t="shared" si="95"/>
        <v>82.619398902621057</v>
      </c>
      <c r="CW96" s="20">
        <f t="shared" si="67"/>
        <v>762.4259370887321</v>
      </c>
      <c r="CX96" s="59">
        <f t="shared" si="68"/>
        <v>1055.7592704220654</v>
      </c>
      <c r="CY96" s="59">
        <f ca="1">AVERAGE(OFFSET($CX$3,0,0,'Données projet'!$E$13+1,1))-AVERAGE(OFFSET($H$3,0,0,'Données projet'!$E$13+1,1))</f>
        <v>461.10546083340631</v>
      </c>
      <c r="CZ96" s="59">
        <f t="shared" si="96"/>
        <v>233.41883071412587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0.68733602211085065</v>
      </c>
      <c r="DH96" s="21">
        <f>EXP(-LN(2)/2)*DH95+(1-EXP(-LN(2)/2))/(LN(2)/2)*DB96*DE96*VLOOKUP('Données projet'!$B$13,Paramètres!$A$1:$I$89,3,0)*0.475*44/12</f>
        <v>2.5868539878487872E-9</v>
      </c>
      <c r="DI96" s="22">
        <f t="shared" si="69"/>
        <v>0.68733602469770461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-4.1500243241898714E-13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296.376932094327</v>
      </c>
      <c r="DU96" s="59">
        <f t="shared" si="98"/>
        <v>350.93658329210882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0.77515322060390957</v>
      </c>
      <c r="EB96" s="21">
        <f>EXP(-LN(2)/25)*EB95+(1-EXP(-LN(2)/25))/(LN(2)/25)*Calculateur!DW96*Calculateur!DY96*VLOOKUP('Données projet'!$B$14,Paramètres!$A$1:$I$89,3,0)*0.475*44/12</f>
        <v>2.9593689490322568</v>
      </c>
      <c r="EC96" s="21">
        <f>EXP(-LN(2)/2)*EC95+(1-EXP(-LN(2)/2))/(LN(2)/2)*DW96*DZ96*VLOOKUP('Données projet'!$B$14,Paramètres!$A$1:$I$89,3,0)*0.475*44/12</f>
        <v>8.0705906586942466E-9</v>
      </c>
      <c r="ED96" s="22">
        <f t="shared" si="72"/>
        <v>3.7345221777067574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-5.1159076974727213E-13</v>
      </c>
      <c r="EK96" s="17">
        <f>EJ96*VLOOKUP('Données projet'!$B$15,Paramètres!$A$1:$I$89,3,0)*VLOOKUP('Données projet'!$B$15,Paramètres!$A$1:$I$89,5,0)</f>
        <v>-3.3519427233841269E-13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231.03244099494077</v>
      </c>
      <c r="EP96" s="59">
        <f t="shared" si="100"/>
        <v>280.29723026390741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0.626085293564696</v>
      </c>
      <c r="EW96" s="21">
        <f>EXP(-LN(2)/25)*EW95+(1-EXP(-LN(2)/25))/(LN(2)/25)*Calculateur!ER96*Calculateur!ET96*VLOOKUP('Données projet'!$B$15,Paramètres!$A$1:$I$89,3,0)*0.475*44/12</f>
        <v>2.3902595357568215</v>
      </c>
      <c r="EX96" s="21">
        <f>EXP(-LN(2)/2)*EX95+(1-EXP(-LN(2)/2))/(LN(2)/2)*ER96*EU96*VLOOKUP('Données projet'!$B$15,Paramètres!$A$1:$I$89,3,0)*0.475*44/12</f>
        <v>6.5185539935607344E-9</v>
      </c>
      <c r="EY96" s="22">
        <f t="shared" si="75"/>
        <v>3.0163448358400715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294.60287999999991</v>
      </c>
      <c r="P97" s="13">
        <f t="shared" si="87"/>
        <v>70.043827142305673</v>
      </c>
      <c r="Q97" s="20">
        <f t="shared" si="54"/>
        <v>635.09301493951546</v>
      </c>
      <c r="R97" s="59">
        <f t="shared" si="55"/>
        <v>928.42634827284883</v>
      </c>
      <c r="S97" s="59">
        <f ca="1">AVERAGE(OFFSET($R$3,0,0,'Données projet'!$E$9+1,1))-AVERAGE(OFFSET($H$3,0,0,'Données projet'!$E$9+1,1))</f>
        <v>351.15781452544906</v>
      </c>
      <c r="T97" s="59">
        <f t="shared" si="88"/>
        <v>271.54361159160169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0.67811185303368449</v>
      </c>
      <c r="AA97" s="21">
        <f>EXP(-LN(2)/25)*AA96+(1-EXP(-LN(2)/25))/(LN(2)/25)*Calculateur!V97*Calculateur!X97*VLOOKUP('Données projet'!$B$9,Paramètres!$A$1:$I$89,3,0)*0.475*44/12</f>
        <v>1.9132900334922192</v>
      </c>
      <c r="AB97" s="21">
        <f>EXP(-LN(2)/2)*AB96+(1-EXP(-LN(2)/2))/(LN(2)/2)*V97*Y97*VLOOKUP('Données projet'!$B$9,Paramètres!$A$1:$I$89,3,0)*0.475*44/12</f>
        <v>5.018277274003877E-9</v>
      </c>
      <c r="AC97" s="22">
        <f t="shared" si="57"/>
        <v>2.591401891544181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7.4</v>
      </c>
      <c r="AI97" s="13">
        <f>IF('Données projet'!$A$62&gt;35,AI96+AH97-AQ96,IF(A97&lt;'Données projet'!$A$62,$AF$205^A97,IF(A97='Données projet'!$A$62,'Données projet'!$B$62,AI96+AH97-AQ96)))</f>
        <v>380.60000000000025</v>
      </c>
      <c r="AJ97" s="13">
        <f>AI97*VLOOKUP('Données projet'!$B$10,Paramètres!$A$1:$I$89,3,0)*VLOOKUP('Données projet'!$B$10,Paramètres!$A$1:$I$89,5,0)</f>
        <v>326.55480000000023</v>
      </c>
      <c r="AK97" s="13">
        <f t="shared" si="89"/>
        <v>76.715593616667263</v>
      </c>
      <c r="AL97" s="20">
        <f t="shared" si="58"/>
        <v>702.3626022156958</v>
      </c>
      <c r="AM97" s="59">
        <f t="shared" si="59"/>
        <v>995.69593554902917</v>
      </c>
      <c r="AN97" s="59">
        <f ca="1">AVERAGE(OFFSET($AM$3,0,0,'Données projet'!$E$10+1,1))-AVERAGE(OFFSET($H$3,0,0,'Données projet'!$E$10+1,1))</f>
        <v>405.59933429804329</v>
      </c>
      <c r="AO97" s="59">
        <f t="shared" si="90"/>
        <v>208.64922573363776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0.74296468959776119</v>
      </c>
      <c r="AW97" s="21">
        <f>EXP(-LN(2)/2)*AW96+(1-EXP(-LN(2)/2))/(LN(2)/2)*AQ97*AT97*VLOOKUP('Données projet'!$B$10,Paramètres!$A$1:$I$89,3,0)*0.475*44/12</f>
        <v>1.6492624560836598E-9</v>
      </c>
      <c r="AX97" s="21">
        <f t="shared" si="60"/>
        <v>0.74296469124702369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273.60000000000036</v>
      </c>
      <c r="BE97" s="13">
        <f>BD97*VLOOKUP('Données projet'!$B$11,Paramètres!$A$1:$I$89,3,0)*VLOOKUP('Données projet'!$B$11,Paramètres!$A$1:$I$89,5,0)</f>
        <v>264.62592000000035</v>
      </c>
      <c r="BF97" s="13">
        <f t="shared" si="91"/>
        <v>63.707422801198717</v>
      </c>
      <c r="BG97" s="20">
        <f t="shared" si="61"/>
        <v>571.84723871208837</v>
      </c>
      <c r="BH97" s="59">
        <f t="shared" si="62"/>
        <v>865.18057204542174</v>
      </c>
      <c r="BI97" s="59">
        <f ca="1">AVERAGE(OFFSET($BH$3,0,0,'Données projet'!$E$11+1,1))-AVERAGE(OFFSET($H$3,0,0,'Données projet'!$E$11+1,1))</f>
        <v>293.19327646293601</v>
      </c>
      <c r="BJ97" s="59">
        <f t="shared" si="92"/>
        <v>200.0769581869605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0.56301467298761443</v>
      </c>
      <c r="BR97" s="21">
        <f>EXP(-LN(2)/2)*BR96+(1-EXP(-LN(2)/2))/(LN(2)/2)*BL97*BO97*VLOOKUP('Données projet'!$B$11,Paramètres!$A$1:$I$89,3,0)*0.475*44/12</f>
        <v>1.54045397196801E-9</v>
      </c>
      <c r="BS97" s="22">
        <f t="shared" si="63"/>
        <v>0.56301467452806842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1.7053025658242404E-13</v>
      </c>
      <c r="BZ97" s="13">
        <f>BY97*VLOOKUP('Données projet'!$B$12,Paramètres!$A$1:$I$89,3,0)*VLOOKUP('Données projet'!$B$12,Paramètres!$A$1:$I$89,5,0)</f>
        <v>1.3301360013429075E-13</v>
      </c>
      <c r="CA97" s="13">
        <f t="shared" si="93"/>
        <v>1.9329766731057041E-12</v>
      </c>
      <c r="CB97" s="20">
        <f t="shared" si="64"/>
        <v>3.5982663925596575E-12</v>
      </c>
      <c r="CC97" s="59">
        <f t="shared" si="65"/>
        <v>293.3333333333369</v>
      </c>
      <c r="CD97" s="59">
        <f ca="1">AVERAGE(OFFSET($CC$3,0,0,'Données projet'!$E$12+1,1))-AVERAGE(OFFSET($H$3,0,0,'Données projet'!$E$12+1,1))</f>
        <v>295.95249585728561</v>
      </c>
      <c r="CE97" s="59">
        <f t="shared" si="94"/>
        <v>306.85862495052709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0.40711764575606069</v>
      </c>
      <c r="CL97" s="21">
        <f>EXP(-LN(2)/25)*CL96+(1-EXP(-LN(2)/25))/(LN(2)/25)*Calculateur!CG97*Calculateur!CI97*VLOOKUP('Données projet'!$B$12,Paramètres!$A$1:$I$89,3,0)*0.475*44/12</f>
        <v>1.419469801132182</v>
      </c>
      <c r="CM97" s="21">
        <f>EXP(-LN(2)/2)*CM96+(1-EXP(-LN(2)/2))/(LN(2)/2)*CG97*CJ97*VLOOKUP('Données projet'!$B$12,Paramètres!$A$1:$I$89,3,0)*0.475*44/12</f>
        <v>3.0433711588154164E-9</v>
      </c>
      <c r="CN97" s="22">
        <f t="shared" si="66"/>
        <v>1.8265874499316139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7.4</v>
      </c>
      <c r="CT97" s="12">
        <f>IF('Données projet'!$A$140&gt;35,CT96+CS97-DB96,IF(A97&lt;'Données projet'!$A$140,$CQ$205^A97,IF(A97='Données projet'!$A$140,'Données projet'!$B$140,CT96+CS97-DB96)))</f>
        <v>380.60000000000025</v>
      </c>
      <c r="CU97" s="17">
        <f>CT97*VLOOKUP('Données projet'!$B$13,Paramètres!$A$1:$I$89,3,0)*VLOOKUP('Données projet'!$B$13,Paramètres!$A$1:$I$89,5,0)</f>
        <v>362.17896000000025</v>
      </c>
      <c r="CV97" s="13">
        <f t="shared" si="95"/>
        <v>84.065271454417811</v>
      </c>
      <c r="CW97" s="20">
        <f t="shared" si="67"/>
        <v>777.20870311644478</v>
      </c>
      <c r="CX97" s="59">
        <f t="shared" si="68"/>
        <v>1070.5420364497782</v>
      </c>
      <c r="CY97" s="59">
        <f ca="1">AVERAGE(OFFSET($CX$3,0,0,'Données projet'!$E$13+1,1))-AVERAGE(OFFSET($H$3,0,0,'Données projet'!$E$13+1,1))</f>
        <v>461.10546083340631</v>
      </c>
      <c r="CZ97" s="59">
        <f t="shared" si="96"/>
        <v>233.41883071412587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0.66854078244079895</v>
      </c>
      <c r="DH97" s="21">
        <f>EXP(-LN(2)/2)*DH96+(1-EXP(-LN(2)/2))/(LN(2)/2)*DB97*DE97*VLOOKUP('Données projet'!$B$13,Paramètres!$A$1:$I$89,3,0)*0.475*44/12</f>
        <v>1.8291819967473402E-9</v>
      </c>
      <c r="DI97" s="22">
        <f t="shared" si="69"/>
        <v>0.66854078426998098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-4.1500243241898714E-13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296.376932094327</v>
      </c>
      <c r="DU97" s="59">
        <f t="shared" si="98"/>
        <v>350.93658329210882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0.75995293874464664</v>
      </c>
      <c r="EB97" s="21">
        <f>EXP(-LN(2)/25)*EB96+(1-EXP(-LN(2)/25))/(LN(2)/25)*Calculateur!DW97*Calculateur!DY97*VLOOKUP('Données projet'!$B$14,Paramètres!$A$1:$I$89,3,0)*0.475*44/12</f>
        <v>2.8784448494945205</v>
      </c>
      <c r="EC97" s="21">
        <f>EXP(-LN(2)/2)*EC96+(1-EXP(-LN(2)/2))/(LN(2)/2)*DW97*DZ97*VLOOKUP('Données projet'!$B$14,Paramètres!$A$1:$I$89,3,0)*0.475*44/12</f>
        <v>5.7067693829435072E-9</v>
      </c>
      <c r="ED97" s="22">
        <f t="shared" si="72"/>
        <v>3.6383977939459364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-5.1159076974727213E-13</v>
      </c>
      <c r="EK97" s="17">
        <f>EJ97*VLOOKUP('Données projet'!$B$15,Paramètres!$A$1:$I$89,3,0)*VLOOKUP('Données projet'!$B$15,Paramètres!$A$1:$I$89,5,0)</f>
        <v>-3.3519427233841269E-13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231.03244099494077</v>
      </c>
      <c r="EP97" s="59">
        <f t="shared" si="100"/>
        <v>280.29723026390741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0.61380814283221441</v>
      </c>
      <c r="EW97" s="21">
        <f>EXP(-LN(2)/25)*EW96+(1-EXP(-LN(2)/25))/(LN(2)/25)*Calculateur!ER97*Calculateur!ET97*VLOOKUP('Données projet'!$B$15,Paramètres!$A$1:$I$89,3,0)*0.475*44/12</f>
        <v>2.324897763053265</v>
      </c>
      <c r="EX97" s="21">
        <f>EXP(-LN(2)/2)*EX96+(1-EXP(-LN(2)/2))/(LN(2)/2)*ER97*EU97*VLOOKUP('Données projet'!$B$15,Paramètres!$A$1:$I$89,3,0)*0.475*44/12</f>
        <v>4.6093137323774457E-9</v>
      </c>
      <c r="EY97" s="22">
        <f t="shared" si="75"/>
        <v>2.938705910494793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299.94119999999987</v>
      </c>
      <c r="P98" s="13">
        <f t="shared" si="87"/>
        <v>71.164136596531506</v>
      </c>
      <c r="Q98" s="20">
        <f t="shared" si="54"/>
        <v>646.3417945722922</v>
      </c>
      <c r="R98" s="59">
        <f t="shared" si="55"/>
        <v>939.67512790562546</v>
      </c>
      <c r="S98" s="59">
        <f ca="1">AVERAGE(OFFSET($R$3,0,0,'Données projet'!$E$9+1,1))-AVERAGE(OFFSET($H$3,0,0,'Données projet'!$E$9+1,1))</f>
        <v>351.15781452544906</v>
      </c>
      <c r="T98" s="59">
        <f t="shared" si="88"/>
        <v>271.54361159160169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0.66481449320308394</v>
      </c>
      <c r="AA98" s="21">
        <f>EXP(-LN(2)/25)*AA97+(1-EXP(-LN(2)/25))/(LN(2)/25)*Calculateur!V98*Calculateur!X98*VLOOKUP('Données projet'!$B$9,Paramètres!$A$1:$I$89,3,0)*0.475*44/12</f>
        <v>1.8609710169108244</v>
      </c>
      <c r="AB98" s="21">
        <f>EXP(-LN(2)/2)*AB97+(1-EXP(-LN(2)/2))/(LN(2)/2)*V98*Y98*VLOOKUP('Données projet'!$B$9,Paramètres!$A$1:$I$89,3,0)*0.475*44/12</f>
        <v>3.5484578903224837E-9</v>
      </c>
      <c r="AC98" s="22">
        <f t="shared" si="57"/>
        <v>2.5257855136623664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7.4</v>
      </c>
      <c r="AI98" s="13">
        <f>IF('Données projet'!$A$62&gt;35,AI97+AH98-AQ97,IF(A98&lt;'Données projet'!$A$62,$AF$205^A98,IF(A98='Données projet'!$A$62,'Données projet'!$B$62,AI97+AH98-AQ97)))</f>
        <v>388.00000000000023</v>
      </c>
      <c r="AJ98" s="13">
        <f>AI98*VLOOKUP('Données projet'!$B$10,Paramètres!$A$1:$I$89,3,0)*VLOOKUP('Données projet'!$B$10,Paramètres!$A$1:$I$89,5,0)</f>
        <v>332.90400000000022</v>
      </c>
      <c r="AK98" s="13">
        <f t="shared" si="89"/>
        <v>78.032073109961033</v>
      </c>
      <c r="AL98" s="20">
        <f t="shared" si="58"/>
        <v>715.71366066651581</v>
      </c>
      <c r="AM98" s="59">
        <f t="shared" si="59"/>
        <v>1009.0469939998491</v>
      </c>
      <c r="AN98" s="59">
        <f ca="1">AVERAGE(OFFSET($AM$3,0,0,'Données projet'!$E$10+1,1))-AVERAGE(OFFSET($H$3,0,0,'Données projet'!$E$10+1,1))</f>
        <v>405.59933429804329</v>
      </c>
      <c r="AO98" s="59">
        <f t="shared" si="90"/>
        <v>208.64922573363776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0.72264828108989543</v>
      </c>
      <c r="AW98" s="21">
        <f>EXP(-LN(2)/2)*AW97+(1-EXP(-LN(2)/2))/(LN(2)/2)*AQ98*AT98*VLOOKUP('Données projet'!$B$10,Paramètres!$A$1:$I$89,3,0)*0.475*44/12</f>
        <v>1.1662046666531363E-9</v>
      </c>
      <c r="AX98" s="21">
        <f t="shared" si="60"/>
        <v>0.72264828225610012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278.50000000000034</v>
      </c>
      <c r="BE98" s="13">
        <f>BD98*VLOOKUP('Données projet'!$B$11,Paramètres!$A$1:$I$89,3,0)*VLOOKUP('Données projet'!$B$11,Paramètres!$A$1:$I$89,5,0)</f>
        <v>269.36520000000036</v>
      </c>
      <c r="BF98" s="13">
        <f t="shared" si="91"/>
        <v>64.714530255967148</v>
      </c>
      <c r="BG98" s="20">
        <f t="shared" si="61"/>
        <v>581.85553019581005</v>
      </c>
      <c r="BH98" s="59">
        <f t="shared" si="62"/>
        <v>875.18886352914342</v>
      </c>
      <c r="BI98" s="59">
        <f ca="1">AVERAGE(OFFSET($BH$3,0,0,'Données projet'!$E$11+1,1))-AVERAGE(OFFSET($H$3,0,0,'Données projet'!$E$11+1,1))</f>
        <v>293.19327646293601</v>
      </c>
      <c r="BJ98" s="59">
        <f t="shared" si="92"/>
        <v>200.0769581869605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0.5476190071471132</v>
      </c>
      <c r="BR98" s="21">
        <f>EXP(-LN(2)/2)*BR97+(1-EXP(-LN(2)/2))/(LN(2)/2)*BL98*BO98*VLOOKUP('Données projet'!$B$11,Paramètres!$A$1:$I$89,3,0)*0.475*44/12</f>
        <v>1.0892654496843316E-9</v>
      </c>
      <c r="BS98" s="22">
        <f t="shared" si="63"/>
        <v>0.54761900823637866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1.7053025658242404E-13</v>
      </c>
      <c r="BZ98" s="13">
        <f>BY98*VLOOKUP('Données projet'!$B$12,Paramètres!$A$1:$I$89,3,0)*VLOOKUP('Données projet'!$B$12,Paramètres!$A$1:$I$89,5,0)</f>
        <v>1.3301360013429075E-13</v>
      </c>
      <c r="CA98" s="13">
        <f t="shared" si="93"/>
        <v>1.9329766731057041E-12</v>
      </c>
      <c r="CB98" s="20">
        <f t="shared" si="64"/>
        <v>3.5982663925596575E-12</v>
      </c>
      <c r="CC98" s="59">
        <f t="shared" si="65"/>
        <v>293.3333333333369</v>
      </c>
      <c r="CD98" s="59">
        <f ca="1">AVERAGE(OFFSET($CC$3,0,0,'Données projet'!$E$12+1,1))-AVERAGE(OFFSET($H$3,0,0,'Données projet'!$E$12+1,1))</f>
        <v>295.95249585728561</v>
      </c>
      <c r="CE98" s="59">
        <f t="shared" si="94"/>
        <v>306.85862495052709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0.39913431704002894</v>
      </c>
      <c r="CL98" s="21">
        <f>EXP(-LN(2)/25)*CL97+(1-EXP(-LN(2)/25))/(LN(2)/25)*Calculateur!CG98*Calculateur!CI98*VLOOKUP('Données projet'!$B$12,Paramètres!$A$1:$I$89,3,0)*0.475*44/12</f>
        <v>1.3806543247735499</v>
      </c>
      <c r="CM98" s="21">
        <f>EXP(-LN(2)/2)*CM97+(1-EXP(-LN(2)/2))/(LN(2)/2)*CG98*CJ98*VLOOKUP('Données projet'!$B$12,Paramètres!$A$1:$I$89,3,0)*0.475*44/12</f>
        <v>2.1519883840659421E-9</v>
      </c>
      <c r="CN98" s="22">
        <f t="shared" si="66"/>
        <v>1.7797886439655672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7.4</v>
      </c>
      <c r="CT98" s="12">
        <f>IF('Données projet'!$A$140&gt;35,CT97+CS98-DB97,IF(A98&lt;'Données projet'!$A$140,$CQ$205^A98,IF(A98='Données projet'!$A$140,'Données projet'!$B$140,CT97+CS98-DB97)))</f>
        <v>388.00000000000023</v>
      </c>
      <c r="CU98" s="17">
        <f>CT98*VLOOKUP('Données projet'!$B$13,Paramètres!$A$1:$I$89,3,0)*VLOOKUP('Données projet'!$B$13,Paramètres!$A$1:$I$89,5,0)</f>
        <v>369.22080000000022</v>
      </c>
      <c r="CV98" s="13">
        <f t="shared" si="95"/>
        <v>85.507875242650471</v>
      </c>
      <c r="CW98" s="20">
        <f t="shared" si="67"/>
        <v>791.98577604761658</v>
      </c>
      <c r="CX98" s="59">
        <f t="shared" si="68"/>
        <v>1085.3191093809498</v>
      </c>
      <c r="CY98" s="59">
        <f ca="1">AVERAGE(OFFSET($CX$3,0,0,'Données projet'!$E$13+1,1))-AVERAGE(OFFSET($H$3,0,0,'Données projet'!$E$13+1,1))</f>
        <v>461.10546083340631</v>
      </c>
      <c r="CZ98" s="59">
        <f t="shared" si="96"/>
        <v>233.41883071412587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0.65025949958792351</v>
      </c>
      <c r="DH98" s="21">
        <f>EXP(-LN(2)/2)*DH97+(1-EXP(-LN(2)/2))/(LN(2)/2)*DB98*DE98*VLOOKUP('Données projet'!$B$13,Paramètres!$A$1:$I$89,3,0)*0.475*44/12</f>
        <v>1.2934269939243938E-9</v>
      </c>
      <c r="DI98" s="22">
        <f t="shared" si="69"/>
        <v>0.65025950088135054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-4.1500243241898714E-13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296.376932094327</v>
      </c>
      <c r="DU98" s="59">
        <f t="shared" si="98"/>
        <v>350.93658329210882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0.74505072514138737</v>
      </c>
      <c r="EB98" s="21">
        <f>EXP(-LN(2)/25)*EB97+(1-EXP(-LN(2)/25))/(LN(2)/25)*Calculateur!DW98*Calculateur!DY98*VLOOKUP('Données projet'!$B$14,Paramètres!$A$1:$I$89,3,0)*0.475*44/12</f>
        <v>2.7997336237142569</v>
      </c>
      <c r="EC98" s="21">
        <f>EXP(-LN(2)/2)*EC97+(1-EXP(-LN(2)/2))/(LN(2)/2)*DW98*DZ98*VLOOKUP('Données projet'!$B$14,Paramètres!$A$1:$I$89,3,0)*0.475*44/12</f>
        <v>4.0352953293471233E-9</v>
      </c>
      <c r="ED98" s="22">
        <f t="shared" si="72"/>
        <v>3.5447843528909395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-5.1159076974727213E-13</v>
      </c>
      <c r="EK98" s="17">
        <f>EJ98*VLOOKUP('Données projet'!$B$15,Paramètres!$A$1:$I$89,3,0)*VLOOKUP('Données projet'!$B$15,Paramètres!$A$1:$I$89,5,0)</f>
        <v>-3.3519427233841269E-13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231.03244099494077</v>
      </c>
      <c r="EP98" s="59">
        <f t="shared" si="100"/>
        <v>280.29723026390741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0.60177173953727425</v>
      </c>
      <c r="EW98" s="21">
        <f>EXP(-LN(2)/25)*EW97+(1-EXP(-LN(2)/25))/(LN(2)/25)*Calculateur!ER98*Calculateur!ET98*VLOOKUP('Données projet'!$B$15,Paramètres!$A$1:$I$89,3,0)*0.475*44/12</f>
        <v>2.2613233114615139</v>
      </c>
      <c r="EX98" s="21">
        <f>EXP(-LN(2)/2)*EX97+(1-EXP(-LN(2)/2))/(LN(2)/2)*ER98*EU98*VLOOKUP('Données projet'!$B$15,Paramètres!$A$1:$I$89,3,0)*0.475*44/12</f>
        <v>3.2592769967803672E-9</v>
      </c>
      <c r="EY98" s="22">
        <f t="shared" si="75"/>
        <v>2.8630950542580651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305.27951999999982</v>
      </c>
      <c r="P99" s="13">
        <f t="shared" si="87"/>
        <v>72.282127407576809</v>
      </c>
      <c r="Q99" s="20">
        <f t="shared" ref="Q99:Q130" si="107">(O99+P99)*0.475*44/12</f>
        <v>657.58653590152937</v>
      </c>
      <c r="R99" s="59">
        <f t="shared" si="55"/>
        <v>950.91986923486274</v>
      </c>
      <c r="S99" s="59">
        <f ca="1">AVERAGE(OFFSET($R$3,0,0,'Données projet'!$E$9+1,1))-AVERAGE(OFFSET($H$3,0,0,'Données projet'!$E$9+1,1))</f>
        <v>351.15781452544906</v>
      </c>
      <c r="T99" s="59">
        <f t="shared" si="88"/>
        <v>271.54361159160169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0.65177788648817281</v>
      </c>
      <c r="AA99" s="21">
        <f>EXP(-LN(2)/25)*AA98+(1-EXP(-LN(2)/25))/(LN(2)/25)*Calculateur!V99*Calculateur!X99*VLOOKUP('Données projet'!$B$9,Paramètres!$A$1:$I$89,3,0)*0.475*44/12</f>
        <v>1.8100826665891854</v>
      </c>
      <c r="AB99" s="21">
        <f>EXP(-LN(2)/2)*AB98+(1-EXP(-LN(2)/2))/(LN(2)/2)*V99*Y99*VLOOKUP('Données projet'!$B$9,Paramètres!$A$1:$I$89,3,0)*0.475*44/12</f>
        <v>2.5091386370019385E-9</v>
      </c>
      <c r="AC99" s="22">
        <f t="shared" si="57"/>
        <v>2.461860555586497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7.4</v>
      </c>
      <c r="AI99" s="13">
        <f>IF('Données projet'!$A$62&gt;35,AI98+AH99-AQ98,IF(A99&lt;'Données projet'!$A$62,$AF$205^A99,IF(A99='Données projet'!$A$62,'Données projet'!$B$62,AI98+AH99-AQ98)))</f>
        <v>395.4000000000002</v>
      </c>
      <c r="AJ99" s="13">
        <f>AI99*VLOOKUP('Données projet'!$B$10,Paramètres!$A$1:$I$89,3,0)*VLOOKUP('Données projet'!$B$10,Paramètres!$A$1:$I$89,5,0)</f>
        <v>339.25320000000022</v>
      </c>
      <c r="AK99" s="13">
        <f t="shared" si="89"/>
        <v>79.345633073344132</v>
      </c>
      <c r="AL99" s="20">
        <f t="shared" si="58"/>
        <v>729.05963426940798</v>
      </c>
      <c r="AM99" s="59">
        <f t="shared" si="59"/>
        <v>1022.3929676027412</v>
      </c>
      <c r="AN99" s="59">
        <f ca="1">AVERAGE(OFFSET($AM$3,0,0,'Données projet'!$E$10+1,1))-AVERAGE(OFFSET($H$3,0,0,'Données projet'!$E$10+1,1))</f>
        <v>405.59933429804329</v>
      </c>
      <c r="AO99" s="59">
        <f t="shared" si="90"/>
        <v>208.64922573363776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0.70288742584107078</v>
      </c>
      <c r="AW99" s="21">
        <f>EXP(-LN(2)/2)*AW98+(1-EXP(-LN(2)/2))/(LN(2)/2)*AQ99*AT99*VLOOKUP('Données projet'!$B$10,Paramètres!$A$1:$I$89,3,0)*0.475*44/12</f>
        <v>8.2463122804182989E-10</v>
      </c>
      <c r="AX99" s="21">
        <f t="shared" si="60"/>
        <v>0.70288742666570203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283.40000000000032</v>
      </c>
      <c r="BE99" s="13">
        <f>BD99*VLOOKUP('Données projet'!$B$11,Paramètres!$A$1:$I$89,3,0)*VLOOKUP('Données projet'!$B$11,Paramètres!$A$1:$I$89,5,0)</f>
        <v>274.10448000000031</v>
      </c>
      <c r="BF99" s="13">
        <f t="shared" si="91"/>
        <v>65.719577181765573</v>
      </c>
      <c r="BG99" s="20">
        <f t="shared" si="61"/>
        <v>591.86023292490881</v>
      </c>
      <c r="BH99" s="59">
        <f t="shared" si="62"/>
        <v>885.19356625824207</v>
      </c>
      <c r="BI99" s="59">
        <f ca="1">AVERAGE(OFFSET($BH$3,0,0,'Données projet'!$E$11+1,1))-AVERAGE(OFFSET($H$3,0,0,'Données projet'!$E$11+1,1))</f>
        <v>293.19327646293601</v>
      </c>
      <c r="BJ99" s="59">
        <f t="shared" si="92"/>
        <v>200.0769581869605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0.53264433659864341</v>
      </c>
      <c r="BR99" s="21">
        <f>EXP(-LN(2)/2)*BR98+(1-EXP(-LN(2)/2))/(LN(2)/2)*BL99*BO99*VLOOKUP('Données projet'!$B$11,Paramètres!$A$1:$I$89,3,0)*0.475*44/12</f>
        <v>7.7022698598400501E-10</v>
      </c>
      <c r="BS99" s="22">
        <f t="shared" si="63"/>
        <v>0.5326443373688704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1.7053025658242404E-13</v>
      </c>
      <c r="BZ99" s="13">
        <f>BY99*VLOOKUP('Données projet'!$B$12,Paramètres!$A$1:$I$89,3,0)*VLOOKUP('Données projet'!$B$12,Paramètres!$A$1:$I$89,5,0)</f>
        <v>1.3301360013429075E-13</v>
      </c>
      <c r="CA99" s="13">
        <f t="shared" si="93"/>
        <v>1.9329766731057041E-12</v>
      </c>
      <c r="CB99" s="20">
        <f t="shared" si="64"/>
        <v>3.5982663925596575E-12</v>
      </c>
      <c r="CC99" s="59">
        <f t="shared" si="65"/>
        <v>293.3333333333369</v>
      </c>
      <c r="CD99" s="59">
        <f ca="1">AVERAGE(OFFSET($CC$3,0,0,'Données projet'!$E$12+1,1))-AVERAGE(OFFSET($H$3,0,0,'Données projet'!$E$12+1,1))</f>
        <v>295.95249585728561</v>
      </c>
      <c r="CE99" s="59">
        <f t="shared" si="94"/>
        <v>306.85862495052709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0.39130753653076888</v>
      </c>
      <c r="CL99" s="21">
        <f>EXP(-LN(2)/25)*CL98+(1-EXP(-LN(2)/25))/(LN(2)/25)*Calculateur!CG99*Calculateur!CI99*VLOOKUP('Données projet'!$B$12,Paramètres!$A$1:$I$89,3,0)*0.475*44/12</f>
        <v>1.3429002596571618</v>
      </c>
      <c r="CM99" s="21">
        <f>EXP(-LN(2)/2)*CM98+(1-EXP(-LN(2)/2))/(LN(2)/2)*CG99*CJ99*VLOOKUP('Données projet'!$B$12,Paramètres!$A$1:$I$89,3,0)*0.475*44/12</f>
        <v>1.5216855794077082E-9</v>
      </c>
      <c r="CN99" s="22">
        <f t="shared" si="66"/>
        <v>1.7342077977096164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7.4</v>
      </c>
      <c r="CT99" s="12">
        <f>IF('Données projet'!$A$140&gt;35,CT98+CS99-DB98,IF(A99&lt;'Données projet'!$A$140,$CQ$205^A99,IF(A99='Données projet'!$A$140,'Données projet'!$B$140,CT98+CS99-DB98)))</f>
        <v>395.4000000000002</v>
      </c>
      <c r="CU99" s="17">
        <f>CT99*VLOOKUP('Données projet'!$B$13,Paramètres!$A$1:$I$89,3,0)*VLOOKUP('Données projet'!$B$13,Paramètres!$A$1:$I$89,5,0)</f>
        <v>376.2626400000002</v>
      </c>
      <c r="CV99" s="13">
        <f t="shared" si="95"/>
        <v>86.947279797677709</v>
      </c>
      <c r="CW99" s="20">
        <f t="shared" si="67"/>
        <v>806.75727698095568</v>
      </c>
      <c r="CX99" s="59">
        <f t="shared" si="68"/>
        <v>1100.0906103142891</v>
      </c>
      <c r="CY99" s="59">
        <f ca="1">AVERAGE(OFFSET($CX$3,0,0,'Données projet'!$E$13+1,1))-AVERAGE(OFFSET($H$3,0,0,'Données projet'!$E$13+1,1))</f>
        <v>461.10546083340631</v>
      </c>
      <c r="CZ99" s="59">
        <f t="shared" si="96"/>
        <v>233.41883071412587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0.63247811937603082</v>
      </c>
      <c r="DH99" s="21">
        <f>EXP(-LN(2)/2)*DH98+(1-EXP(-LN(2)/2))/(LN(2)/2)*DB99*DE99*VLOOKUP('Données projet'!$B$13,Paramètres!$A$1:$I$89,3,0)*0.475*44/12</f>
        <v>9.1459099837367032E-10</v>
      </c>
      <c r="DI99" s="22">
        <f t="shared" si="69"/>
        <v>0.63247812029062178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-4.1500243241898714E-13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296.376932094327</v>
      </c>
      <c r="DU99" s="59">
        <f t="shared" si="98"/>
        <v>350.93658329210882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0.73044073485743521</v>
      </c>
      <c r="EB99" s="21">
        <f>EXP(-LN(2)/25)*EB98+(1-EXP(-LN(2)/25))/(LN(2)/25)*Calculateur!DW99*Calculateur!DY99*VLOOKUP('Données projet'!$B$14,Paramètres!$A$1:$I$89,3,0)*0.475*44/12</f>
        <v>2.7231747605421983</v>
      </c>
      <c r="EC99" s="21">
        <f>EXP(-LN(2)/2)*EC98+(1-EXP(-LN(2)/2))/(LN(2)/2)*DW99*DZ99*VLOOKUP('Données projet'!$B$14,Paramètres!$A$1:$I$89,3,0)*0.475*44/12</f>
        <v>2.8533846914717536E-9</v>
      </c>
      <c r="ED99" s="22">
        <f t="shared" si="72"/>
        <v>3.4536154982530181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-5.1159076974727213E-13</v>
      </c>
      <c r="EK99" s="17">
        <f>EJ99*VLOOKUP('Données projet'!$B$15,Paramètres!$A$1:$I$89,3,0)*VLOOKUP('Données projet'!$B$15,Paramètres!$A$1:$I$89,5,0)</f>
        <v>-3.3519427233841269E-13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231.03244099494077</v>
      </c>
      <c r="EP99" s="59">
        <f t="shared" si="100"/>
        <v>280.29723026390741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0.58997136276946682</v>
      </c>
      <c r="EW99" s="21">
        <f>EXP(-LN(2)/25)*EW98+(1-EXP(-LN(2)/25))/(LN(2)/25)*Calculateur!ER99*Calculateur!ET99*VLOOKUP('Données projet'!$B$15,Paramètres!$A$1:$I$89,3,0)*0.475*44/12</f>
        <v>2.1994873065917742</v>
      </c>
      <c r="EX99" s="21">
        <f>EXP(-LN(2)/2)*EX98+(1-EXP(-LN(2)/2))/(LN(2)/2)*ER99*EU99*VLOOKUP('Données projet'!$B$15,Paramètres!$A$1:$I$89,3,0)*0.475*44/12</f>
        <v>2.3046568661887228E-9</v>
      </c>
      <c r="EY99" s="22">
        <f t="shared" si="75"/>
        <v>2.7894586716658978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310.61783999999983</v>
      </c>
      <c r="P100" s="13">
        <f t="shared" si="87"/>
        <v>73.397844798859666</v>
      </c>
      <c r="Q100" s="20">
        <f t="shared" si="107"/>
        <v>668.82731769134693</v>
      </c>
      <c r="R100" s="59">
        <f t="shared" si="55"/>
        <v>962.16065102468019</v>
      </c>
      <c r="S100" s="59">
        <f ca="1">AVERAGE(OFFSET($R$3,0,0,'Données projet'!$E$9+1,1))-AVERAGE(OFFSET($H$3,0,0,'Données projet'!$E$9+1,1))</f>
        <v>351.15781452544906</v>
      </c>
      <c r="T100" s="59">
        <f t="shared" si="88"/>
        <v>271.54361159160169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0.6389969196793962</v>
      </c>
      <c r="AA100" s="21">
        <f>EXP(-LN(2)/25)*AA99+(1-EXP(-LN(2)/25))/(LN(2)/25)*Calculateur!V100*Calculateur!X100*VLOOKUP('Données projet'!$B$9,Paramètres!$A$1:$I$89,3,0)*0.475*44/12</f>
        <v>1.7605858608831937</v>
      </c>
      <c r="AB100" s="21">
        <f>EXP(-LN(2)/2)*AB99+(1-EXP(-LN(2)/2))/(LN(2)/2)*V100*Y100*VLOOKUP('Données projet'!$B$9,Paramètres!$A$1:$I$89,3,0)*0.475*44/12</f>
        <v>1.7742289451612418E-9</v>
      </c>
      <c r="AC100" s="22">
        <f t="shared" si="57"/>
        <v>2.3995827823368185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7.4</v>
      </c>
      <c r="AI100" s="13">
        <f>IF('Données projet'!$A$62&gt;35,AI99+AH100-AQ99,IF(A100&lt;'Données projet'!$A$62,$AF$205^A100,IF(A100='Données projet'!$A$62,'Données projet'!$B$62,AI99+AH100-AQ99)))</f>
        <v>402.80000000000018</v>
      </c>
      <c r="AJ100" s="13">
        <f>AI100*VLOOKUP('Données projet'!$B$10,Paramètres!$A$1:$I$89,3,0)*VLOOKUP('Données projet'!$B$10,Paramètres!$A$1:$I$89,5,0)</f>
        <v>345.60240000000016</v>
      </c>
      <c r="AK100" s="13">
        <f t="shared" si="89"/>
        <v>80.656334447313711</v>
      </c>
      <c r="AL100" s="20">
        <f t="shared" si="58"/>
        <v>742.40062916240504</v>
      </c>
      <c r="AM100" s="59">
        <f t="shared" si="59"/>
        <v>1035.7339624957383</v>
      </c>
      <c r="AN100" s="59">
        <f ca="1">AVERAGE(OFFSET($AM$3,0,0,'Données projet'!$E$10+1,1))-AVERAGE(OFFSET($H$3,0,0,'Données projet'!$E$10+1,1))</f>
        <v>405.59933429804329</v>
      </c>
      <c r="AO100" s="59">
        <f t="shared" si="90"/>
        <v>208.64922573363776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0.6836669322182034</v>
      </c>
      <c r="AW100" s="21">
        <f>EXP(-LN(2)/2)*AW99+(1-EXP(-LN(2)/2))/(LN(2)/2)*AQ100*AT100*VLOOKUP('Données projet'!$B$10,Paramètres!$A$1:$I$89,3,0)*0.475*44/12</f>
        <v>5.8310233332656817E-10</v>
      </c>
      <c r="AX100" s="21">
        <f t="shared" si="60"/>
        <v>0.68366693280130575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288.3000000000003</v>
      </c>
      <c r="BE100" s="13">
        <f>BD100*VLOOKUP('Données projet'!$B$11,Paramètres!$A$1:$I$89,3,0)*VLOOKUP('Données projet'!$B$11,Paramètres!$A$1:$I$89,5,0)</f>
        <v>278.84376000000032</v>
      </c>
      <c r="BF100" s="13">
        <f t="shared" si="91"/>
        <v>66.722603316177853</v>
      </c>
      <c r="BG100" s="20">
        <f t="shared" si="61"/>
        <v>601.86141610901029</v>
      </c>
      <c r="BH100" s="59">
        <f t="shared" si="62"/>
        <v>895.19474944234366</v>
      </c>
      <c r="BI100" s="59">
        <f ca="1">AVERAGE(OFFSET($BH$3,0,0,'Données projet'!$E$11+1,1))-AVERAGE(OFFSET($H$3,0,0,'Données projet'!$E$11+1,1))</f>
        <v>293.19327646293601</v>
      </c>
      <c r="BJ100" s="59">
        <f t="shared" si="92"/>
        <v>200.0769581869605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0.51807914920380527</v>
      </c>
      <c r="BR100" s="21">
        <f>EXP(-LN(2)/2)*BR99+(1-EXP(-LN(2)/2))/(LN(2)/2)*BL100*BO100*VLOOKUP('Données projet'!$B$11,Paramètres!$A$1:$I$89,3,0)*0.475*44/12</f>
        <v>5.4463272484216582E-10</v>
      </c>
      <c r="BS100" s="22">
        <f t="shared" si="63"/>
        <v>0.51807914974843794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1.7053025658242404E-13</v>
      </c>
      <c r="BZ100" s="13">
        <f>BY100*VLOOKUP('Données projet'!$B$12,Paramètres!$A$1:$I$89,3,0)*VLOOKUP('Données projet'!$B$12,Paramètres!$A$1:$I$89,5,0)</f>
        <v>1.3301360013429075E-13</v>
      </c>
      <c r="CA100" s="13">
        <f t="shared" si="93"/>
        <v>1.9329766731057041E-12</v>
      </c>
      <c r="CB100" s="20">
        <f t="shared" si="64"/>
        <v>3.5982663925596575E-12</v>
      </c>
      <c r="CC100" s="59">
        <f t="shared" si="65"/>
        <v>293.3333333333369</v>
      </c>
      <c r="CD100" s="59">
        <f ca="1">AVERAGE(OFFSET($CC$3,0,0,'Données projet'!$E$12+1,1))-AVERAGE(OFFSET($H$3,0,0,'Données projet'!$E$12+1,1))</f>
        <v>295.95249585728561</v>
      </c>
      <c r="CE100" s="59">
        <f t="shared" si="94"/>
        <v>306.85862495052709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0.3836342344134307</v>
      </c>
      <c r="CL100" s="21">
        <f>EXP(-LN(2)/25)*CL99+(1-EXP(-LN(2)/25))/(LN(2)/25)*Calculateur!CG100*Calculateur!CI100*VLOOKUP('Données projet'!$B$12,Paramètres!$A$1:$I$89,3,0)*0.475*44/12</f>
        <v>1.3061785814367812</v>
      </c>
      <c r="CM100" s="21">
        <f>EXP(-LN(2)/2)*CM99+(1-EXP(-LN(2)/2))/(LN(2)/2)*CG100*CJ100*VLOOKUP('Données projet'!$B$12,Paramètres!$A$1:$I$89,3,0)*0.475*44/12</f>
        <v>1.0759941920329711E-9</v>
      </c>
      <c r="CN100" s="22">
        <f t="shared" si="66"/>
        <v>1.6898128169262061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7.4</v>
      </c>
      <c r="CT100" s="12">
        <f>IF('Données projet'!$A$140&gt;35,CT99+CS100-DB99,IF(A100&lt;'Données projet'!$A$140,$CQ$205^A100,IF(A100='Données projet'!$A$140,'Données projet'!$B$140,CT99+CS100-DB99)))</f>
        <v>402.80000000000018</v>
      </c>
      <c r="CU100" s="17">
        <f>CT100*VLOOKUP('Données projet'!$B$13,Paramètres!$A$1:$I$89,3,0)*VLOOKUP('Données projet'!$B$13,Paramètres!$A$1:$I$89,5,0)</f>
        <v>383.30448000000018</v>
      </c>
      <c r="CV100" s="13">
        <f t="shared" si="95"/>
        <v>88.3835518983539</v>
      </c>
      <c r="CW100" s="20">
        <f t="shared" si="67"/>
        <v>821.52332222296673</v>
      </c>
      <c r="CX100" s="59">
        <f t="shared" si="68"/>
        <v>1114.8566555563</v>
      </c>
      <c r="CY100" s="59">
        <f ca="1">AVERAGE(OFFSET($CX$3,0,0,'Données projet'!$E$13+1,1))-AVERAGE(OFFSET($H$3,0,0,'Données projet'!$E$13+1,1))</f>
        <v>461.10546083340631</v>
      </c>
      <c r="CZ100" s="59">
        <f t="shared" si="96"/>
        <v>233.41883071412587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0.61518297194111449</v>
      </c>
      <c r="DH100" s="21">
        <f>EXP(-LN(2)/2)*DH99+(1-EXP(-LN(2)/2))/(LN(2)/2)*DB100*DE100*VLOOKUP('Données projet'!$B$13,Paramètres!$A$1:$I$89,3,0)*0.475*44/12</f>
        <v>6.46713496962197E-10</v>
      </c>
      <c r="DI100" s="22">
        <f t="shared" si="69"/>
        <v>0.61518297258782795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-4.1500243241898714E-13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296.376932094327</v>
      </c>
      <c r="DU100" s="59">
        <f t="shared" si="98"/>
        <v>350.93658329210882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0.71611723757173729</v>
      </c>
      <c r="EB100" s="21">
        <f>EXP(-LN(2)/25)*EB99+(1-EXP(-LN(2)/25))/(LN(2)/25)*Calculateur!DW100*Calculateur!DY100*VLOOKUP('Données projet'!$B$14,Paramètres!$A$1:$I$89,3,0)*0.475*44/12</f>
        <v>2.6487094035096352</v>
      </c>
      <c r="EC100" s="21">
        <f>EXP(-LN(2)/2)*EC99+(1-EXP(-LN(2)/2))/(LN(2)/2)*DW100*DZ100*VLOOKUP('Données projet'!$B$14,Paramètres!$A$1:$I$89,3,0)*0.475*44/12</f>
        <v>2.0176476646735616E-9</v>
      </c>
      <c r="ED100" s="22">
        <f t="shared" si="72"/>
        <v>3.3648266430990206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-5.1159076974727213E-13</v>
      </c>
      <c r="EK100" s="17">
        <f>EJ100*VLOOKUP('Données projet'!$B$15,Paramètres!$A$1:$I$89,3,0)*VLOOKUP('Données projet'!$B$15,Paramètres!$A$1:$I$89,5,0)</f>
        <v>-3.3519427233841269E-13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231.03244099494077</v>
      </c>
      <c r="EP100" s="59">
        <f t="shared" si="100"/>
        <v>280.29723026390741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0.57840238419255696</v>
      </c>
      <c r="EW100" s="21">
        <f>EXP(-LN(2)/25)*EW99+(1-EXP(-LN(2)/25))/(LN(2)/25)*Calculateur!ER100*Calculateur!ET100*VLOOKUP('Données projet'!$B$15,Paramètres!$A$1:$I$89,3,0)*0.475*44/12</f>
        <v>2.1393422105270115</v>
      </c>
      <c r="EX100" s="21">
        <f>EXP(-LN(2)/2)*EX99+(1-EXP(-LN(2)/2))/(LN(2)/2)*ER100*EU100*VLOOKUP('Données projet'!$B$15,Paramètres!$A$1:$I$89,3,0)*0.475*44/12</f>
        <v>1.6296384983901836E-9</v>
      </c>
      <c r="EY100" s="22">
        <f t="shared" si="75"/>
        <v>2.7177445963492071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315.95615999999984</v>
      </c>
      <c r="P101" s="13">
        <f t="shared" si="87"/>
        <v>74.511332350300975</v>
      </c>
      <c r="Q101" s="20">
        <f t="shared" si="107"/>
        <v>680.06421584344059</v>
      </c>
      <c r="R101" s="59">
        <f t="shared" si="55"/>
        <v>973.39754917677396</v>
      </c>
      <c r="S101" s="59">
        <f ca="1">AVERAGE(OFFSET($R$3,0,0,'Données projet'!$E$9+1,1))-AVERAGE(OFFSET($H$3,0,0,'Données projet'!$E$9+1,1))</f>
        <v>351.15781452544906</v>
      </c>
      <c r="T101" s="59">
        <f t="shared" si="88"/>
        <v>271.54361159160169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0.62646657983411969</v>
      </c>
      <c r="AA101" s="21">
        <f>EXP(-LN(2)/25)*AA100+(1-EXP(-LN(2)/25))/(LN(2)/25)*Calculateur!V101*Calculateur!X101*VLOOKUP('Données projet'!$B$9,Paramètres!$A$1:$I$89,3,0)*0.475*44/12</f>
        <v>1.7124425479321561</v>
      </c>
      <c r="AB101" s="21">
        <f>EXP(-LN(2)/2)*AB100+(1-EXP(-LN(2)/2))/(LN(2)/2)*V101*Y101*VLOOKUP('Données projet'!$B$9,Paramètres!$A$1:$I$89,3,0)*0.475*44/12</f>
        <v>1.2545693185009692E-9</v>
      </c>
      <c r="AC101" s="22">
        <f t="shared" si="57"/>
        <v>2.3389091290208452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7.4</v>
      </c>
      <c r="AI101" s="13">
        <f>IF('Données projet'!$A$62&gt;35,AI100+AH101-AQ100,IF(A101&lt;'Données projet'!$A$62,$AF$205^A101,IF(A101='Données projet'!$A$62,'Données projet'!$B$62,AI100+AH101-AQ100)))</f>
        <v>410.20000000000016</v>
      </c>
      <c r="AJ101" s="13">
        <f>AI101*VLOOKUP('Données projet'!$B$10,Paramètres!$A$1:$I$89,3,0)*VLOOKUP('Données projet'!$B$10,Paramètres!$A$1:$I$89,5,0)</f>
        <v>351.95160000000016</v>
      </c>
      <c r="AK101" s="13">
        <f t="shared" si="89"/>
        <v>81.964235805058109</v>
      </c>
      <c r="AL101" s="20">
        <f t="shared" si="58"/>
        <v>755.73674736047633</v>
      </c>
      <c r="AM101" s="59">
        <f t="shared" si="59"/>
        <v>1049.0700806938096</v>
      </c>
      <c r="AN101" s="59">
        <f ca="1">AVERAGE(OFFSET($AM$3,0,0,'Données projet'!$E$10+1,1))-AVERAGE(OFFSET($H$3,0,0,'Données projet'!$E$10+1,1))</f>
        <v>405.59933429804329</v>
      </c>
      <c r="AO101" s="59">
        <f t="shared" si="90"/>
        <v>208.64922573363776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0.66497202400421518</v>
      </c>
      <c r="AW101" s="21">
        <f>EXP(-LN(2)/2)*AW100+(1-EXP(-LN(2)/2))/(LN(2)/2)*AQ101*AT101*VLOOKUP('Données projet'!$B$10,Paramètres!$A$1:$I$89,3,0)*0.475*44/12</f>
        <v>4.1231561402091494E-10</v>
      </c>
      <c r="AX101" s="21">
        <f t="shared" si="60"/>
        <v>0.6649720244165308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293.20000000000027</v>
      </c>
      <c r="BE101" s="13">
        <f>BD101*VLOOKUP('Données projet'!$B$11,Paramètres!$A$1:$I$89,3,0)*VLOOKUP('Données projet'!$B$11,Paramètres!$A$1:$I$89,5,0)</f>
        <v>283.58304000000027</v>
      </c>
      <c r="BF101" s="13">
        <f t="shared" si="91"/>
        <v>67.723646968605209</v>
      </c>
      <c r="BG101" s="20">
        <f t="shared" si="61"/>
        <v>611.85914647032121</v>
      </c>
      <c r="BH101" s="59">
        <f t="shared" si="62"/>
        <v>905.19247980365458</v>
      </c>
      <c r="BI101" s="59">
        <f ca="1">AVERAGE(OFFSET($BH$3,0,0,'Données projet'!$E$11+1,1))-AVERAGE(OFFSET($H$3,0,0,'Données projet'!$E$11+1,1))</f>
        <v>293.19327646293601</v>
      </c>
      <c r="BJ101" s="59">
        <f t="shared" si="92"/>
        <v>200.0769581869605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0.50391224762422882</v>
      </c>
      <c r="BR101" s="21">
        <f>EXP(-LN(2)/2)*BR100+(1-EXP(-LN(2)/2))/(LN(2)/2)*BL101*BO101*VLOOKUP('Données projet'!$B$11,Paramètres!$A$1:$I$89,3,0)*0.475*44/12</f>
        <v>3.851134929920025E-10</v>
      </c>
      <c r="BS101" s="22">
        <f t="shared" si="63"/>
        <v>0.50391224800934231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1.7053025658242404E-13</v>
      </c>
      <c r="BZ101" s="13">
        <f>BY101*VLOOKUP('Données projet'!$B$12,Paramètres!$A$1:$I$89,3,0)*VLOOKUP('Données projet'!$B$12,Paramètres!$A$1:$I$89,5,0)</f>
        <v>1.3301360013429075E-13</v>
      </c>
      <c r="CA101" s="13">
        <f t="shared" si="93"/>
        <v>1.9329766731057041E-12</v>
      </c>
      <c r="CB101" s="20">
        <f t="shared" si="64"/>
        <v>3.5982663925596575E-12</v>
      </c>
      <c r="CC101" s="59">
        <f t="shared" si="65"/>
        <v>293.3333333333369</v>
      </c>
      <c r="CD101" s="59">
        <f ca="1">AVERAGE(OFFSET($CC$3,0,0,'Données projet'!$E$12+1,1))-AVERAGE(OFFSET($H$3,0,0,'Données projet'!$E$12+1,1))</f>
        <v>295.95249585728561</v>
      </c>
      <c r="CE101" s="59">
        <f t="shared" si="94"/>
        <v>306.85862495052709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0.37611140107036134</v>
      </c>
      <c r="CL101" s="21">
        <f>EXP(-LN(2)/25)*CL100+(1-EXP(-LN(2)/25))/(LN(2)/25)*Calculateur!CG101*Calculateur!CI101*VLOOKUP('Données projet'!$B$12,Paramètres!$A$1:$I$89,3,0)*0.475*44/12</f>
        <v>1.2704610594384462</v>
      </c>
      <c r="CM101" s="21">
        <f>EXP(-LN(2)/2)*CM100+(1-EXP(-LN(2)/2))/(LN(2)/2)*CG101*CJ101*VLOOKUP('Données projet'!$B$12,Paramètres!$A$1:$I$89,3,0)*0.475*44/12</f>
        <v>7.6084278970385409E-10</v>
      </c>
      <c r="CN101" s="22">
        <f t="shared" si="66"/>
        <v>1.6465724612696502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7.4</v>
      </c>
      <c r="CT101" s="12">
        <f>IF('Données projet'!$A$140&gt;35,CT100+CS101-DB100,IF(A101&lt;'Données projet'!$A$140,$CQ$205^A101,IF(A101='Données projet'!$A$140,'Données projet'!$B$140,CT100+CS101-DB100)))</f>
        <v>410.20000000000016</v>
      </c>
      <c r="CU101" s="17">
        <f>CT101*VLOOKUP('Données projet'!$B$13,Paramètres!$A$1:$I$89,3,0)*VLOOKUP('Données projet'!$B$13,Paramètres!$A$1:$I$89,5,0)</f>
        <v>390.34632000000016</v>
      </c>
      <c r="CV101" s="13">
        <f t="shared" si="95"/>
        <v>89.816755729426077</v>
      </c>
      <c r="CW101" s="20">
        <f t="shared" si="67"/>
        <v>836.28402356208392</v>
      </c>
      <c r="CX101" s="59">
        <f t="shared" si="68"/>
        <v>1129.6173568954173</v>
      </c>
      <c r="CY101" s="59">
        <f ca="1">AVERAGE(OFFSET($CX$3,0,0,'Données projet'!$E$13+1,1))-AVERAGE(OFFSET($H$3,0,0,'Données projet'!$E$13+1,1))</f>
        <v>461.10546083340631</v>
      </c>
      <c r="CZ101" s="59">
        <f t="shared" si="96"/>
        <v>233.41883071412587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0.59836076122231818</v>
      </c>
      <c r="DH101" s="21">
        <f>EXP(-LN(2)/2)*DH100+(1-EXP(-LN(2)/2))/(LN(2)/2)*DB101*DE101*VLOOKUP('Données projet'!$B$13,Paramètres!$A$1:$I$89,3,0)*0.475*44/12</f>
        <v>4.5729549918683521E-10</v>
      </c>
      <c r="DI101" s="22">
        <f t="shared" si="69"/>
        <v>0.59836076167961372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-4.1500243241898714E-13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296.376932094327</v>
      </c>
      <c r="DU101" s="59">
        <f t="shared" si="98"/>
        <v>350.93658329210882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0.70207461533134119</v>
      </c>
      <c r="EB101" s="21">
        <f>EXP(-LN(2)/25)*EB100+(1-EXP(-LN(2)/25))/(LN(2)/25)*Calculateur!DW101*Calculateur!DY101*VLOOKUP('Données projet'!$B$14,Paramètres!$A$1:$I$89,3,0)*0.475*44/12</f>
        <v>2.5762803055810903</v>
      </c>
      <c r="EC101" s="21">
        <f>EXP(-LN(2)/2)*EC100+(1-EXP(-LN(2)/2))/(LN(2)/2)*DW101*DZ101*VLOOKUP('Données projet'!$B$14,Paramètres!$A$1:$I$89,3,0)*0.475*44/12</f>
        <v>1.4266923457358768E-9</v>
      </c>
      <c r="ED101" s="22">
        <f t="shared" si="72"/>
        <v>3.278354922339124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-5.1159076974727213E-13</v>
      </c>
      <c r="EK101" s="17">
        <f>EJ101*VLOOKUP('Données projet'!$B$15,Paramètres!$A$1:$I$89,3,0)*VLOOKUP('Données projet'!$B$15,Paramètres!$A$1:$I$89,5,0)</f>
        <v>-3.3519427233841269E-13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231.03244099494077</v>
      </c>
      <c r="EP101" s="59">
        <f t="shared" si="100"/>
        <v>280.29723026390741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0.56706026622916006</v>
      </c>
      <c r="EW101" s="21">
        <f>EXP(-LN(2)/25)*EW100+(1-EXP(-LN(2)/25))/(LN(2)/25)*Calculateur!ER101*Calculateur!ET101*VLOOKUP('Données projet'!$B$15,Paramètres!$A$1:$I$89,3,0)*0.475*44/12</f>
        <v>2.0808417852770331</v>
      </c>
      <c r="EX101" s="21">
        <f>EXP(-LN(2)/2)*EX100+(1-EXP(-LN(2)/2))/(LN(2)/2)*ER101*EU101*VLOOKUP('Données projet'!$B$15,Paramètres!$A$1:$I$89,3,0)*0.475*44/12</f>
        <v>1.1523284330943614E-9</v>
      </c>
      <c r="EY101" s="22">
        <f t="shared" si="75"/>
        <v>2.6479020526585217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321.29447999999979</v>
      </c>
      <c r="P102" s="13">
        <f t="shared" si="87"/>
        <v>75.6226320847924</v>
      </c>
      <c r="Q102" s="20">
        <f t="shared" si="107"/>
        <v>691.29730354767969</v>
      </c>
      <c r="R102" s="59">
        <f t="shared" si="55"/>
        <v>984.63063688101306</v>
      </c>
      <c r="S102" s="59">
        <f ca="1">AVERAGE(OFFSET($R$3,0,0,'Données projet'!$E$9+1,1))-AVERAGE(OFFSET($H$3,0,0,'Données projet'!$E$9+1,1))</f>
        <v>351.15781452544906</v>
      </c>
      <c r="T102" s="59">
        <f t="shared" si="88"/>
        <v>271.54361159160169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0.61418195231045636</v>
      </c>
      <c r="AA102" s="21">
        <f>EXP(-LN(2)/25)*AA101+(1-EXP(-LN(2)/25))/(LN(2)/25)*Calculateur!V102*Calculateur!X102*VLOOKUP('Données projet'!$B$9,Paramètres!$A$1:$I$89,3,0)*0.475*44/12</f>
        <v>1.6656157164055116</v>
      </c>
      <c r="AB102" s="21">
        <f>EXP(-LN(2)/2)*AB101+(1-EXP(-LN(2)/2))/(LN(2)/2)*V102*Y102*VLOOKUP('Données projet'!$B$9,Paramètres!$A$1:$I$89,3,0)*0.475*44/12</f>
        <v>8.8711447258062092E-10</v>
      </c>
      <c r="AC102" s="22">
        <f t="shared" si="57"/>
        <v>2.2797976696030826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7.4</v>
      </c>
      <c r="AI102" s="13">
        <f>IF('Données projet'!$A$62&gt;35,AI101+AH102-AQ101,IF(A102&lt;'Données projet'!$A$62,$AF$205^A102,IF(A102='Données projet'!$A$62,'Données projet'!$B$62,AI101+AH102-AQ101)))</f>
        <v>417.60000000000014</v>
      </c>
      <c r="AJ102" s="13">
        <f>AI102*VLOOKUP('Données projet'!$B$10,Paramètres!$A$1:$I$89,3,0)*VLOOKUP('Données projet'!$B$10,Paramètres!$A$1:$I$89,5,0)</f>
        <v>358.30080000000015</v>
      </c>
      <c r="AK102" s="13">
        <f t="shared" si="89"/>
        <v>83.269393485435813</v>
      </c>
      <c r="AL102" s="20">
        <f t="shared" si="58"/>
        <v>769.06808698713439</v>
      </c>
      <c r="AM102" s="59">
        <f t="shared" si="59"/>
        <v>1062.4014203204677</v>
      </c>
      <c r="AN102" s="59">
        <f ca="1">AVERAGE(OFFSET($AM$3,0,0,'Données projet'!$E$10+1,1))-AVERAGE(OFFSET($H$3,0,0,'Données projet'!$E$10+1,1))</f>
        <v>405.59933429804329</v>
      </c>
      <c r="AO102" s="59">
        <f t="shared" si="90"/>
        <v>208.64922573363776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0.64678832903846095</v>
      </c>
      <c r="AW102" s="21">
        <f>EXP(-LN(2)/2)*AW101+(1-EXP(-LN(2)/2))/(LN(2)/2)*AQ102*AT102*VLOOKUP('Données projet'!$B$10,Paramètres!$A$1:$I$89,3,0)*0.475*44/12</f>
        <v>2.9155116666328408E-10</v>
      </c>
      <c r="AX102" s="21">
        <f t="shared" si="60"/>
        <v>0.64678832933001207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298.10000000000025</v>
      </c>
      <c r="BE102" s="13">
        <f>BD102*VLOOKUP('Données projet'!$B$11,Paramètres!$A$1:$I$89,3,0)*VLOOKUP('Données projet'!$B$11,Paramètres!$A$1:$I$89,5,0)</f>
        <v>288.32232000000022</v>
      </c>
      <c r="BF102" s="13">
        <f t="shared" si="91"/>
        <v>68.722745094590678</v>
      </c>
      <c r="BG102" s="20">
        <f t="shared" si="61"/>
        <v>621.85348837307913</v>
      </c>
      <c r="BH102" s="59">
        <f t="shared" si="62"/>
        <v>915.1868217064125</v>
      </c>
      <c r="BI102" s="59">
        <f ca="1">AVERAGE(OFFSET($BH$3,0,0,'Données projet'!$E$11+1,1))-AVERAGE(OFFSET($H$3,0,0,'Données projet'!$E$11+1,1))</f>
        <v>293.19327646293601</v>
      </c>
      <c r="BJ102" s="59">
        <f t="shared" si="92"/>
        <v>200.0769581869605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0.49013274071335089</v>
      </c>
      <c r="BR102" s="21">
        <f>EXP(-LN(2)/2)*BR101+(1-EXP(-LN(2)/2))/(LN(2)/2)*BL102*BO102*VLOOKUP('Données projet'!$B$11,Paramètres!$A$1:$I$89,3,0)*0.475*44/12</f>
        <v>2.7231636242108291E-10</v>
      </c>
      <c r="BS102" s="22">
        <f t="shared" si="63"/>
        <v>0.49013274098566723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1.7053025658242404E-13</v>
      </c>
      <c r="BZ102" s="13">
        <f>BY102*VLOOKUP('Données projet'!$B$12,Paramètres!$A$1:$I$89,3,0)*VLOOKUP('Données projet'!$B$12,Paramètres!$A$1:$I$89,5,0)</f>
        <v>1.3301360013429075E-13</v>
      </c>
      <c r="CA102" s="13">
        <f t="shared" si="93"/>
        <v>1.9329766731057041E-12</v>
      </c>
      <c r="CB102" s="20">
        <f t="shared" si="64"/>
        <v>3.5982663925596575E-12</v>
      </c>
      <c r="CC102" s="59">
        <f t="shared" si="65"/>
        <v>293.3333333333369</v>
      </c>
      <c r="CD102" s="59">
        <f ca="1">AVERAGE(OFFSET($CC$3,0,0,'Données projet'!$E$12+1,1))-AVERAGE(OFFSET($H$3,0,0,'Données projet'!$E$12+1,1))</f>
        <v>295.95249585728561</v>
      </c>
      <c r="CE102" s="59">
        <f t="shared" si="94"/>
        <v>306.85862495052709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0.3687360859006743</v>
      </c>
      <c r="CL102" s="21">
        <f>EXP(-LN(2)/25)*CL101+(1-EXP(-LN(2)/25))/(LN(2)/25)*Calculateur!CG102*Calculateur!CI102*VLOOKUP('Données projet'!$B$12,Paramètres!$A$1:$I$89,3,0)*0.475*44/12</f>
        <v>1.2357202349574585</v>
      </c>
      <c r="CM102" s="21">
        <f>EXP(-LN(2)/2)*CM101+(1-EXP(-LN(2)/2))/(LN(2)/2)*CG102*CJ102*VLOOKUP('Données projet'!$B$12,Paramètres!$A$1:$I$89,3,0)*0.475*44/12</f>
        <v>5.3799709601648554E-10</v>
      </c>
      <c r="CN102" s="22">
        <f t="shared" si="66"/>
        <v>1.60445632139613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7.4</v>
      </c>
      <c r="CT102" s="12">
        <f>IF('Données projet'!$A$140&gt;35,CT101+CS102-DB101,IF(A102&lt;'Données projet'!$A$140,$CQ$205^A102,IF(A102='Données projet'!$A$140,'Données projet'!$B$140,CT101+CS102-DB101)))</f>
        <v>417.60000000000014</v>
      </c>
      <c r="CU102" s="17">
        <f>CT102*VLOOKUP('Données projet'!$B$13,Paramètres!$A$1:$I$89,3,0)*VLOOKUP('Données projet'!$B$13,Paramètres!$A$1:$I$89,5,0)</f>
        <v>397.38816000000014</v>
      </c>
      <c r="CV102" s="13">
        <f t="shared" si="95"/>
        <v>91.246953027253397</v>
      </c>
      <c r="CW102" s="20">
        <f t="shared" si="67"/>
        <v>851.0394885224664</v>
      </c>
      <c r="CX102" s="59">
        <f t="shared" si="68"/>
        <v>1144.3728218557997</v>
      </c>
      <c r="CY102" s="59">
        <f ca="1">AVERAGE(OFFSET($CX$3,0,0,'Données projet'!$E$13+1,1))-AVERAGE(OFFSET($H$3,0,0,'Données projet'!$E$13+1,1))</f>
        <v>461.10546083340631</v>
      </c>
      <c r="CZ102" s="59">
        <f t="shared" si="96"/>
        <v>233.41883071412587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0.58199855474026907</v>
      </c>
      <c r="DH102" s="21">
        <f>EXP(-LN(2)/2)*DH101+(1-EXP(-LN(2)/2))/(LN(2)/2)*DB102*DE102*VLOOKUP('Données projet'!$B$13,Paramètres!$A$1:$I$89,3,0)*0.475*44/12</f>
        <v>3.2335674848109855E-10</v>
      </c>
      <c r="DI102" s="22">
        <f t="shared" si="69"/>
        <v>0.58199855506362586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-4.1500243241898714E-13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296.376932094327</v>
      </c>
      <c r="DU102" s="59">
        <f t="shared" si="98"/>
        <v>350.93658329210882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0.68830736034792539</v>
      </c>
      <c r="EB102" s="21">
        <f>EXP(-LN(2)/25)*EB101+(1-EXP(-LN(2)/25))/(LN(2)/25)*Calculateur!DW102*Calculateur!DY102*VLOOKUP('Données projet'!$B$14,Paramètres!$A$1:$I$89,3,0)*0.475*44/12</f>
        <v>2.5058317851442822</v>
      </c>
      <c r="EC102" s="21">
        <f>EXP(-LN(2)/2)*EC101+(1-EXP(-LN(2)/2))/(LN(2)/2)*DW102*DZ102*VLOOKUP('Données projet'!$B$14,Paramètres!$A$1:$I$89,3,0)*0.475*44/12</f>
        <v>1.0088238323367808E-9</v>
      </c>
      <c r="ED102" s="22">
        <f t="shared" si="72"/>
        <v>3.1941391465010311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-5.1159076974727213E-13</v>
      </c>
      <c r="EK102" s="17">
        <f>EJ102*VLOOKUP('Données projet'!$B$15,Paramètres!$A$1:$I$89,3,0)*VLOOKUP('Données projet'!$B$15,Paramètres!$A$1:$I$89,5,0)</f>
        <v>-3.3519427233841269E-13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231.03244099494077</v>
      </c>
      <c r="EP102" s="59">
        <f t="shared" si="100"/>
        <v>280.29723026390741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0.55594056028101657</v>
      </c>
      <c r="EW102" s="21">
        <f>EXP(-LN(2)/25)*EW101+(1-EXP(-LN(2)/25))/(LN(2)/25)*Calculateur!ER102*Calculateur!ET102*VLOOKUP('Données projet'!$B$15,Paramètres!$A$1:$I$89,3,0)*0.475*44/12</f>
        <v>2.023941057231919</v>
      </c>
      <c r="EX102" s="21">
        <f>EXP(-LN(2)/2)*EX101+(1-EXP(-LN(2)/2))/(LN(2)/2)*ER102*EU102*VLOOKUP('Données projet'!$B$15,Paramètres!$A$1:$I$89,3,0)*0.475*44/12</f>
        <v>8.148192491950918E-10</v>
      </c>
      <c r="EY102" s="22">
        <f t="shared" si="75"/>
        <v>2.5798816183277546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326.6327999999998</v>
      </c>
      <c r="P103" s="13">
        <f t="shared" si="87"/>
        <v>76.731784548754774</v>
      </c>
      <c r="Q103" s="20">
        <f t="shared" si="107"/>
        <v>702.52665142241415</v>
      </c>
      <c r="R103" s="59">
        <f t="shared" si="55"/>
        <v>995.85998475574752</v>
      </c>
      <c r="S103" s="59">
        <f ca="1">AVERAGE(OFFSET($R$3,0,0,'Données projet'!$E$9+1,1))-AVERAGE(OFFSET($H$3,0,0,'Données projet'!$E$9+1,1))</f>
        <v>351.15781452544906</v>
      </c>
      <c r="T103" s="59">
        <f t="shared" si="88"/>
        <v>271.54361159160169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0.60213821883964913</v>
      </c>
      <c r="AA103" s="21">
        <f>EXP(-LN(2)/25)*AA102+(1-EXP(-LN(2)/25))/(LN(2)/25)*Calculateur!V103*Calculateur!X103*VLOOKUP('Données projet'!$B$9,Paramètres!$A$1:$I$89,3,0)*0.475*44/12</f>
        <v>1.6200693670494792</v>
      </c>
      <c r="AB103" s="21">
        <f>EXP(-LN(2)/2)*AB102+(1-EXP(-LN(2)/2))/(LN(2)/2)*V103*Y103*VLOOKUP('Données projet'!$B$9,Paramètres!$A$1:$I$89,3,0)*0.475*44/12</f>
        <v>6.2728465925048462E-10</v>
      </c>
      <c r="AC103" s="22">
        <f t="shared" si="57"/>
        <v>2.2222075865164128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425</v>
      </c>
      <c r="AG103" s="12">
        <f>VLOOKUP(A103,'Données projet'!$A$61:$I$81,9,0)</f>
        <v>7.4</v>
      </c>
      <c r="AH103" s="12">
        <f t="array" ref="AH103">INDEX(AG:AG,MIN(IF(ISNUMBER(AG103:AG299),ROW(AG103:AG299),"")))</f>
        <v>7.4</v>
      </c>
      <c r="AI103" s="13">
        <f>IF('Données projet'!$A$62&gt;35,AI102+AH103-AQ102,IF(A103&lt;'Données projet'!$A$62,$AF$205^A103,IF(A103='Données projet'!$A$62,'Données projet'!$B$62,AI102+AH103-AQ102)))</f>
        <v>425.00000000000011</v>
      </c>
      <c r="AJ103" s="13">
        <f>AI103*VLOOKUP('Données projet'!$B$10,Paramètres!$A$1:$I$89,3,0)*VLOOKUP('Données projet'!$B$10,Paramètres!$A$1:$I$89,5,0)</f>
        <v>364.65000000000015</v>
      </c>
      <c r="AK103" s="13">
        <f t="shared" si="89"/>
        <v>84.571861716261665</v>
      </c>
      <c r="AL103" s="20">
        <f t="shared" si="58"/>
        <v>782.39474248915587</v>
      </c>
      <c r="AM103" s="59">
        <f t="shared" si="59"/>
        <v>1075.7280758224892</v>
      </c>
      <c r="AN103" s="59">
        <f ca="1">AVERAGE(OFFSET($AM$3,0,0,'Données projet'!$E$10+1,1))-AVERAGE(OFFSET($H$3,0,0,'Données projet'!$E$10+1,1))</f>
        <v>405.59933429804329</v>
      </c>
      <c r="AO103" s="59">
        <f t="shared" si="90"/>
        <v>208.64922573363776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49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0.62910186816778424</v>
      </c>
      <c r="AW103" s="21">
        <f>EXP(-LN(2)/2)*AW102+(1-EXP(-LN(2)/2))/(LN(2)/2)*AQ103*AT103*VLOOKUP('Données projet'!$B$10,Paramètres!$A$1:$I$89,3,0)*0.475*44/12</f>
        <v>2.0615780701045747E-10</v>
      </c>
      <c r="AX103" s="21">
        <f t="shared" si="60"/>
        <v>0.629101868373942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303.00000000000023</v>
      </c>
      <c r="BE103" s="13">
        <f>BD103*VLOOKUP('Données projet'!$B$11,Paramètres!$A$1:$I$89,3,0)*VLOOKUP('Données projet'!$B$11,Paramètres!$A$1:$I$89,5,0)</f>
        <v>293.06160000000023</v>
      </c>
      <c r="BF103" s="13">
        <f t="shared" si="91"/>
        <v>69.719933365116617</v>
      </c>
      <c r="BG103" s="20">
        <f t="shared" si="61"/>
        <v>631.84450394424505</v>
      </c>
      <c r="BH103" s="59">
        <f t="shared" si="62"/>
        <v>925.17783727757842</v>
      </c>
      <c r="BI103" s="59">
        <f ca="1">AVERAGE(OFFSET($BH$3,0,0,'Données projet'!$E$11+1,1))-AVERAGE(OFFSET($H$3,0,0,'Données projet'!$E$11+1,1))</f>
        <v>293.19327646293601</v>
      </c>
      <c r="BJ103" s="59">
        <f t="shared" si="92"/>
        <v>200.0769581869605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0.4767300351435837</v>
      </c>
      <c r="BR103" s="21">
        <f>EXP(-LN(2)/2)*BR102+(1-EXP(-LN(2)/2))/(LN(2)/2)*BL103*BO103*VLOOKUP('Données projet'!$B$11,Paramètres!$A$1:$I$89,3,0)*0.475*44/12</f>
        <v>1.9255674649600125E-10</v>
      </c>
      <c r="BS103" s="22">
        <f t="shared" si="63"/>
        <v>0.47673003533614045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1.7053025658242404E-13</v>
      </c>
      <c r="BZ103" s="13">
        <f>BY103*VLOOKUP('Données projet'!$B$12,Paramètres!$A$1:$I$89,3,0)*VLOOKUP('Données projet'!$B$12,Paramètres!$A$1:$I$89,5,0)</f>
        <v>1.3301360013429075E-13</v>
      </c>
      <c r="CA103" s="13">
        <f t="shared" si="93"/>
        <v>1.9329766731057041E-12</v>
      </c>
      <c r="CB103" s="20">
        <f t="shared" si="64"/>
        <v>3.5982663925596575E-12</v>
      </c>
      <c r="CC103" s="59">
        <f t="shared" si="65"/>
        <v>293.3333333333369</v>
      </c>
      <c r="CD103" s="59">
        <f ca="1">AVERAGE(OFFSET($CC$3,0,0,'Données projet'!$E$12+1,1))-AVERAGE(OFFSET($H$3,0,0,'Données projet'!$E$12+1,1))</f>
        <v>295.95249585728561</v>
      </c>
      <c r="CE103" s="59">
        <f t="shared" si="94"/>
        <v>306.85862495052709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0.36150539616296679</v>
      </c>
      <c r="CL103" s="21">
        <f>EXP(-LN(2)/25)*CL102+(1-EXP(-LN(2)/25))/(LN(2)/25)*Calculateur!CG103*Calculateur!CI103*VLOOKUP('Données projet'!$B$12,Paramètres!$A$1:$I$89,3,0)*0.475*44/12</f>
        <v>1.2019294001488439</v>
      </c>
      <c r="CM103" s="21">
        <f>EXP(-LN(2)/2)*CM102+(1-EXP(-LN(2)/2))/(LN(2)/2)*CG103*CJ103*VLOOKUP('Données projet'!$B$12,Paramètres!$A$1:$I$89,3,0)*0.475*44/12</f>
        <v>3.8042139485192705E-10</v>
      </c>
      <c r="CN103" s="22">
        <f t="shared" si="66"/>
        <v>1.5634347966922322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425</v>
      </c>
      <c r="CR103" s="12">
        <f>VLOOKUP(A103,'Données projet'!$A$139:$I$159,9,0)</f>
        <v>7.4</v>
      </c>
      <c r="CS103" s="12">
        <f t="array" ref="CS103">INDEX(CR:CR,MIN(IF(ISNUMBER(CR103:CR299),ROW(CR103:CR299),"")))</f>
        <v>7.4</v>
      </c>
      <c r="CT103" s="12">
        <f>IF('Données projet'!$A$140&gt;35,CT102+CS103-DB102,IF(A103&lt;'Données projet'!$A$140,$CQ$205^A103,IF(A103='Données projet'!$A$140,'Données projet'!$B$140,CT102+CS103-DB102)))</f>
        <v>425.00000000000011</v>
      </c>
      <c r="CU103" s="17">
        <f>CT103*VLOOKUP('Données projet'!$B$13,Paramètres!$A$1:$I$89,3,0)*VLOOKUP('Données projet'!$B$13,Paramètres!$A$1:$I$89,5,0)</f>
        <v>404.43000000000012</v>
      </c>
      <c r="CV103" s="13">
        <f t="shared" si="95"/>
        <v>92.674203214904111</v>
      </c>
      <c r="CW103" s="20">
        <f t="shared" si="67"/>
        <v>865.78982059929149</v>
      </c>
      <c r="CX103" s="59">
        <f t="shared" si="68"/>
        <v>1159.1231539326247</v>
      </c>
      <c r="CY103" s="59">
        <f ca="1">AVERAGE(OFFSET($CX$3,0,0,'Données projet'!$E$13+1,1))-AVERAGE(OFFSET($H$3,0,0,'Données projet'!$E$13+1,1))</f>
        <v>461.10546083340631</v>
      </c>
      <c r="CZ103" s="59">
        <f t="shared" si="96"/>
        <v>233.41883071412587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49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0.56608377365492257</v>
      </c>
      <c r="DH103" s="21">
        <f>EXP(-LN(2)/2)*DH102+(1-EXP(-LN(2)/2))/(LN(2)/2)*DB103*DE103*VLOOKUP('Données projet'!$B$13,Paramètres!$A$1:$I$89,3,0)*0.475*44/12</f>
        <v>2.2864774959341766E-10</v>
      </c>
      <c r="DI103" s="22">
        <f t="shared" si="69"/>
        <v>0.56608377388357034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-4.1500243241898714E-13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296.376932094327</v>
      </c>
      <c r="DU103" s="59">
        <f t="shared" si="98"/>
        <v>350.93658329210882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0.67481007283753802</v>
      </c>
      <c r="EB103" s="21">
        <f>EXP(-LN(2)/25)*EB102+(1-EXP(-LN(2)/25))/(LN(2)/25)*Calculateur!DW103*Calculateur!DY103*VLOOKUP('Données projet'!$B$14,Paramètres!$A$1:$I$89,3,0)*0.475*44/12</f>
        <v>2.4373096832035452</v>
      </c>
      <c r="EC103" s="21">
        <f>EXP(-LN(2)/2)*EC102+(1-EXP(-LN(2)/2))/(LN(2)/2)*DW103*DZ103*VLOOKUP('Données projet'!$B$14,Paramètres!$A$1:$I$89,3,0)*0.475*44/12</f>
        <v>7.133461728679384E-10</v>
      </c>
      <c r="ED103" s="22">
        <f t="shared" si="72"/>
        <v>3.1121197567544296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-5.1159076974727213E-13</v>
      </c>
      <c r="EK103" s="17">
        <f>EJ103*VLOOKUP('Données projet'!$B$15,Paramètres!$A$1:$I$89,3,0)*VLOOKUP('Données projet'!$B$15,Paramètres!$A$1:$I$89,5,0)</f>
        <v>-3.3519427233841269E-13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231.03244099494077</v>
      </c>
      <c r="EP103" s="59">
        <f t="shared" si="100"/>
        <v>280.29723026390741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0.54503890498416518</v>
      </c>
      <c r="EW103" s="21">
        <f>EXP(-LN(2)/25)*EW102+(1-EXP(-LN(2)/25))/(LN(2)/25)*Calculateur!ER103*Calculateur!ET103*VLOOKUP('Données projet'!$B$15,Paramètres!$A$1:$I$89,3,0)*0.475*44/12</f>
        <v>1.9685962825874777</v>
      </c>
      <c r="EX103" s="21">
        <f>EXP(-LN(2)/2)*EX102+(1-EXP(-LN(2)/2))/(LN(2)/2)*ER103*EU103*VLOOKUP('Données projet'!$B$15,Paramètres!$A$1:$I$89,3,0)*0.475*44/12</f>
        <v>5.7616421654718071E-10</v>
      </c>
      <c r="EY103" s="22">
        <f t="shared" si="75"/>
        <v>2.513635188147807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281.57375999999977</v>
      </c>
      <c r="P104" s="13">
        <f t="shared" si="87"/>
        <v>67.299481043334993</v>
      </c>
      <c r="Q104" s="20">
        <f t="shared" si="107"/>
        <v>607.62089481714133</v>
      </c>
      <c r="R104" s="59">
        <f t="shared" si="55"/>
        <v>900.95422815047459</v>
      </c>
      <c r="S104" s="59">
        <f ca="1">AVERAGE(OFFSET($R$3,0,0,'Données projet'!$E$9+1,1))-AVERAGE(OFFSET($H$3,0,0,'Données projet'!$E$9+1,1))</f>
        <v>351.15781452544906</v>
      </c>
      <c r="T104" s="59">
        <f t="shared" si="88"/>
        <v>271.54361159160169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0.59033065563625242</v>
      </c>
      <c r="AA104" s="21">
        <f>EXP(-LN(2)/25)*AA103+(1-EXP(-LN(2)/25))/(LN(2)/25)*Calculateur!V104*Calculateur!X104*VLOOKUP('Données projet'!$B$9,Paramètres!$A$1:$I$89,3,0)*0.475*44/12</f>
        <v>1.5757684850117659</v>
      </c>
      <c r="AB104" s="21">
        <f>EXP(-LN(2)/2)*AB103+(1-EXP(-LN(2)/2))/(LN(2)/2)*V104*Y104*VLOOKUP('Données projet'!$B$9,Paramètres!$A$1:$I$89,3,0)*0.475*44/12</f>
        <v>4.4355723629031046E-10</v>
      </c>
      <c r="AC104" s="22">
        <f t="shared" si="57"/>
        <v>2.1660991410915758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6.5</v>
      </c>
      <c r="AI104" s="13">
        <f>IF('Données projet'!$A$62&gt;35,AI103+AH104-AQ103,IF(A104&lt;'Données projet'!$A$62,$AF$205^A104,IF(A104='Données projet'!$A$62,'Données projet'!$B$62,AI103+AH104-AQ103)))</f>
        <v>382.50000000000011</v>
      </c>
      <c r="AJ104" s="13">
        <f>AI104*VLOOKUP('Données projet'!$B$10,Paramètres!$A$1:$I$89,3,0)*VLOOKUP('Données projet'!$B$10,Paramètres!$A$1:$I$89,5,0)</f>
        <v>328.18500000000012</v>
      </c>
      <c r="AK104" s="13">
        <f t="shared" si="89"/>
        <v>77.053890665486904</v>
      </c>
      <c r="AL104" s="20">
        <f t="shared" si="58"/>
        <v>705.79106790905655</v>
      </c>
      <c r="AM104" s="59">
        <f t="shared" si="59"/>
        <v>999.12440124238992</v>
      </c>
      <c r="AN104" s="59">
        <f ca="1">AVERAGE(OFFSET($AM$3,0,0,'Données projet'!$E$10+1,1))-AVERAGE(OFFSET($H$3,0,0,'Données projet'!$E$10+1,1))</f>
        <v>405.59933429804329</v>
      </c>
      <c r="AO104" s="59">
        <f t="shared" si="90"/>
        <v>208.64922573363776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0.61189904449970678</v>
      </c>
      <c r="AW104" s="21">
        <f>EXP(-LN(2)/2)*AW103+(1-EXP(-LN(2)/2))/(LN(2)/2)*AQ104*AT104*VLOOKUP('Données projet'!$B$10,Paramètres!$A$1:$I$89,3,0)*0.475*44/12</f>
        <v>1.4577558333164204E-10</v>
      </c>
      <c r="AX104" s="21">
        <f t="shared" si="60"/>
        <v>0.61189904464548239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265.4000000000002</v>
      </c>
      <c r="BE104" s="13">
        <f>BD104*VLOOKUP('Données projet'!$B$11,Paramètres!$A$1:$I$89,3,0)*VLOOKUP('Données projet'!$B$11,Paramètres!$A$1:$I$89,5,0)</f>
        <v>256.69488000000018</v>
      </c>
      <c r="BF104" s="13">
        <f t="shared" si="91"/>
        <v>62.017336223177551</v>
      </c>
      <c r="BG104" s="20">
        <f t="shared" si="61"/>
        <v>555.09044325536786</v>
      </c>
      <c r="BH104" s="59">
        <f t="shared" si="62"/>
        <v>848.42377658870123</v>
      </c>
      <c r="BI104" s="59">
        <f ca="1">AVERAGE(OFFSET($BH$3,0,0,'Données projet'!$E$11+1,1))-AVERAGE(OFFSET($H$3,0,0,'Données projet'!$E$11+1,1))</f>
        <v>293.19327646293601</v>
      </c>
      <c r="BJ104" s="59">
        <f t="shared" si="92"/>
        <v>200.0769581869605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0.46369382726243941</v>
      </c>
      <c r="BR104" s="21">
        <f>EXP(-LN(2)/2)*BR103+(1-EXP(-LN(2)/2))/(LN(2)/2)*BL104*BO104*VLOOKUP('Données projet'!$B$11,Paramètres!$A$1:$I$89,3,0)*0.475*44/12</f>
        <v>1.3615818121054146E-10</v>
      </c>
      <c r="BS104" s="22">
        <f t="shared" si="63"/>
        <v>0.4636938273985976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1.7053025658242404E-13</v>
      </c>
      <c r="BZ104" s="13">
        <f>BY104*VLOOKUP('Données projet'!$B$12,Paramètres!$A$1:$I$89,3,0)*VLOOKUP('Données projet'!$B$12,Paramètres!$A$1:$I$89,5,0)</f>
        <v>1.3301360013429075E-13</v>
      </c>
      <c r="CA104" s="13">
        <f t="shared" si="93"/>
        <v>1.9329766731057041E-12</v>
      </c>
      <c r="CB104" s="20">
        <f t="shared" si="64"/>
        <v>3.5982663925596575E-12</v>
      </c>
      <c r="CC104" s="59">
        <f t="shared" si="65"/>
        <v>293.3333333333369</v>
      </c>
      <c r="CD104" s="59">
        <f ca="1">AVERAGE(OFFSET($CC$3,0,0,'Données projet'!$E$12+1,1))-AVERAGE(OFFSET($H$3,0,0,'Données projet'!$E$12+1,1))</f>
        <v>295.95249585728561</v>
      </c>
      <c r="CE104" s="59">
        <f t="shared" si="94"/>
        <v>306.85862495052709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0.35441649584073043</v>
      </c>
      <c r="CL104" s="21">
        <f>EXP(-LN(2)/25)*CL103+(1-EXP(-LN(2)/25))/(LN(2)/25)*Calculateur!CG104*Calculateur!CI104*VLOOKUP('Données projet'!$B$12,Paramètres!$A$1:$I$89,3,0)*0.475*44/12</f>
        <v>1.1690625774950536</v>
      </c>
      <c r="CM104" s="21">
        <f>EXP(-LN(2)/2)*CM103+(1-EXP(-LN(2)/2))/(LN(2)/2)*CG104*CJ104*VLOOKUP('Données projet'!$B$12,Paramètres!$A$1:$I$89,3,0)*0.475*44/12</f>
        <v>2.6899854800824277E-10</v>
      </c>
      <c r="CN104" s="22">
        <f t="shared" si="66"/>
        <v>1.5234790736047827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6.5</v>
      </c>
      <c r="CT104" s="12">
        <f>IF('Données projet'!$A$140&gt;35,CT103+CS104-DB103,IF(A104&lt;'Données projet'!$A$140,$CQ$205^A104,IF(A104='Données projet'!$A$140,'Données projet'!$B$140,CT103+CS104-DB103)))</f>
        <v>382.50000000000011</v>
      </c>
      <c r="CU104" s="17">
        <f>CT104*VLOOKUP('Données projet'!$B$13,Paramètres!$A$1:$I$89,3,0)*VLOOKUP('Données projet'!$B$13,Paramètres!$A$1:$I$89,5,0)</f>
        <v>363.98700000000014</v>
      </c>
      <c r="CV104" s="13">
        <f t="shared" si="95"/>
        <v>84.435978789139824</v>
      </c>
      <c r="CW104" s="20">
        <f t="shared" si="67"/>
        <v>781.00335472441873</v>
      </c>
      <c r="CX104" s="59">
        <f t="shared" si="68"/>
        <v>1074.3366880577521</v>
      </c>
      <c r="CY104" s="59">
        <f ca="1">AVERAGE(OFFSET($CX$3,0,0,'Données projet'!$E$13+1,1))-AVERAGE(OFFSET($H$3,0,0,'Données projet'!$E$13+1,1))</f>
        <v>461.10546083340631</v>
      </c>
      <c r="CZ104" s="59">
        <f t="shared" si="96"/>
        <v>233.41883071412587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0.55060418309527681</v>
      </c>
      <c r="DH104" s="21">
        <f>EXP(-LN(2)/2)*DH103+(1-EXP(-LN(2)/2))/(LN(2)/2)*DB104*DE104*VLOOKUP('Données projet'!$B$13,Paramètres!$A$1:$I$89,3,0)*0.475*44/12</f>
        <v>1.616783742405493E-10</v>
      </c>
      <c r="DI104" s="22">
        <f t="shared" si="69"/>
        <v>0.55060418325695515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-4.1500243241898714E-13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296.376932094327</v>
      </c>
      <c r="DU104" s="59">
        <f t="shared" si="98"/>
        <v>350.93658329210882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0.66157745890269681</v>
      </c>
      <c r="EB104" s="21">
        <f>EXP(-LN(2)/25)*EB103+(1-EXP(-LN(2)/25))/(LN(2)/25)*Calculateur!DW104*Calculateur!DY104*VLOOKUP('Données projet'!$B$14,Paramètres!$A$1:$I$89,3,0)*0.475*44/12</f>
        <v>2.3706613217437984</v>
      </c>
      <c r="EC104" s="21">
        <f>EXP(-LN(2)/2)*EC103+(1-EXP(-LN(2)/2))/(LN(2)/2)*DW104*DZ104*VLOOKUP('Données projet'!$B$14,Paramètres!$A$1:$I$89,3,0)*0.475*44/12</f>
        <v>5.0441191616839041E-10</v>
      </c>
      <c r="ED104" s="22">
        <f t="shared" si="72"/>
        <v>3.0322387811509075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-5.1159076974727213E-13</v>
      </c>
      <c r="EK104" s="17">
        <f>EJ104*VLOOKUP('Données projet'!$B$15,Paramètres!$A$1:$I$89,3,0)*VLOOKUP('Données projet'!$B$15,Paramètres!$A$1:$I$89,5,0)</f>
        <v>-3.3519427233841269E-13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231.03244099494077</v>
      </c>
      <c r="EP104" s="59">
        <f t="shared" si="100"/>
        <v>280.29723026390741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0.53435102449833194</v>
      </c>
      <c r="EW104" s="21">
        <f>EXP(-LN(2)/25)*EW103+(1-EXP(-LN(2)/25))/(LN(2)/25)*Calculateur!ER104*Calculateur!ET104*VLOOKUP('Données projet'!$B$15,Paramètres!$A$1:$I$89,3,0)*0.475*44/12</f>
        <v>1.9147649137161438</v>
      </c>
      <c r="EX104" s="21">
        <f>EXP(-LN(2)/2)*EX103+(1-EXP(-LN(2)/2))/(LN(2)/2)*ER104*EU104*VLOOKUP('Données projet'!$B$15,Paramètres!$A$1:$I$89,3,0)*0.475*44/12</f>
        <v>4.074096245975459E-10</v>
      </c>
      <c r="EY104" s="22">
        <f t="shared" si="75"/>
        <v>2.4491159386218855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286.27871999999974</v>
      </c>
      <c r="P105" s="13">
        <f t="shared" si="87"/>
        <v>68.292165517667542</v>
      </c>
      <c r="Q105" s="20">
        <f t="shared" si="107"/>
        <v>617.54429227660387</v>
      </c>
      <c r="R105" s="59">
        <f t="shared" si="55"/>
        <v>910.87762560993724</v>
      </c>
      <c r="S105" s="59">
        <f ca="1">AVERAGE(OFFSET($R$3,0,0,'Données projet'!$E$9+1,1))-AVERAGE(OFFSET($H$3,0,0,'Données projet'!$E$9+1,1))</f>
        <v>351.15781452544906</v>
      </c>
      <c r="T105" s="59">
        <f t="shared" si="88"/>
        <v>271.54361159160169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0.57875463154537188</v>
      </c>
      <c r="AA105" s="21">
        <f>EXP(-LN(2)/25)*AA104+(1-EXP(-LN(2)/25))/(LN(2)/25)*Calculateur!V105*Calculateur!X105*VLOOKUP('Données projet'!$B$9,Paramètres!$A$1:$I$89,3,0)*0.475*44/12</f>
        <v>1.5326790129230561</v>
      </c>
      <c r="AB105" s="21">
        <f>EXP(-LN(2)/2)*AB104+(1-EXP(-LN(2)/2))/(LN(2)/2)*V105*Y105*VLOOKUP('Données projet'!$B$9,Paramètres!$A$1:$I$89,3,0)*0.475*44/12</f>
        <v>3.1364232962524231E-10</v>
      </c>
      <c r="AC105" s="22">
        <f t="shared" si="57"/>
        <v>2.1114336447820703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6.5</v>
      </c>
      <c r="AI105" s="13">
        <f>IF('Données projet'!$A$62&gt;35,AI104+AH105-AQ104,IF(A105&lt;'Données projet'!$A$62,$AF$205^A105,IF(A105='Données projet'!$A$62,'Données projet'!$B$62,AI104+AH105-AQ104)))</f>
        <v>389.00000000000011</v>
      </c>
      <c r="AJ105" s="13">
        <f>AI105*VLOOKUP('Données projet'!$B$10,Paramètres!$A$1:$I$89,3,0)*VLOOKUP('Données projet'!$B$10,Paramètres!$A$1:$I$89,5,0)</f>
        <v>333.76200000000011</v>
      </c>
      <c r="AK105" s="13">
        <f t="shared" si="89"/>
        <v>78.209750448453065</v>
      </c>
      <c r="AL105" s="20">
        <f t="shared" si="58"/>
        <v>717.5174653643893</v>
      </c>
      <c r="AM105" s="59">
        <f t="shared" si="59"/>
        <v>1010.8507986977227</v>
      </c>
      <c r="AN105" s="59">
        <f ca="1">AVERAGE(OFFSET($AM$3,0,0,'Données projet'!$E$10+1,1))-AVERAGE(OFFSET($H$3,0,0,'Données projet'!$E$10+1,1))</f>
        <v>405.59933429804329</v>
      </c>
      <c r="AO105" s="59">
        <f t="shared" si="90"/>
        <v>208.64922573363776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0.59516663294949002</v>
      </c>
      <c r="AW105" s="21">
        <f>EXP(-LN(2)/2)*AW104+(1-EXP(-LN(2)/2))/(LN(2)/2)*AQ105*AT105*VLOOKUP('Données projet'!$B$10,Paramètres!$A$1:$I$89,3,0)*0.475*44/12</f>
        <v>1.0307890350522874E-10</v>
      </c>
      <c r="AX105" s="21">
        <f t="shared" si="60"/>
        <v>0.59516663305256889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269.80000000000018</v>
      </c>
      <c r="BE105" s="13">
        <f>BD105*VLOOKUP('Données projet'!$B$11,Paramètres!$A$1:$I$89,3,0)*VLOOKUP('Données projet'!$B$11,Paramètres!$A$1:$I$89,5,0)</f>
        <v>260.95056000000022</v>
      </c>
      <c r="BF105" s="13">
        <f t="shared" si="91"/>
        <v>62.924955880176995</v>
      </c>
      <c r="BG105" s="20">
        <f t="shared" si="61"/>
        <v>564.0831901579752</v>
      </c>
      <c r="BH105" s="59">
        <f t="shared" si="62"/>
        <v>857.41652349130845</v>
      </c>
      <c r="BI105" s="59">
        <f ca="1">AVERAGE(OFFSET($BH$3,0,0,'Données projet'!$E$11+1,1))-AVERAGE(OFFSET($H$3,0,0,'Données projet'!$E$11+1,1))</f>
        <v>293.19327646293601</v>
      </c>
      <c r="BJ105" s="59">
        <f t="shared" si="92"/>
        <v>200.0769581869605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0.45101409517134944</v>
      </c>
      <c r="BR105" s="21">
        <f>EXP(-LN(2)/2)*BR104+(1-EXP(-LN(2)/2))/(LN(2)/2)*BL105*BO105*VLOOKUP('Données projet'!$B$11,Paramètres!$A$1:$I$89,3,0)*0.475*44/12</f>
        <v>9.6278373248000626E-11</v>
      </c>
      <c r="BS105" s="22">
        <f t="shared" si="63"/>
        <v>0.45101409526762781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1.7053025658242404E-13</v>
      </c>
      <c r="BZ105" s="13">
        <f>BY105*VLOOKUP('Données projet'!$B$12,Paramètres!$A$1:$I$89,3,0)*VLOOKUP('Données projet'!$B$12,Paramètres!$A$1:$I$89,5,0)</f>
        <v>1.3301360013429075E-13</v>
      </c>
      <c r="CA105" s="13">
        <f t="shared" si="93"/>
        <v>1.9329766731057041E-12</v>
      </c>
      <c r="CB105" s="20">
        <f t="shared" si="64"/>
        <v>3.5982663925596575E-12</v>
      </c>
      <c r="CC105" s="59">
        <f t="shared" si="65"/>
        <v>293.3333333333369</v>
      </c>
      <c r="CD105" s="59">
        <f ca="1">AVERAGE(OFFSET($CC$3,0,0,'Données projet'!$E$12+1,1))-AVERAGE(OFFSET($H$3,0,0,'Données projet'!$E$12+1,1))</f>
        <v>295.95249585728561</v>
      </c>
      <c r="CE105" s="59">
        <f t="shared" si="94"/>
        <v>306.85862495052709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0.34746660453001088</v>
      </c>
      <c r="CL105" s="21">
        <f>EXP(-LN(2)/25)*CL104+(1-EXP(-LN(2)/25))/(LN(2)/25)*Calculateur!CG105*Calculateur!CI105*VLOOKUP('Données projet'!$B$12,Paramètres!$A$1:$I$89,3,0)*0.475*44/12</f>
        <v>1.1370944998351222</v>
      </c>
      <c r="CM105" s="21">
        <f>EXP(-LN(2)/2)*CM104+(1-EXP(-LN(2)/2))/(LN(2)/2)*CG105*CJ105*VLOOKUP('Données projet'!$B$12,Paramètres!$A$1:$I$89,3,0)*0.475*44/12</f>
        <v>1.9021069742596352E-10</v>
      </c>
      <c r="CN105" s="22">
        <f t="shared" si="66"/>
        <v>1.484561104555344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6.5</v>
      </c>
      <c r="CT105" s="12">
        <f>IF('Données projet'!$A$140&gt;35,CT104+CS105-DB104,IF(A105&lt;'Données projet'!$A$140,$CQ$205^A105,IF(A105='Données projet'!$A$140,'Données projet'!$B$140,CT104+CS105-DB104)))</f>
        <v>389.00000000000011</v>
      </c>
      <c r="CU105" s="17">
        <f>CT105*VLOOKUP('Données projet'!$B$13,Paramètres!$A$1:$I$89,3,0)*VLOOKUP('Données projet'!$B$13,Paramètres!$A$1:$I$89,5,0)</f>
        <v>370.17240000000015</v>
      </c>
      <c r="CV105" s="13">
        <f t="shared" si="95"/>
        <v>85.702574820499876</v>
      </c>
      <c r="CW105" s="20">
        <f t="shared" si="67"/>
        <v>793.98224781237093</v>
      </c>
      <c r="CX105" s="59">
        <f t="shared" si="68"/>
        <v>1087.3155811457043</v>
      </c>
      <c r="CY105" s="59">
        <f ca="1">AVERAGE(OFFSET($CX$3,0,0,'Données projet'!$E$13+1,1))-AVERAGE(OFFSET($H$3,0,0,'Données projet'!$E$13+1,1))</f>
        <v>461.10546083340631</v>
      </c>
      <c r="CZ105" s="59">
        <f t="shared" si="96"/>
        <v>233.41883071412587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0.53554788275352094</v>
      </c>
      <c r="DH105" s="21">
        <f>EXP(-LN(2)/2)*DH104+(1-EXP(-LN(2)/2))/(LN(2)/2)*DB105*DE105*VLOOKUP('Données projet'!$B$13,Paramètres!$A$1:$I$89,3,0)*0.475*44/12</f>
        <v>1.1432387479670884E-10</v>
      </c>
      <c r="DI105" s="22">
        <f t="shared" si="69"/>
        <v>0.53554788286784483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-4.1500243241898714E-13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296.376932094327</v>
      </c>
      <c r="DU105" s="59">
        <f t="shared" si="98"/>
        <v>350.93658329210882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0.64860432845602034</v>
      </c>
      <c r="EB105" s="21">
        <f>EXP(-LN(2)/25)*EB104+(1-EXP(-LN(2)/25))/(LN(2)/25)*Calculateur!DW105*Calculateur!DY105*VLOOKUP('Données projet'!$B$14,Paramètres!$A$1:$I$89,3,0)*0.475*44/12</f>
        <v>2.3058354632330533</v>
      </c>
      <c r="EC105" s="21">
        <f>EXP(-LN(2)/2)*EC104+(1-EXP(-LN(2)/2))/(LN(2)/2)*DW105*DZ105*VLOOKUP('Données projet'!$B$14,Paramètres!$A$1:$I$89,3,0)*0.475*44/12</f>
        <v>3.566730864339692E-10</v>
      </c>
      <c r="ED105" s="22">
        <f t="shared" si="72"/>
        <v>2.9544397920457466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-5.1159076974727213E-13</v>
      </c>
      <c r="EK105" s="17">
        <f>EJ105*VLOOKUP('Données projet'!$B$15,Paramètres!$A$1:$I$89,3,0)*VLOOKUP('Données projet'!$B$15,Paramètres!$A$1:$I$89,5,0)</f>
        <v>-3.3519427233841269E-13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231.03244099494077</v>
      </c>
      <c r="EP105" s="59">
        <f t="shared" si="100"/>
        <v>280.29723026390741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0.52387272682986252</v>
      </c>
      <c r="EW105" s="21">
        <f>EXP(-LN(2)/25)*EW104+(1-EXP(-LN(2)/25))/(LN(2)/25)*Calculateur!ER105*Calculateur!ET105*VLOOKUP('Données projet'!$B$15,Paramètres!$A$1:$I$89,3,0)*0.475*44/12</f>
        <v>1.8624055664574652</v>
      </c>
      <c r="EX105" s="21">
        <f>EXP(-LN(2)/2)*EX104+(1-EXP(-LN(2)/2))/(LN(2)/2)*ER105*EU105*VLOOKUP('Données projet'!$B$15,Paramètres!$A$1:$I$89,3,0)*0.475*44/12</f>
        <v>2.8808210827359035E-10</v>
      </c>
      <c r="EY105" s="22">
        <f t="shared" si="75"/>
        <v>2.3862782935754097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290.98367999999977</v>
      </c>
      <c r="P106" s="13">
        <f t="shared" si="87"/>
        <v>69.282952690245352</v>
      </c>
      <c r="Q106" s="20">
        <f t="shared" si="107"/>
        <v>627.46438526884356</v>
      </c>
      <c r="R106" s="59">
        <f t="shared" si="55"/>
        <v>920.79771860217693</v>
      </c>
      <c r="S106" s="59">
        <f ca="1">AVERAGE(OFFSET($R$3,0,0,'Données projet'!$E$9+1,1))-AVERAGE(OFFSET($H$3,0,0,'Données projet'!$E$9+1,1))</f>
        <v>351.15781452544906</v>
      </c>
      <c r="T106" s="59">
        <f t="shared" si="88"/>
        <v>271.54361159160169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0.56740560622623604</v>
      </c>
      <c r="AA106" s="21">
        <f>EXP(-LN(2)/25)*AA105+(1-EXP(-LN(2)/25))/(LN(2)/25)*Calculateur!V106*Calculateur!X106*VLOOKUP('Données projet'!$B$9,Paramètres!$A$1:$I$89,3,0)*0.475*44/12</f>
        <v>1.4907678247145888</v>
      </c>
      <c r="AB106" s="21">
        <f>EXP(-LN(2)/2)*AB105+(1-EXP(-LN(2)/2))/(LN(2)/2)*V106*Y106*VLOOKUP('Données projet'!$B$9,Paramètres!$A$1:$I$89,3,0)*0.475*44/12</f>
        <v>2.2177861814515523E-10</v>
      </c>
      <c r="AC106" s="22">
        <f t="shared" si="57"/>
        <v>2.0581734311626034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6.5</v>
      </c>
      <c r="AI106" s="13">
        <f>IF('Données projet'!$A$62&gt;35,AI105+AH106-AQ105,IF(A106&lt;'Données projet'!$A$62,$AF$205^A106,IF(A106='Données projet'!$A$62,'Données projet'!$B$62,AI105+AH106-AQ105)))</f>
        <v>395.50000000000011</v>
      </c>
      <c r="AJ106" s="13">
        <f>AI106*VLOOKUP('Données projet'!$B$10,Paramètres!$A$1:$I$89,3,0)*VLOOKUP('Données projet'!$B$10,Paramètres!$A$1:$I$89,5,0)</f>
        <v>339.33900000000017</v>
      </c>
      <c r="AK106" s="13">
        <f t="shared" si="89"/>
        <v>79.363364173373341</v>
      </c>
      <c r="AL106" s="20">
        <f t="shared" si="58"/>
        <v>729.23995093529209</v>
      </c>
      <c r="AM106" s="59">
        <f t="shared" si="59"/>
        <v>1022.5732842686255</v>
      </c>
      <c r="AN106" s="59">
        <f ca="1">AVERAGE(OFFSET($AM$3,0,0,'Données projet'!$E$10+1,1))-AVERAGE(OFFSET($H$3,0,0,'Données projet'!$E$10+1,1))</f>
        <v>405.59933429804329</v>
      </c>
      <c r="AO106" s="59">
        <f t="shared" si="90"/>
        <v>208.64922573363776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0.57889177007303327</v>
      </c>
      <c r="AW106" s="21">
        <f>EXP(-LN(2)/2)*AW105+(1-EXP(-LN(2)/2))/(LN(2)/2)*AQ106*AT106*VLOOKUP('Données projet'!$B$10,Paramètres!$A$1:$I$89,3,0)*0.475*44/12</f>
        <v>7.2887791665821021E-11</v>
      </c>
      <c r="AX106" s="21">
        <f t="shared" si="60"/>
        <v>0.57889177014592108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274.20000000000016</v>
      </c>
      <c r="BE106" s="13">
        <f>BD106*VLOOKUP('Données projet'!$B$11,Paramètres!$A$1:$I$89,3,0)*VLOOKUP('Données projet'!$B$11,Paramètres!$A$1:$I$89,5,0)</f>
        <v>265.20624000000015</v>
      </c>
      <c r="BF106" s="13">
        <f t="shared" si="91"/>
        <v>63.8308541608965</v>
      </c>
      <c r="BG106" s="20">
        <f t="shared" si="61"/>
        <v>573.072938996895</v>
      </c>
      <c r="BH106" s="59">
        <f t="shared" si="62"/>
        <v>866.40627233022838</v>
      </c>
      <c r="BI106" s="59">
        <f ca="1">AVERAGE(OFFSET($BH$3,0,0,'Données projet'!$E$11+1,1))-AVERAGE(OFFSET($H$3,0,0,'Données projet'!$E$11+1,1))</f>
        <v>293.19327646293601</v>
      </c>
      <c r="BJ106" s="59">
        <f t="shared" si="92"/>
        <v>200.0769581869605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0.43868109102108843</v>
      </c>
      <c r="BR106" s="21">
        <f>EXP(-LN(2)/2)*BR105+(1-EXP(-LN(2)/2))/(LN(2)/2)*BL106*BO106*VLOOKUP('Données projet'!$B$11,Paramètres!$A$1:$I$89,3,0)*0.475*44/12</f>
        <v>6.8079090605270728E-11</v>
      </c>
      <c r="BS106" s="22">
        <f t="shared" si="63"/>
        <v>0.43868109108916753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1.7053025658242404E-13</v>
      </c>
      <c r="BZ106" s="13">
        <f>BY106*VLOOKUP('Données projet'!$B$12,Paramètres!$A$1:$I$89,3,0)*VLOOKUP('Données projet'!$B$12,Paramètres!$A$1:$I$89,5,0)</f>
        <v>1.3301360013429075E-13</v>
      </c>
      <c r="CA106" s="13">
        <f t="shared" si="93"/>
        <v>1.9329766731057041E-12</v>
      </c>
      <c r="CB106" s="20">
        <f t="shared" si="64"/>
        <v>3.5982663925596575E-12</v>
      </c>
      <c r="CC106" s="59">
        <f t="shared" si="65"/>
        <v>293.3333333333369</v>
      </c>
      <c r="CD106" s="59">
        <f ca="1">AVERAGE(OFFSET($CC$3,0,0,'Données projet'!$E$12+1,1))-AVERAGE(OFFSET($H$3,0,0,'Données projet'!$E$12+1,1))</f>
        <v>295.95249585728561</v>
      </c>
      <c r="CE106" s="59">
        <f t="shared" si="94"/>
        <v>306.85862495052709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0.34065299634887941</v>
      </c>
      <c r="CL106" s="21">
        <f>EXP(-LN(2)/25)*CL105+(1-EXP(-LN(2)/25))/(LN(2)/25)*Calculateur!CG106*Calculateur!CI106*VLOOKUP('Données projet'!$B$12,Paramètres!$A$1:$I$89,3,0)*0.475*44/12</f>
        <v>1.10600059093993</v>
      </c>
      <c r="CM106" s="21">
        <f>EXP(-LN(2)/2)*CM105+(1-EXP(-LN(2)/2))/(LN(2)/2)*CG106*CJ106*VLOOKUP('Données projet'!$B$12,Paramètres!$A$1:$I$89,3,0)*0.475*44/12</f>
        <v>1.3449927400412138E-10</v>
      </c>
      <c r="CN106" s="22">
        <f t="shared" si="66"/>
        <v>1.4466535874233086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6.5</v>
      </c>
      <c r="CT106" s="12">
        <f>IF('Données projet'!$A$140&gt;35,CT105+CS106-DB105,IF(A106&lt;'Données projet'!$A$140,$CQ$205^A106,IF(A106='Données projet'!$A$140,'Données projet'!$B$140,CT105+CS106-DB105)))</f>
        <v>395.50000000000011</v>
      </c>
      <c r="CU106" s="17">
        <f>CT106*VLOOKUP('Données projet'!$B$13,Paramètres!$A$1:$I$89,3,0)*VLOOKUP('Données projet'!$B$13,Paramètres!$A$1:$I$89,5,0)</f>
        <v>376.35780000000011</v>
      </c>
      <c r="CV106" s="13">
        <f t="shared" si="95"/>
        <v>86.966709611968071</v>
      </c>
      <c r="CW106" s="20">
        <f t="shared" si="67"/>
        <v>806.95685424084456</v>
      </c>
      <c r="CX106" s="59">
        <f t="shared" si="68"/>
        <v>1100.2901875741779</v>
      </c>
      <c r="CY106" s="59">
        <f ca="1">AVERAGE(OFFSET($CX$3,0,0,'Données projet'!$E$13+1,1))-AVERAGE(OFFSET($H$3,0,0,'Données projet'!$E$13+1,1))</f>
        <v>461.10546083340631</v>
      </c>
      <c r="CZ106" s="59">
        <f t="shared" si="96"/>
        <v>233.41883071412587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0.52090329773638677</v>
      </c>
      <c r="DH106" s="21">
        <f>EXP(-LN(2)/2)*DH105+(1-EXP(-LN(2)/2))/(LN(2)/2)*DB106*DE106*VLOOKUP('Données projet'!$B$13,Paramètres!$A$1:$I$89,3,0)*0.475*44/12</f>
        <v>8.0839187120274663E-11</v>
      </c>
      <c r="DI106" s="22">
        <f t="shared" si="69"/>
        <v>0.520903297817226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-4.1500243241898714E-13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296.376932094327</v>
      </c>
      <c r="DU106" s="59">
        <f t="shared" si="98"/>
        <v>350.93658329210882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0.63588559318457494</v>
      </c>
      <c r="EB106" s="21">
        <f>EXP(-LN(2)/25)*EB105+(1-EXP(-LN(2)/25))/(LN(2)/25)*Calculateur!DW106*Calculateur!DY106*VLOOKUP('Données projet'!$B$14,Paramètres!$A$1:$I$89,3,0)*0.475*44/12</f>
        <v>2.2427822712323287</v>
      </c>
      <c r="EC106" s="21">
        <f>EXP(-LN(2)/2)*EC105+(1-EXP(-LN(2)/2))/(LN(2)/2)*DW106*DZ106*VLOOKUP('Données projet'!$B$14,Paramètres!$A$1:$I$89,3,0)*0.475*44/12</f>
        <v>2.5220595808419521E-10</v>
      </c>
      <c r="ED106" s="22">
        <f t="shared" si="72"/>
        <v>2.8786678646691093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-5.1159076974727213E-13</v>
      </c>
      <c r="EK106" s="17">
        <f>EJ106*VLOOKUP('Données projet'!$B$15,Paramètres!$A$1:$I$89,3,0)*VLOOKUP('Données projet'!$B$15,Paramètres!$A$1:$I$89,5,0)</f>
        <v>-3.3519427233841269E-13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231.03244099494077</v>
      </c>
      <c r="EP106" s="59">
        <f t="shared" si="100"/>
        <v>280.29723026390741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0.51359990218754126</v>
      </c>
      <c r="EW106" s="21">
        <f>EXP(-LN(2)/25)*EW105+(1-EXP(-LN(2)/25))/(LN(2)/25)*Calculateur!ER106*Calculateur!ET106*VLOOKUP('Données projet'!$B$15,Paramètres!$A$1:$I$89,3,0)*0.475*44/12</f>
        <v>1.8114779883030336</v>
      </c>
      <c r="EX106" s="21">
        <f>EXP(-LN(2)/2)*EX105+(1-EXP(-LN(2)/2))/(LN(2)/2)*ER106*EU106*VLOOKUP('Données projet'!$B$15,Paramètres!$A$1:$I$89,3,0)*0.475*44/12</f>
        <v>2.0370481229877295E-10</v>
      </c>
      <c r="EY106" s="22">
        <f t="shared" si="75"/>
        <v>2.3250778906942795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295.68863999999974</v>
      </c>
      <c r="P107" s="13">
        <f t="shared" si="87"/>
        <v>70.271876780519676</v>
      </c>
      <c r="Q107" s="20">
        <f t="shared" si="107"/>
        <v>637.38123339273795</v>
      </c>
      <c r="R107" s="59">
        <f t="shared" si="55"/>
        <v>930.71456672607133</v>
      </c>
      <c r="S107" s="59">
        <f ca="1">AVERAGE(OFFSET($R$3,0,0,'Données projet'!$E$9+1,1))-AVERAGE(OFFSET($H$3,0,0,'Données projet'!$E$9+1,1))</f>
        <v>351.15781452544906</v>
      </c>
      <c r="T107" s="59">
        <f t="shared" si="88"/>
        <v>271.54361159160169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0.55627912837138649</v>
      </c>
      <c r="AA107" s="21">
        <f>EXP(-LN(2)/25)*AA106+(1-EXP(-LN(2)/25))/(LN(2)/25)*Calculateur!V107*Calculateur!X107*VLOOKUP('Données projet'!$B$9,Paramètres!$A$1:$I$89,3,0)*0.475*44/12</f>
        <v>1.4500027001516957</v>
      </c>
      <c r="AB107" s="21">
        <f>EXP(-LN(2)/2)*AB106+(1-EXP(-LN(2)/2))/(LN(2)/2)*V107*Y107*VLOOKUP('Données projet'!$B$9,Paramètres!$A$1:$I$89,3,0)*0.475*44/12</f>
        <v>1.5682116481262116E-10</v>
      </c>
      <c r="AC107" s="22">
        <f t="shared" si="57"/>
        <v>2.0062818286799033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</v>
      </c>
      <c r="AI107" s="13">
        <f>IF('Données projet'!$A$62&gt;35,AI106+AH107-AQ106,IF(A107&lt;'Données projet'!$A$62,$AF$205^A107,IF(A107='Données projet'!$A$62,'Données projet'!$B$62,AI106+AH107-AQ106)))</f>
        <v>402.00000000000011</v>
      </c>
      <c r="AJ107" s="13">
        <f>AI107*VLOOKUP('Données projet'!$B$10,Paramètres!$A$1:$I$89,3,0)*VLOOKUP('Données projet'!$B$10,Paramètres!$A$1:$I$89,5,0)</f>
        <v>344.91600000000011</v>
      </c>
      <c r="AK107" s="13">
        <f t="shared" si="89"/>
        <v>80.514773015069281</v>
      </c>
      <c r="AL107" s="20">
        <f t="shared" si="58"/>
        <v>740.95859633457928</v>
      </c>
      <c r="AM107" s="59">
        <f t="shared" si="59"/>
        <v>1034.2919296679127</v>
      </c>
      <c r="AN107" s="59">
        <f ca="1">AVERAGE(OFFSET($AM$3,0,0,'Données projet'!$E$10+1,1))-AVERAGE(OFFSET($H$3,0,0,'Données projet'!$E$10+1,1))</f>
        <v>405.59933429804329</v>
      </c>
      <c r="AO107" s="59">
        <f t="shared" si="90"/>
        <v>208.64922573363776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0.5630619441777911</v>
      </c>
      <c r="AW107" s="21">
        <f>EXP(-LN(2)/2)*AW106+(1-EXP(-LN(2)/2))/(LN(2)/2)*AQ107*AT107*VLOOKUP('Données projet'!$B$10,Paramètres!$A$1:$I$89,3,0)*0.475*44/12</f>
        <v>5.1539451752614368E-11</v>
      </c>
      <c r="AX107" s="21">
        <f t="shared" si="60"/>
        <v>0.56306194422933054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278.60000000000014</v>
      </c>
      <c r="BE107" s="13">
        <f>BD107*VLOOKUP('Données projet'!$B$11,Paramètres!$A$1:$I$89,3,0)*VLOOKUP('Données projet'!$B$11,Paramètres!$A$1:$I$89,5,0)</f>
        <v>269.46192000000013</v>
      </c>
      <c r="BF107" s="13">
        <f t="shared" si="91"/>
        <v>64.735061876839112</v>
      </c>
      <c r="BG107" s="20">
        <f t="shared" si="61"/>
        <v>582.05974343549497</v>
      </c>
      <c r="BH107" s="59">
        <f t="shared" si="62"/>
        <v>875.39307676882822</v>
      </c>
      <c r="BI107" s="59">
        <f ca="1">AVERAGE(OFFSET($BH$3,0,0,'Données projet'!$E$11+1,1))-AVERAGE(OFFSET($H$3,0,0,'Données projet'!$E$11+1,1))</f>
        <v>293.19327646293601</v>
      </c>
      <c r="BJ107" s="59">
        <f t="shared" si="92"/>
        <v>200.0769581869605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0.42668533351788079</v>
      </c>
      <c r="BR107" s="21">
        <f>EXP(-LN(2)/2)*BR106+(1-EXP(-LN(2)/2))/(LN(2)/2)*BL107*BO107*VLOOKUP('Données projet'!$B$11,Paramètres!$A$1:$I$89,3,0)*0.475*44/12</f>
        <v>4.8139186624000313E-11</v>
      </c>
      <c r="BS107" s="22">
        <f t="shared" si="63"/>
        <v>0.42668533356601995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1.7053025658242404E-13</v>
      </c>
      <c r="BZ107" s="13">
        <f>BY107*VLOOKUP('Données projet'!$B$12,Paramètres!$A$1:$I$89,3,0)*VLOOKUP('Données projet'!$B$12,Paramètres!$A$1:$I$89,5,0)</f>
        <v>1.3301360013429075E-13</v>
      </c>
      <c r="CA107" s="13">
        <f t="shared" si="93"/>
        <v>1.9329766731057041E-12</v>
      </c>
      <c r="CB107" s="20">
        <f t="shared" si="64"/>
        <v>3.5982663925596575E-12</v>
      </c>
      <c r="CC107" s="59">
        <f t="shared" si="65"/>
        <v>293.3333333333369</v>
      </c>
      <c r="CD107" s="59">
        <f ca="1">AVERAGE(OFFSET($CC$3,0,0,'Données projet'!$E$12+1,1))-AVERAGE(OFFSET($H$3,0,0,'Données projet'!$E$12+1,1))</f>
        <v>295.95249585728561</v>
      </c>
      <c r="CE107" s="59">
        <f t="shared" si="94"/>
        <v>306.85862495052709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0.33397299886828929</v>
      </c>
      <c r="CL107" s="21">
        <f>EXP(-LN(2)/25)*CL106+(1-EXP(-LN(2)/25))/(LN(2)/25)*Calculateur!CG107*Calculateur!CI107*VLOOKUP('Données projet'!$B$12,Paramètres!$A$1:$I$89,3,0)*0.475*44/12</f>
        <v>1.0757569466186343</v>
      </c>
      <c r="CM107" s="21">
        <f>EXP(-LN(2)/2)*CM106+(1-EXP(-LN(2)/2))/(LN(2)/2)*CG107*CJ107*VLOOKUP('Données projet'!$B$12,Paramètres!$A$1:$I$89,3,0)*0.475*44/12</f>
        <v>9.5105348712981761E-11</v>
      </c>
      <c r="CN107" s="22">
        <f t="shared" si="66"/>
        <v>1.4097299455820289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6.5</v>
      </c>
      <c r="CT107" s="12">
        <f>IF('Données projet'!$A$140&gt;35,CT106+CS107-DB106,IF(A107&lt;'Données projet'!$A$140,$CQ$205^A107,IF(A107='Données projet'!$A$140,'Données projet'!$B$140,CT106+CS107-DB106)))</f>
        <v>402.00000000000011</v>
      </c>
      <c r="CU107" s="17">
        <f>CT107*VLOOKUP('Données projet'!$B$13,Paramètres!$A$1:$I$89,3,0)*VLOOKUP('Données projet'!$B$13,Paramètres!$A$1:$I$89,5,0)</f>
        <v>382.54320000000013</v>
      </c>
      <c r="CV107" s="13">
        <f t="shared" si="95"/>
        <v>88.228428283087766</v>
      </c>
      <c r="CW107" s="20">
        <f t="shared" si="67"/>
        <v>819.92725259304473</v>
      </c>
      <c r="CX107" s="59">
        <f t="shared" si="68"/>
        <v>1113.2605859263781</v>
      </c>
      <c r="CY107" s="59">
        <f ca="1">AVERAGE(OFFSET($CX$3,0,0,'Données projet'!$E$13+1,1))-AVERAGE(OFFSET($H$3,0,0,'Données projet'!$E$13+1,1))</f>
        <v>461.10546083340631</v>
      </c>
      <c r="CZ107" s="59">
        <f t="shared" si="96"/>
        <v>233.41883071412587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0.50665916966667135</v>
      </c>
      <c r="DH107" s="21">
        <f>EXP(-LN(2)/2)*DH106+(1-EXP(-LN(2)/2))/(LN(2)/2)*DB107*DE107*VLOOKUP('Données projet'!$B$13,Paramètres!$A$1:$I$89,3,0)*0.475*44/12</f>
        <v>5.7161937398354434E-11</v>
      </c>
      <c r="DI107" s="22">
        <f t="shared" si="69"/>
        <v>0.50665916972383329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-4.1500243241898714E-13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296.376932094327</v>
      </c>
      <c r="DU107" s="59">
        <f t="shared" si="98"/>
        <v>350.93658329210882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0.62341626455414012</v>
      </c>
      <c r="EB107" s="21">
        <f>EXP(-LN(2)/25)*EB106+(1-EXP(-LN(2)/25))/(LN(2)/25)*Calculateur!DW107*Calculateur!DY107*VLOOKUP('Données projet'!$B$14,Paramètres!$A$1:$I$89,3,0)*0.475*44/12</f>
        <v>2.1814532720826869</v>
      </c>
      <c r="EC107" s="21">
        <f>EXP(-LN(2)/2)*EC106+(1-EXP(-LN(2)/2))/(LN(2)/2)*DW107*DZ107*VLOOKUP('Données projet'!$B$14,Paramètres!$A$1:$I$89,3,0)*0.475*44/12</f>
        <v>1.783365432169846E-10</v>
      </c>
      <c r="ED107" s="22">
        <f t="shared" si="72"/>
        <v>2.8048695368151635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-5.1159076974727213E-13</v>
      </c>
      <c r="EK107" s="17">
        <f>EJ107*VLOOKUP('Données projet'!$B$15,Paramètres!$A$1:$I$89,3,0)*VLOOKUP('Données projet'!$B$15,Paramètres!$A$1:$I$89,5,0)</f>
        <v>-3.3519427233841269E-13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231.03244099494077</v>
      </c>
      <c r="EP107" s="59">
        <f t="shared" si="100"/>
        <v>280.29723026390741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0.50352852137065152</v>
      </c>
      <c r="EW107" s="21">
        <f>EXP(-LN(2)/25)*EW106+(1-EXP(-LN(2)/25))/(LN(2)/25)*Calculateur!ER107*Calculateur!ET107*VLOOKUP('Données projet'!$B$15,Paramètres!$A$1:$I$89,3,0)*0.475*44/12</f>
        <v>1.7619430274513999</v>
      </c>
      <c r="EX107" s="21">
        <f>EXP(-LN(2)/2)*EX106+(1-EXP(-LN(2)/2))/(LN(2)/2)*ER107*EU107*VLOOKUP('Données projet'!$B$15,Paramètres!$A$1:$I$89,3,0)*0.475*44/12</f>
        <v>1.4404105413679518E-10</v>
      </c>
      <c r="EY107" s="22">
        <f t="shared" si="75"/>
        <v>2.2654715489660928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300.39359999999976</v>
      </c>
      <c r="P108" s="13">
        <f t="shared" si="87"/>
        <v>71.258970856492667</v>
      </c>
      <c r="Q108" s="20">
        <f t="shared" si="107"/>
        <v>647.29489424172436</v>
      </c>
      <c r="R108" s="59">
        <f t="shared" si="55"/>
        <v>940.62822757505774</v>
      </c>
      <c r="S108" s="59">
        <f ca="1">AVERAGE(OFFSET($R$3,0,0,'Données projet'!$E$9+1,1))-AVERAGE(OFFSET($H$3,0,0,'Données projet'!$E$9+1,1))</f>
        <v>351.15781452544906</v>
      </c>
      <c r="T108" s="59">
        <f t="shared" si="88"/>
        <v>271.54361159160169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0.54537083396078911</v>
      </c>
      <c r="AA108" s="21">
        <f>EXP(-LN(2)/25)*AA107+(1-EXP(-LN(2)/25))/(LN(2)/25)*Calculateur!V108*Calculateur!X108*VLOOKUP('Données projet'!$B$9,Paramètres!$A$1:$I$89,3,0)*0.475*44/12</f>
        <v>1.4103523000637197</v>
      </c>
      <c r="AB108" s="21">
        <f>EXP(-LN(2)/2)*AB107+(1-EXP(-LN(2)/2))/(LN(2)/2)*V108*Y108*VLOOKUP('Données projet'!$B$9,Paramètres!$A$1:$I$89,3,0)*0.475*44/12</f>
        <v>1.1088930907257761E-10</v>
      </c>
      <c r="AC108" s="22">
        <f t="shared" si="57"/>
        <v>1.955723134135398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</v>
      </c>
      <c r="AI108" s="13">
        <f>IF('Données projet'!$A$62&gt;35,AI107+AH108-AQ107,IF(A108&lt;'Données projet'!$A$62,$AF$205^A108,IF(A108='Données projet'!$A$62,'Données projet'!$B$62,AI107+AH108-AQ107)))</f>
        <v>408.50000000000011</v>
      </c>
      <c r="AJ108" s="13">
        <f>AI108*VLOOKUP('Données projet'!$B$10,Paramètres!$A$1:$I$89,3,0)*VLOOKUP('Données projet'!$B$10,Paramètres!$A$1:$I$89,5,0)</f>
        <v>350.49300000000011</v>
      </c>
      <c r="AK108" s="13">
        <f t="shared" si="89"/>
        <v>81.664016740485465</v>
      </c>
      <c r="AL108" s="20">
        <f t="shared" si="58"/>
        <v>752.67347082301239</v>
      </c>
      <c r="AM108" s="59">
        <f t="shared" si="59"/>
        <v>1046.0068041563457</v>
      </c>
      <c r="AN108" s="59">
        <f ca="1">AVERAGE(OFFSET($AM$3,0,0,'Données projet'!$E$10+1,1))-AVERAGE(OFFSET($H$3,0,0,'Données projet'!$E$10+1,1))</f>
        <v>405.59933429804329</v>
      </c>
      <c r="AO108" s="59">
        <f t="shared" si="90"/>
        <v>208.64922573363776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0.5476649857041086</v>
      </c>
      <c r="AW108" s="21">
        <f>EXP(-LN(2)/2)*AW107+(1-EXP(-LN(2)/2))/(LN(2)/2)*AQ108*AT108*VLOOKUP('Données projet'!$B$10,Paramètres!$A$1:$I$89,3,0)*0.475*44/12</f>
        <v>3.6443895832910511E-11</v>
      </c>
      <c r="AX108" s="21">
        <f t="shared" si="60"/>
        <v>0.54766498574055245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283.00000000000011</v>
      </c>
      <c r="BE108" s="13">
        <f>BD108*VLOOKUP('Données projet'!$B$11,Paramètres!$A$1:$I$89,3,0)*VLOOKUP('Données projet'!$B$11,Paramètres!$A$1:$I$89,5,0)</f>
        <v>273.71760000000012</v>
      </c>
      <c r="BF108" s="13">
        <f t="shared" si="91"/>
        <v>65.637608810456669</v>
      </c>
      <c r="BG108" s="20">
        <f t="shared" si="61"/>
        <v>591.04365534487897</v>
      </c>
      <c r="BH108" s="59">
        <f t="shared" si="62"/>
        <v>884.37698867821223</v>
      </c>
      <c r="BI108" s="59">
        <f ca="1">AVERAGE(OFFSET($BH$3,0,0,'Données projet'!$E$11+1,1))-AVERAGE(OFFSET($H$3,0,0,'Données projet'!$E$11+1,1))</f>
        <v>293.19327646293601</v>
      </c>
      <c r="BJ108" s="59">
        <f t="shared" si="92"/>
        <v>200.0769581869605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0.41501760063442783</v>
      </c>
      <c r="BR108" s="21">
        <f>EXP(-LN(2)/2)*BR107+(1-EXP(-LN(2)/2))/(LN(2)/2)*BL108*BO108*VLOOKUP('Données projet'!$B$11,Paramètres!$A$1:$I$89,3,0)*0.475*44/12</f>
        <v>3.4039545302635364E-11</v>
      </c>
      <c r="BS108" s="22">
        <f t="shared" si="63"/>
        <v>0.41501760066846738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1.7053025658242404E-13</v>
      </c>
      <c r="BZ108" s="13">
        <f>BY108*VLOOKUP('Données projet'!$B$12,Paramètres!$A$1:$I$89,3,0)*VLOOKUP('Données projet'!$B$12,Paramètres!$A$1:$I$89,5,0)</f>
        <v>1.3301360013429075E-13</v>
      </c>
      <c r="CA108" s="13">
        <f t="shared" si="93"/>
        <v>1.9329766731057041E-12</v>
      </c>
      <c r="CB108" s="20">
        <f t="shared" si="64"/>
        <v>3.5982663925596575E-12</v>
      </c>
      <c r="CC108" s="59">
        <f t="shared" si="65"/>
        <v>293.3333333333369</v>
      </c>
      <c r="CD108" s="59">
        <f ca="1">AVERAGE(OFFSET($CC$3,0,0,'Données projet'!$E$12+1,1))-AVERAGE(OFFSET($H$3,0,0,'Données projet'!$E$12+1,1))</f>
        <v>295.95249585728561</v>
      </c>
      <c r="CE108" s="59">
        <f t="shared" si="94"/>
        <v>306.85862495052709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0.32742399206389738</v>
      </c>
      <c r="CL108" s="21">
        <f>EXP(-LN(2)/25)*CL107+(1-EXP(-LN(2)/25))/(LN(2)/25)*Calculateur!CG108*Calculateur!CI108*VLOOKUP('Données projet'!$B$12,Paramètres!$A$1:$I$89,3,0)*0.475*44/12</f>
        <v>1.0463403163417486</v>
      </c>
      <c r="CM108" s="21">
        <f>EXP(-LN(2)/2)*CM107+(1-EXP(-LN(2)/2))/(LN(2)/2)*CG108*CJ108*VLOOKUP('Données projet'!$B$12,Paramètres!$A$1:$I$89,3,0)*0.475*44/12</f>
        <v>6.7249637002060692E-11</v>
      </c>
      <c r="CN108" s="22">
        <f t="shared" si="66"/>
        <v>1.3737643084728954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6.5</v>
      </c>
      <c r="CT108" s="12">
        <f>IF('Données projet'!$A$140&gt;35,CT107+CS108-DB107,IF(A108&lt;'Données projet'!$A$140,$CQ$205^A108,IF(A108='Données projet'!$A$140,'Données projet'!$B$140,CT107+CS108-DB107)))</f>
        <v>408.50000000000011</v>
      </c>
      <c r="CU108" s="17">
        <f>CT108*VLOOKUP('Données projet'!$B$13,Paramètres!$A$1:$I$89,3,0)*VLOOKUP('Données projet'!$B$13,Paramètres!$A$1:$I$89,5,0)</f>
        <v>388.72860000000009</v>
      </c>
      <c r="CV108" s="13">
        <f t="shared" si="95"/>
        <v>89.487774410644917</v>
      </c>
      <c r="CW108" s="20">
        <f t="shared" si="67"/>
        <v>832.89351876520675</v>
      </c>
      <c r="CX108" s="59">
        <f t="shared" si="68"/>
        <v>1126.2268520985401</v>
      </c>
      <c r="CY108" s="59">
        <f ca="1">AVERAGE(OFFSET($CX$3,0,0,'Données projet'!$E$13+1,1))-AVERAGE(OFFSET($H$3,0,0,'Données projet'!$E$13+1,1))</f>
        <v>461.10546083340631</v>
      </c>
      <c r="CZ108" s="59">
        <f t="shared" si="96"/>
        <v>233.41883071412587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0.49280454802808848</v>
      </c>
      <c r="DH108" s="21">
        <f>EXP(-LN(2)/2)*DH107+(1-EXP(-LN(2)/2))/(LN(2)/2)*DB108*DE108*VLOOKUP('Données projet'!$B$13,Paramètres!$A$1:$I$89,3,0)*0.475*44/12</f>
        <v>4.0419593560137338E-11</v>
      </c>
      <c r="DI108" s="22">
        <f t="shared" si="69"/>
        <v>0.4928045480685081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-4.1500243241898714E-13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296.376932094327</v>
      </c>
      <c r="DU108" s="59">
        <f t="shared" si="98"/>
        <v>350.93658329210882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0.61119145185260859</v>
      </c>
      <c r="EB108" s="21">
        <f>EXP(-LN(2)/25)*EB107+(1-EXP(-LN(2)/25))/(LN(2)/25)*Calculateur!DW108*Calculateur!DY108*VLOOKUP('Données projet'!$B$14,Paramètres!$A$1:$I$89,3,0)*0.475*44/12</f>
        <v>2.1218013176399442</v>
      </c>
      <c r="EC108" s="21">
        <f>EXP(-LN(2)/2)*EC107+(1-EXP(-LN(2)/2))/(LN(2)/2)*DW108*DZ108*VLOOKUP('Données projet'!$B$14,Paramètres!$A$1:$I$89,3,0)*0.475*44/12</f>
        <v>1.261029790420976E-10</v>
      </c>
      <c r="ED108" s="22">
        <f t="shared" si="72"/>
        <v>2.7329927696186558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-5.1159076974727213E-13</v>
      </c>
      <c r="EK108" s="17">
        <f>EJ108*VLOOKUP('Données projet'!$B$15,Paramètres!$A$1:$I$89,3,0)*VLOOKUP('Données projet'!$B$15,Paramètres!$A$1:$I$89,5,0)</f>
        <v>-3.3519427233841269E-13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231.03244099494077</v>
      </c>
      <c r="EP108" s="59">
        <f t="shared" si="100"/>
        <v>280.29723026390741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0.4936546341886453</v>
      </c>
      <c r="EW108" s="21">
        <f>EXP(-LN(2)/25)*EW107+(1-EXP(-LN(2)/25))/(LN(2)/25)*Calculateur!ER108*Calculateur!ET108*VLOOKUP('Données projet'!$B$15,Paramètres!$A$1:$I$89,3,0)*0.475*44/12</f>
        <v>1.7137626027091846</v>
      </c>
      <c r="EX108" s="21">
        <f>EXP(-LN(2)/2)*EX107+(1-EXP(-LN(2)/2))/(LN(2)/2)*ER108*EU108*VLOOKUP('Données projet'!$B$15,Paramètres!$A$1:$I$89,3,0)*0.475*44/12</f>
        <v>1.0185240614938647E-10</v>
      </c>
      <c r="EY108" s="22">
        <f t="shared" si="75"/>
        <v>2.2074172369996821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305.09855999999974</v>
      </c>
      <c r="P109" s="13">
        <f t="shared" si="87"/>
        <v>72.244266890878734</v>
      </c>
      <c r="Q109" s="20">
        <f t="shared" si="107"/>
        <v>657.20542350161338</v>
      </c>
      <c r="R109" s="59">
        <f t="shared" si="55"/>
        <v>950.53875683494675</v>
      </c>
      <c r="S109" s="59">
        <f ca="1">AVERAGE(OFFSET($R$3,0,0,'Données projet'!$E$9+1,1))-AVERAGE(OFFSET($H$3,0,0,'Données projet'!$E$9+1,1))</f>
        <v>351.15781452544906</v>
      </c>
      <c r="T109" s="59">
        <f t="shared" si="88"/>
        <v>271.54361159160169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0.53467644455018093</v>
      </c>
      <c r="AA109" s="21">
        <f>EXP(-LN(2)/25)*AA108+(1-EXP(-LN(2)/25))/(LN(2)/25)*Calculateur!V109*Calculateur!X109*VLOOKUP('Données projet'!$B$9,Paramètres!$A$1:$I$89,3,0)*0.475*44/12</f>
        <v>1.3717861422512732</v>
      </c>
      <c r="AB109" s="21">
        <f>EXP(-LN(2)/2)*AB108+(1-EXP(-LN(2)/2))/(LN(2)/2)*V109*Y109*VLOOKUP('Données projet'!$B$9,Paramètres!$A$1:$I$89,3,0)*0.475*44/12</f>
        <v>7.8410582406310578E-11</v>
      </c>
      <c r="AC109" s="22">
        <f t="shared" si="57"/>
        <v>1.9064625868798646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</v>
      </c>
      <c r="AI109" s="13">
        <f>IF('Données projet'!$A$62&gt;35,AI108+AH109-AQ108,IF(A109&lt;'Données projet'!$A$62,$AF$205^A109,IF(A109='Données projet'!$A$62,'Données projet'!$B$62,AI108+AH109-AQ108)))</f>
        <v>415.00000000000011</v>
      </c>
      <c r="AJ109" s="13">
        <f>AI109*VLOOKUP('Données projet'!$B$10,Paramètres!$A$1:$I$89,3,0)*VLOOKUP('Données projet'!$B$10,Paramètres!$A$1:$I$89,5,0)</f>
        <v>356.07000000000016</v>
      </c>
      <c r="AK109" s="13">
        <f t="shared" si="89"/>
        <v>82.811133778450127</v>
      </c>
      <c r="AL109" s="20">
        <f t="shared" si="58"/>
        <v>764.38464133080095</v>
      </c>
      <c r="AM109" s="59">
        <f t="shared" si="59"/>
        <v>1057.7179746641343</v>
      </c>
      <c r="AN109" s="59">
        <f ca="1">AVERAGE(OFFSET($AM$3,0,0,'Données projet'!$E$10+1,1))-AVERAGE(OFFSET($H$3,0,0,'Données projet'!$E$10+1,1))</f>
        <v>405.59933429804329</v>
      </c>
      <c r="AO109" s="59">
        <f t="shared" si="90"/>
        <v>208.64922573363776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0.53268905786957987</v>
      </c>
      <c r="AW109" s="21">
        <f>EXP(-LN(2)/2)*AW108+(1-EXP(-LN(2)/2))/(LN(2)/2)*AQ109*AT109*VLOOKUP('Données projet'!$B$10,Paramètres!$A$1:$I$89,3,0)*0.475*44/12</f>
        <v>2.5769725876307184E-11</v>
      </c>
      <c r="AX109" s="21">
        <f t="shared" si="60"/>
        <v>0.53268905789534959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287.40000000000009</v>
      </c>
      <c r="BE109" s="13">
        <f>BD109*VLOOKUP('Données projet'!$B$11,Paramètres!$A$1:$I$89,3,0)*VLOOKUP('Données projet'!$B$11,Paramètres!$A$1:$I$89,5,0)</f>
        <v>277.9732800000001</v>
      </c>
      <c r="BF109" s="13">
        <f t="shared" si="91"/>
        <v>66.538523764973192</v>
      </c>
      <c r="BG109" s="20">
        <f t="shared" si="61"/>
        <v>600.02472489066179</v>
      </c>
      <c r="BH109" s="59">
        <f t="shared" si="62"/>
        <v>893.35805822399516</v>
      </c>
      <c r="BI109" s="59">
        <f ca="1">AVERAGE(OFFSET($BH$3,0,0,'Données projet'!$E$11+1,1))-AVERAGE(OFFSET($H$3,0,0,'Données projet'!$E$11+1,1))</f>
        <v>293.19327646293601</v>
      </c>
      <c r="BJ109" s="59">
        <f t="shared" si="92"/>
        <v>200.0769581869605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0.40366892252025233</v>
      </c>
      <c r="BR109" s="21">
        <f>EXP(-LN(2)/2)*BR108+(1-EXP(-LN(2)/2))/(LN(2)/2)*BL109*BO109*VLOOKUP('Données projet'!$B$11,Paramètres!$A$1:$I$89,3,0)*0.475*44/12</f>
        <v>2.4069593312000156E-11</v>
      </c>
      <c r="BS109" s="22">
        <f t="shared" si="63"/>
        <v>0.40366892254432191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1.7053025658242404E-13</v>
      </c>
      <c r="BZ109" s="13">
        <f>BY109*VLOOKUP('Données projet'!$B$12,Paramètres!$A$1:$I$89,3,0)*VLOOKUP('Données projet'!$B$12,Paramètres!$A$1:$I$89,5,0)</f>
        <v>1.3301360013429075E-13</v>
      </c>
      <c r="CA109" s="13">
        <f t="shared" si="93"/>
        <v>1.9329766731057041E-12</v>
      </c>
      <c r="CB109" s="20">
        <f t="shared" si="64"/>
        <v>3.5982663925596575E-12</v>
      </c>
      <c r="CC109" s="59">
        <f t="shared" si="65"/>
        <v>293.3333333333369</v>
      </c>
      <c r="CD109" s="59">
        <f ca="1">AVERAGE(OFFSET($CC$3,0,0,'Données projet'!$E$12+1,1))-AVERAGE(OFFSET($H$3,0,0,'Données projet'!$E$12+1,1))</f>
        <v>295.95249585728561</v>
      </c>
      <c r="CE109" s="59">
        <f t="shared" si="94"/>
        <v>306.85862495052709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0.3210034072884399</v>
      </c>
      <c r="CL109" s="21">
        <f>EXP(-LN(2)/25)*CL108+(1-EXP(-LN(2)/25))/(LN(2)/25)*Calculateur!CG109*Calculateur!CI109*VLOOKUP('Données projet'!$B$12,Paramètres!$A$1:$I$89,3,0)*0.475*44/12</f>
        <v>1.0177280853667376</v>
      </c>
      <c r="CM109" s="21">
        <f>EXP(-LN(2)/2)*CM108+(1-EXP(-LN(2)/2))/(LN(2)/2)*CG109*CJ109*VLOOKUP('Données projet'!$B$12,Paramètres!$A$1:$I$89,3,0)*0.475*44/12</f>
        <v>4.7552674356490881E-11</v>
      </c>
      <c r="CN109" s="22">
        <f t="shared" si="66"/>
        <v>1.3387314927027303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6.5</v>
      </c>
      <c r="CT109" s="12">
        <f>IF('Données projet'!$A$140&gt;35,CT108+CS109-DB108,IF(A109&lt;'Données projet'!$A$140,$CQ$205^A109,IF(A109='Données projet'!$A$140,'Données projet'!$B$140,CT108+CS109-DB108)))</f>
        <v>415.00000000000011</v>
      </c>
      <c r="CU109" s="17">
        <f>CT109*VLOOKUP('Données projet'!$B$13,Paramètres!$A$1:$I$89,3,0)*VLOOKUP('Données projet'!$B$13,Paramètres!$A$1:$I$89,5,0)</f>
        <v>394.9140000000001</v>
      </c>
      <c r="CV109" s="13">
        <f t="shared" si="95"/>
        <v>90.74479010511179</v>
      </c>
      <c r="CW109" s="20">
        <f t="shared" si="67"/>
        <v>845.85572609973644</v>
      </c>
      <c r="CX109" s="59">
        <f t="shared" si="68"/>
        <v>1139.1890594330698</v>
      </c>
      <c r="CY109" s="59">
        <f ca="1">AVERAGE(OFFSET($CX$3,0,0,'Données projet'!$E$13+1,1))-AVERAGE(OFFSET($H$3,0,0,'Données projet'!$E$13+1,1))</f>
        <v>461.10546083340631</v>
      </c>
      <c r="CZ109" s="59">
        <f t="shared" si="96"/>
        <v>233.41883071412587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0.47932878174679555</v>
      </c>
      <c r="DH109" s="21">
        <f>EXP(-LN(2)/2)*DH108+(1-EXP(-LN(2)/2))/(LN(2)/2)*DB109*DE109*VLOOKUP('Données projet'!$B$13,Paramètres!$A$1:$I$89,3,0)*0.475*44/12</f>
        <v>2.858096869917722E-11</v>
      </c>
      <c r="DI109" s="22">
        <f t="shared" si="69"/>
        <v>0.47932878177537652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-4.1500243241898714E-13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296.376932094327</v>
      </c>
      <c r="DU109" s="59">
        <f t="shared" si="98"/>
        <v>350.93658329210882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0.59920636027175467</v>
      </c>
      <c r="EB109" s="21">
        <f>EXP(-LN(2)/25)*EB108+(1-EXP(-LN(2)/25))/(LN(2)/25)*Calculateur!DW109*Calculateur!DY109*VLOOKUP('Données projet'!$B$14,Paramètres!$A$1:$I$89,3,0)*0.475*44/12</f>
        <v>2.0637805490283982</v>
      </c>
      <c r="EC109" s="21">
        <f>EXP(-LN(2)/2)*EC108+(1-EXP(-LN(2)/2))/(LN(2)/2)*DW109*DZ109*VLOOKUP('Données projet'!$B$14,Paramètres!$A$1:$I$89,3,0)*0.475*44/12</f>
        <v>8.91682716084923E-11</v>
      </c>
      <c r="ED109" s="22">
        <f t="shared" si="72"/>
        <v>2.6629869093893213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-5.1159076974727213E-13</v>
      </c>
      <c r="EK109" s="17">
        <f>EJ109*VLOOKUP('Données projet'!$B$15,Paramètres!$A$1:$I$89,3,0)*VLOOKUP('Données projet'!$B$15,Paramètres!$A$1:$I$89,5,0)</f>
        <v>-3.3519427233841269E-13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231.03244099494077</v>
      </c>
      <c r="EP109" s="59">
        <f t="shared" si="100"/>
        <v>280.29723026390741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0.48397436791180171</v>
      </c>
      <c r="EW109" s="21">
        <f>EXP(-LN(2)/25)*EW108+(1-EXP(-LN(2)/25))/(LN(2)/25)*Calculateur!ER109*Calculateur!ET109*VLOOKUP('Données projet'!$B$15,Paramètres!$A$1:$I$89,3,0)*0.475*44/12</f>
        <v>1.6668996742152435</v>
      </c>
      <c r="EX109" s="21">
        <f>EXP(-LN(2)/2)*EX108+(1-EXP(-LN(2)/2))/(LN(2)/2)*ER109*EU109*VLOOKUP('Données projet'!$B$15,Paramètres!$A$1:$I$89,3,0)*0.475*44/12</f>
        <v>7.2020527068397588E-11</v>
      </c>
      <c r="EY109" s="22">
        <f t="shared" si="75"/>
        <v>2.150874042199066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309.80351999999971</v>
      </c>
      <c r="P110" s="13">
        <f t="shared" si="87"/>
        <v>73.227795813703693</v>
      </c>
      <c r="Q110" s="20">
        <f t="shared" si="107"/>
        <v>667.11287504220002</v>
      </c>
      <c r="R110" s="59">
        <f t="shared" si="55"/>
        <v>960.44620837553339</v>
      </c>
      <c r="S110" s="59">
        <f ca="1">AVERAGE(OFFSET($R$3,0,0,'Données projet'!$E$9+1,1))-AVERAGE(OFFSET($H$3,0,0,'Données projet'!$E$9+1,1))</f>
        <v>351.15781452544906</v>
      </c>
      <c r="T110" s="59">
        <f t="shared" si="88"/>
        <v>271.54361159160169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0.52419176559298131</v>
      </c>
      <c r="AA110" s="21">
        <f>EXP(-LN(2)/25)*AA109+(1-EXP(-LN(2)/25))/(LN(2)/25)*Calculateur!V110*Calculateur!X110*VLOOKUP('Données projet'!$B$9,Paramètres!$A$1:$I$89,3,0)*0.475*44/12</f>
        <v>1.3342745780523142</v>
      </c>
      <c r="AB110" s="21">
        <f>EXP(-LN(2)/2)*AB109+(1-EXP(-LN(2)/2))/(LN(2)/2)*V110*Y110*VLOOKUP('Données projet'!$B$9,Paramètres!$A$1:$I$89,3,0)*0.475*44/12</f>
        <v>5.5444654536288807E-11</v>
      </c>
      <c r="AC110" s="22">
        <f t="shared" si="57"/>
        <v>1.8584663437007403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</v>
      </c>
      <c r="AI110" s="13">
        <f>IF('Données projet'!$A$62&gt;35,AI109+AH110-AQ109,IF(A110&lt;'Données projet'!$A$62,$AF$205^A110,IF(A110='Données projet'!$A$62,'Données projet'!$B$62,AI109+AH110-AQ109)))</f>
        <v>421.50000000000011</v>
      </c>
      <c r="AJ110" s="13">
        <f>AI110*VLOOKUP('Données projet'!$B$10,Paramètres!$A$1:$I$89,3,0)*VLOOKUP('Données projet'!$B$10,Paramètres!$A$1:$I$89,5,0)</f>
        <v>361.64700000000011</v>
      </c>
      <c r="AK110" s="13">
        <f t="shared" si="89"/>
        <v>83.956161284941132</v>
      </c>
      <c r="AL110" s="20">
        <f t="shared" si="58"/>
        <v>776.0921725712725</v>
      </c>
      <c r="AM110" s="59">
        <f t="shared" si="59"/>
        <v>1069.4255059046059</v>
      </c>
      <c r="AN110" s="59">
        <f ca="1">AVERAGE(OFFSET($AM$3,0,0,'Données projet'!$E$10+1,1))-AVERAGE(OFFSET($H$3,0,0,'Données projet'!$E$10+1,1))</f>
        <v>405.59933429804329</v>
      </c>
      <c r="AO110" s="59">
        <f t="shared" si="90"/>
        <v>208.64922573363776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0.51812264756923609</v>
      </c>
      <c r="AW110" s="21">
        <f>EXP(-LN(2)/2)*AW109+(1-EXP(-LN(2)/2))/(LN(2)/2)*AQ110*AT110*VLOOKUP('Données projet'!$B$10,Paramètres!$A$1:$I$89,3,0)*0.475*44/12</f>
        <v>1.8221947916455255E-11</v>
      </c>
      <c r="AX110" s="21">
        <f t="shared" si="60"/>
        <v>0.51812264758745807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291.80000000000007</v>
      </c>
      <c r="BE110" s="13">
        <f>BD110*VLOOKUP('Données projet'!$B$11,Paramètres!$A$1:$I$89,3,0)*VLOOKUP('Données projet'!$B$11,Paramètres!$A$1:$I$89,5,0)</f>
        <v>282.22896000000009</v>
      </c>
      <c r="BF110" s="13">
        <f t="shared" si="91"/>
        <v>67.437834611070414</v>
      </c>
      <c r="BG110" s="20">
        <f t="shared" si="61"/>
        <v>609.00300061428106</v>
      </c>
      <c r="BH110" s="59">
        <f t="shared" si="62"/>
        <v>902.33633394761432</v>
      </c>
      <c r="BI110" s="59">
        <f ca="1">AVERAGE(OFFSET($BH$3,0,0,'Données projet'!$E$11+1,1))-AVERAGE(OFFSET($H$3,0,0,'Données projet'!$E$11+1,1))</f>
        <v>293.19327646293601</v>
      </c>
      <c r="BJ110" s="59">
        <f t="shared" si="92"/>
        <v>200.0769581869605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0.39263057460591</v>
      </c>
      <c r="BR110" s="21">
        <f>EXP(-LN(2)/2)*BR109+(1-EXP(-LN(2)/2))/(LN(2)/2)*BL110*BO110*VLOOKUP('Données projet'!$B$11,Paramètres!$A$1:$I$89,3,0)*0.475*44/12</f>
        <v>1.7019772651317682E-11</v>
      </c>
      <c r="BS110" s="22">
        <f t="shared" si="63"/>
        <v>0.39263057462292977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1.7053025658242404E-13</v>
      </c>
      <c r="BZ110" s="13">
        <f>BY110*VLOOKUP('Données projet'!$B$12,Paramètres!$A$1:$I$89,3,0)*VLOOKUP('Données projet'!$B$12,Paramètres!$A$1:$I$89,5,0)</f>
        <v>1.3301360013429075E-13</v>
      </c>
      <c r="CA110" s="13">
        <f t="shared" si="93"/>
        <v>1.9329766731057041E-12</v>
      </c>
      <c r="CB110" s="20">
        <f t="shared" si="64"/>
        <v>3.5982663925596575E-12</v>
      </c>
      <c r="CC110" s="59">
        <f t="shared" si="65"/>
        <v>293.3333333333369</v>
      </c>
      <c r="CD110" s="59">
        <f ca="1">AVERAGE(OFFSET($CC$3,0,0,'Données projet'!$E$12+1,1))-AVERAGE(OFFSET($H$3,0,0,'Données projet'!$E$12+1,1))</f>
        <v>295.95249585728561</v>
      </c>
      <c r="CE110" s="59">
        <f t="shared" si="94"/>
        <v>306.85862495052709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0.31470872626425911</v>
      </c>
      <c r="CL110" s="21">
        <f>EXP(-LN(2)/25)*CL109+(1-EXP(-LN(2)/25))/(LN(2)/25)*Calculateur!CG110*Calculateur!CI110*VLOOKUP('Données projet'!$B$12,Paramètres!$A$1:$I$89,3,0)*0.475*44/12</f>
        <v>0.98989825735239023</v>
      </c>
      <c r="CM110" s="21">
        <f>EXP(-LN(2)/2)*CM109+(1-EXP(-LN(2)/2))/(LN(2)/2)*CG110*CJ110*VLOOKUP('Données projet'!$B$12,Paramètres!$A$1:$I$89,3,0)*0.475*44/12</f>
        <v>3.3624818501030346E-11</v>
      </c>
      <c r="CN110" s="22">
        <f t="shared" si="66"/>
        <v>1.3046069836502743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6.5</v>
      </c>
      <c r="CT110" s="12">
        <f>IF('Données projet'!$A$140&gt;35,CT109+CS110-DB109,IF(A110&lt;'Données projet'!$A$140,$CQ$205^A110,IF(A110='Données projet'!$A$140,'Données projet'!$B$140,CT109+CS110-DB109)))</f>
        <v>421.50000000000011</v>
      </c>
      <c r="CU110" s="17">
        <f>CT110*VLOOKUP('Données projet'!$B$13,Paramètres!$A$1:$I$89,3,0)*VLOOKUP('Données projet'!$B$13,Paramètres!$A$1:$I$89,5,0)</f>
        <v>401.09940000000012</v>
      </c>
      <c r="CV110" s="13">
        <f t="shared" si="95"/>
        <v>91.999516082165584</v>
      </c>
      <c r="CW110" s="20">
        <f t="shared" si="67"/>
        <v>858.813945509772</v>
      </c>
      <c r="CX110" s="59">
        <f t="shared" si="68"/>
        <v>1152.1472788431054</v>
      </c>
      <c r="CY110" s="59">
        <f ca="1">AVERAGE(OFFSET($CX$3,0,0,'Données projet'!$E$13+1,1))-AVERAGE(OFFSET($H$3,0,0,'Données projet'!$E$13+1,1))</f>
        <v>461.10546083340631</v>
      </c>
      <c r="CZ110" s="59">
        <f t="shared" si="96"/>
        <v>233.41883071412587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0.46622151100312431</v>
      </c>
      <c r="DH110" s="21">
        <f>EXP(-LN(2)/2)*DH109+(1-EXP(-LN(2)/2))/(LN(2)/2)*DB110*DE110*VLOOKUP('Données projet'!$B$13,Paramètres!$A$1:$I$89,3,0)*0.475*44/12</f>
        <v>2.0209796780068672E-11</v>
      </c>
      <c r="DI110" s="22">
        <f t="shared" si="69"/>
        <v>0.46622151102333409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-4.1500243241898714E-13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296.376932094327</v>
      </c>
      <c r="DU110" s="59">
        <f t="shared" si="98"/>
        <v>350.93658329210882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0.58745628902661717</v>
      </c>
      <c r="EB110" s="21">
        <f>EXP(-LN(2)/25)*EB109+(1-EXP(-LN(2)/25))/(LN(2)/25)*Calculateur!DW110*Calculateur!DY110*VLOOKUP('Données projet'!$B$14,Paramètres!$A$1:$I$89,3,0)*0.475*44/12</f>
        <v>2.0073463613857143</v>
      </c>
      <c r="EC110" s="21">
        <f>EXP(-LN(2)/2)*EC109+(1-EXP(-LN(2)/2))/(LN(2)/2)*DW110*DZ110*VLOOKUP('Données projet'!$B$14,Paramètres!$A$1:$I$89,3,0)*0.475*44/12</f>
        <v>6.3051489521048801E-11</v>
      </c>
      <c r="ED110" s="22">
        <f t="shared" si="72"/>
        <v>2.5948026504753829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-5.1159076974727213E-13</v>
      </c>
      <c r="EK110" s="17">
        <f>EJ110*VLOOKUP('Données projet'!$B$15,Paramètres!$A$1:$I$89,3,0)*VLOOKUP('Données projet'!$B$15,Paramètres!$A$1:$I$89,5,0)</f>
        <v>-3.3519427233841269E-13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231.03244099494077</v>
      </c>
      <c r="EP110" s="59">
        <f t="shared" si="100"/>
        <v>280.29723026390741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0.47448392575226761</v>
      </c>
      <c r="EW110" s="21">
        <f>EXP(-LN(2)/25)*EW109+(1-EXP(-LN(2)/25))/(LN(2)/25)*Calculateur!ER110*Calculateur!ET110*VLOOKUP('Données projet'!$B$15,Paramètres!$A$1:$I$89,3,0)*0.475*44/12</f>
        <v>1.6213182149653835</v>
      </c>
      <c r="EX110" s="21">
        <f>EXP(-LN(2)/2)*EX109+(1-EXP(-LN(2)/2))/(LN(2)/2)*ER110*EU110*VLOOKUP('Données projet'!$B$15,Paramètres!$A$1:$I$89,3,0)*0.475*44/12</f>
        <v>5.0926203074693237E-11</v>
      </c>
      <c r="EY110" s="22">
        <f t="shared" si="75"/>
        <v>2.0958021407685776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314.50847999999968</v>
      </c>
      <c r="P111" s="13">
        <f t="shared" si="87"/>
        <v>74.209587561617383</v>
      </c>
      <c r="Q111" s="20">
        <f t="shared" si="107"/>
        <v>677.01730100314978</v>
      </c>
      <c r="R111" s="59">
        <f t="shared" si="55"/>
        <v>970.35063433648315</v>
      </c>
      <c r="S111" s="59">
        <f ca="1">AVERAGE(OFFSET($R$3,0,0,'Données projet'!$E$9+1,1))-AVERAGE(OFFSET($H$3,0,0,'Données projet'!$E$9+1,1))</f>
        <v>351.15781452544906</v>
      </c>
      <c r="T111" s="59">
        <f t="shared" si="88"/>
        <v>271.54361159160169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0.51391268479510965</v>
      </c>
      <c r="AA111" s="21">
        <f>EXP(-LN(2)/25)*AA110+(1-EXP(-LN(2)/25))/(LN(2)/25)*Calculateur!V111*Calculateur!X111*VLOOKUP('Données projet'!$B$9,Paramètres!$A$1:$I$89,3,0)*0.475*44/12</f>
        <v>1.2977887695490231</v>
      </c>
      <c r="AB111" s="21">
        <f>EXP(-LN(2)/2)*AB110+(1-EXP(-LN(2)/2))/(LN(2)/2)*V111*Y111*VLOOKUP('Données projet'!$B$9,Paramètres!$A$1:$I$89,3,0)*0.475*44/12</f>
        <v>3.9205291203155289E-11</v>
      </c>
      <c r="AC111" s="22">
        <f t="shared" si="57"/>
        <v>1.8117014543833381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</v>
      </c>
      <c r="AI111" s="13">
        <f>IF('Données projet'!$A$62&gt;35,AI110+AH111-AQ110,IF(A111&lt;'Données projet'!$A$62,$AF$205^A111,IF(A111='Données projet'!$A$62,'Données projet'!$B$62,AI110+AH111-AQ110)))</f>
        <v>428.00000000000011</v>
      </c>
      <c r="AJ111" s="13">
        <f>AI111*VLOOKUP('Données projet'!$B$10,Paramètres!$A$1:$I$89,3,0)*VLOOKUP('Données projet'!$B$10,Paramètres!$A$1:$I$89,5,0)</f>
        <v>367.22400000000016</v>
      </c>
      <c r="AK111" s="13">
        <f t="shared" si="89"/>
        <v>85.099135204211706</v>
      </c>
      <c r="AL111" s="20">
        <f t="shared" si="58"/>
        <v>787.7961271473356</v>
      </c>
      <c r="AM111" s="59">
        <f t="shared" si="59"/>
        <v>1081.129460480669</v>
      </c>
      <c r="AN111" s="59">
        <f ca="1">AVERAGE(OFFSET($AM$3,0,0,'Données projet'!$E$10+1,1))-AVERAGE(OFFSET($H$3,0,0,'Données projet'!$E$10+1,1))</f>
        <v>405.59933429804329</v>
      </c>
      <c r="AO111" s="59">
        <f t="shared" si="90"/>
        <v>208.64922573363776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0.50395455652456944</v>
      </c>
      <c r="AW111" s="21">
        <f>EXP(-LN(2)/2)*AW110+(1-EXP(-LN(2)/2))/(LN(2)/2)*AQ111*AT111*VLOOKUP('Données projet'!$B$10,Paramètres!$A$1:$I$89,3,0)*0.475*44/12</f>
        <v>1.2884862938153592E-11</v>
      </c>
      <c r="AX111" s="21">
        <f t="shared" si="60"/>
        <v>0.50395455653745436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296.20000000000005</v>
      </c>
      <c r="BE111" s="13">
        <f>BD111*VLOOKUP('Données projet'!$B$11,Paramètres!$A$1:$I$89,3,0)*VLOOKUP('Données projet'!$B$11,Paramètres!$A$1:$I$89,5,0)</f>
        <v>286.48464000000007</v>
      </c>
      <c r="BF111" s="13">
        <f t="shared" si="91"/>
        <v>68.33556833067756</v>
      </c>
      <c r="BG111" s="20">
        <f t="shared" si="61"/>
        <v>617.97852950926347</v>
      </c>
      <c r="BH111" s="59">
        <f t="shared" si="62"/>
        <v>911.31186284259684</v>
      </c>
      <c r="BI111" s="59">
        <f ca="1">AVERAGE(OFFSET($BH$3,0,0,'Données projet'!$E$11+1,1))-AVERAGE(OFFSET($H$3,0,0,'Données projet'!$E$11+1,1))</f>
        <v>293.19327646293601</v>
      </c>
      <c r="BJ111" s="59">
        <f t="shared" si="92"/>
        <v>200.0769581869605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0.38189407089576682</v>
      </c>
      <c r="BR111" s="21">
        <f>EXP(-LN(2)/2)*BR110+(1-EXP(-LN(2)/2))/(LN(2)/2)*BL111*BO111*VLOOKUP('Données projet'!$B$11,Paramètres!$A$1:$I$89,3,0)*0.475*44/12</f>
        <v>1.2034796656000078E-11</v>
      </c>
      <c r="BS111" s="22">
        <f t="shared" si="63"/>
        <v>0.38189407090780164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1.7053025658242404E-13</v>
      </c>
      <c r="BZ111" s="13">
        <f>BY111*VLOOKUP('Données projet'!$B$12,Paramètres!$A$1:$I$89,3,0)*VLOOKUP('Données projet'!$B$12,Paramètres!$A$1:$I$89,5,0)</f>
        <v>1.3301360013429075E-13</v>
      </c>
      <c r="CA111" s="13">
        <f t="shared" si="93"/>
        <v>1.9329766731057041E-12</v>
      </c>
      <c r="CB111" s="20">
        <f t="shared" si="64"/>
        <v>3.5982663925596575E-12</v>
      </c>
      <c r="CC111" s="59">
        <f t="shared" si="65"/>
        <v>293.3333333333369</v>
      </c>
      <c r="CD111" s="59">
        <f ca="1">AVERAGE(OFFSET($CC$3,0,0,'Données projet'!$E$12+1,1))-AVERAGE(OFFSET($H$3,0,0,'Données projet'!$E$12+1,1))</f>
        <v>295.95249585728561</v>
      </c>
      <c r="CE111" s="59">
        <f t="shared" si="94"/>
        <v>306.85862495052709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0.30853748009558618</v>
      </c>
      <c r="CL111" s="21">
        <f>EXP(-LN(2)/25)*CL110+(1-EXP(-LN(2)/25))/(LN(2)/25)*Calculateur!CG111*Calculateur!CI111*VLOOKUP('Données projet'!$B$12,Paramètres!$A$1:$I$89,3,0)*0.475*44/12</f>
        <v>0.96282943744860217</v>
      </c>
      <c r="CM111" s="21">
        <f>EXP(-LN(2)/2)*CM110+(1-EXP(-LN(2)/2))/(LN(2)/2)*CG111*CJ111*VLOOKUP('Données projet'!$B$12,Paramètres!$A$1:$I$89,3,0)*0.475*44/12</f>
        <v>2.377633717824544E-11</v>
      </c>
      <c r="CN111" s="22">
        <f t="shared" si="66"/>
        <v>1.2713669175679647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6.5</v>
      </c>
      <c r="CT111" s="12">
        <f>IF('Données projet'!$A$140&gt;35,CT110+CS111-DB110,IF(A111&lt;'Données projet'!$A$140,$CQ$205^A111,IF(A111='Données projet'!$A$140,'Données projet'!$B$140,CT110+CS111-DB110)))</f>
        <v>428.00000000000011</v>
      </c>
      <c r="CU111" s="17">
        <f>CT111*VLOOKUP('Données projet'!$B$13,Paramètres!$A$1:$I$89,3,0)*VLOOKUP('Données projet'!$B$13,Paramètres!$A$1:$I$89,5,0)</f>
        <v>407.28480000000008</v>
      </c>
      <c r="CV111" s="13">
        <f t="shared" si="95"/>
        <v>93.251991729671133</v>
      </c>
      <c r="CW111" s="20">
        <f t="shared" si="67"/>
        <v>871.76824559584395</v>
      </c>
      <c r="CX111" s="59">
        <f t="shared" si="68"/>
        <v>1165.1015789291773</v>
      </c>
      <c r="CY111" s="59">
        <f ca="1">AVERAGE(OFFSET($CX$3,0,0,'Données projet'!$E$13+1,1))-AVERAGE(OFFSET($H$3,0,0,'Données projet'!$E$13+1,1))</f>
        <v>461.10546083340631</v>
      </c>
      <c r="CZ111" s="59">
        <f t="shared" si="96"/>
        <v>233.41883071412587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0.45347265926722019</v>
      </c>
      <c r="DH111" s="21">
        <f>EXP(-LN(2)/2)*DH110+(1-EXP(-LN(2)/2))/(LN(2)/2)*DB111*DE111*VLOOKUP('Données projet'!$B$13,Paramètres!$A$1:$I$89,3,0)*0.475*44/12</f>
        <v>1.4290484349588612E-11</v>
      </c>
      <c r="DI111" s="22">
        <f t="shared" si="69"/>
        <v>0.45347265928151065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-4.1500243241898714E-13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296.376932094327</v>
      </c>
      <c r="DU111" s="59">
        <f t="shared" si="98"/>
        <v>350.93658329210882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0.57593662951176106</v>
      </c>
      <c r="EB111" s="21">
        <f>EXP(-LN(2)/25)*EB110+(1-EXP(-LN(2)/25))/(LN(2)/25)*Calculateur!DW111*Calculateur!DY111*VLOOKUP('Données projet'!$B$14,Paramètres!$A$1:$I$89,3,0)*0.475*44/12</f>
        <v>1.9524553695718647</v>
      </c>
      <c r="EC111" s="21">
        <f>EXP(-LN(2)/2)*EC110+(1-EXP(-LN(2)/2))/(LN(2)/2)*DW111*DZ111*VLOOKUP('Données projet'!$B$14,Paramètres!$A$1:$I$89,3,0)*0.475*44/12</f>
        <v>4.458413580424615E-11</v>
      </c>
      <c r="ED111" s="22">
        <f t="shared" si="72"/>
        <v>2.52839199912821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-5.1159076974727213E-13</v>
      </c>
      <c r="EK111" s="17">
        <f>EJ111*VLOOKUP('Données projet'!$B$15,Paramètres!$A$1:$I$89,3,0)*VLOOKUP('Données projet'!$B$15,Paramètres!$A$1:$I$89,5,0)</f>
        <v>-3.3519427233841269E-13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231.03244099494077</v>
      </c>
      <c r="EP111" s="59">
        <f t="shared" si="100"/>
        <v>280.29723026390741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0.4651795853748838</v>
      </c>
      <c r="EW111" s="21">
        <f>EXP(-LN(2)/25)*EW110+(1-EXP(-LN(2)/25))/(LN(2)/25)*Calculateur!ER111*Calculateur!ET111*VLOOKUP('Données projet'!$B$15,Paramètres!$A$1:$I$89,3,0)*0.475*44/12</f>
        <v>1.5769831831157357</v>
      </c>
      <c r="EX111" s="21">
        <f>EXP(-LN(2)/2)*EX110+(1-EXP(-LN(2)/2))/(LN(2)/2)*ER111*EU111*VLOOKUP('Données projet'!$B$15,Paramètres!$A$1:$I$89,3,0)*0.475*44/12</f>
        <v>3.6010263534198794E-11</v>
      </c>
      <c r="EY111" s="22">
        <f t="shared" si="75"/>
        <v>2.0421627685266297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319.21343999999971</v>
      </c>
      <c r="P112" s="13">
        <f t="shared" si="87"/>
        <v>75.189671124171639</v>
      </c>
      <c r="Q112" s="20">
        <f t="shared" si="107"/>
        <v>686.91875187459846</v>
      </c>
      <c r="R112" s="59">
        <f t="shared" si="55"/>
        <v>980.25208520793171</v>
      </c>
      <c r="S112" s="59">
        <f ca="1">AVERAGE(OFFSET($R$3,0,0,'Données projet'!$E$9+1,1))-AVERAGE(OFFSET($H$3,0,0,'Données projet'!$E$9+1,1))</f>
        <v>351.15781452544906</v>
      </c>
      <c r="T112" s="59">
        <f t="shared" si="88"/>
        <v>271.54361159160169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0.50383517050206406</v>
      </c>
      <c r="AA112" s="21">
        <f>EXP(-LN(2)/25)*AA111+(1-EXP(-LN(2)/25))/(LN(2)/25)*Calculateur!V112*Calculateur!X112*VLOOKUP('Données projet'!$B$9,Paramètres!$A$1:$I$89,3,0)*0.475*44/12</f>
        <v>1.2623006673979598</v>
      </c>
      <c r="AB112" s="21">
        <f>EXP(-LN(2)/2)*AB111+(1-EXP(-LN(2)/2))/(LN(2)/2)*V112*Y112*VLOOKUP('Données projet'!$B$9,Paramètres!$A$1:$I$89,3,0)*0.475*44/12</f>
        <v>2.7722327268144404E-11</v>
      </c>
      <c r="AC112" s="22">
        <f t="shared" si="57"/>
        <v>1.7661358379277461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6.5</v>
      </c>
      <c r="AI112" s="13">
        <f>IF('Données projet'!$A$62&gt;35,AI111+AH112-AQ111,IF(A112&lt;'Données projet'!$A$62,$AF$205^A112,IF(A112='Données projet'!$A$62,'Données projet'!$B$62,AI111+AH112-AQ111)))</f>
        <v>434.50000000000011</v>
      </c>
      <c r="AJ112" s="13">
        <f>AI112*VLOOKUP('Données projet'!$B$10,Paramètres!$A$1:$I$89,3,0)*VLOOKUP('Données projet'!$B$10,Paramètres!$A$1:$I$89,5,0)</f>
        <v>372.80100000000016</v>
      </c>
      <c r="AK112" s="13">
        <f t="shared" si="89"/>
        <v>86.240090326097956</v>
      </c>
      <c r="AL112" s="20">
        <f t="shared" si="58"/>
        <v>799.4965656512876</v>
      </c>
      <c r="AM112" s="59">
        <f t="shared" si="59"/>
        <v>1092.829898984621</v>
      </c>
      <c r="AN112" s="59">
        <f ca="1">AVERAGE(OFFSET($AM$3,0,0,'Données projet'!$E$10+1,1))-AVERAGE(OFFSET($H$3,0,0,'Données projet'!$E$10+1,1))</f>
        <v>405.59933429804329</v>
      </c>
      <c r="AO112" s="59">
        <f t="shared" si="90"/>
        <v>208.64922573363776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0.49017389267458678</v>
      </c>
      <c r="AW112" s="21">
        <f>EXP(-LN(2)/2)*AW111+(1-EXP(-LN(2)/2))/(LN(2)/2)*AQ112*AT112*VLOOKUP('Données projet'!$B$10,Paramètres!$A$1:$I$89,3,0)*0.475*44/12</f>
        <v>9.1109739582276277E-12</v>
      </c>
      <c r="AX112" s="21">
        <f t="shared" si="60"/>
        <v>0.49017389268369777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300.60000000000002</v>
      </c>
      <c r="BE112" s="13">
        <f>BD112*VLOOKUP('Données projet'!$B$11,Paramètres!$A$1:$I$89,3,0)*VLOOKUP('Données projet'!$B$11,Paramètres!$A$1:$I$89,5,0)</f>
        <v>290.74032000000005</v>
      </c>
      <c r="BF112" s="13">
        <f t="shared" si="91"/>
        <v>69.231751058085564</v>
      </c>
      <c r="BG112" s="20">
        <f t="shared" si="61"/>
        <v>626.95135709283238</v>
      </c>
      <c r="BH112" s="59">
        <f t="shared" si="62"/>
        <v>920.28469042616575</v>
      </c>
      <c r="BI112" s="59">
        <f ca="1">AVERAGE(OFFSET($BH$3,0,0,'Données projet'!$E$11+1,1))-AVERAGE(OFFSET($H$3,0,0,'Données projet'!$E$11+1,1))</f>
        <v>293.19327646293601</v>
      </c>
      <c r="BJ112" s="59">
        <f t="shared" si="92"/>
        <v>200.0769581869605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0.37145115744418572</v>
      </c>
      <c r="BR112" s="21">
        <f>EXP(-LN(2)/2)*BR111+(1-EXP(-LN(2)/2))/(LN(2)/2)*BL112*BO112*VLOOKUP('Données projet'!$B$11,Paramètres!$A$1:$I$89,3,0)*0.475*44/12</f>
        <v>8.509886325658841E-12</v>
      </c>
      <c r="BS112" s="22">
        <f t="shared" si="63"/>
        <v>0.37145115745269558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1.7053025658242404E-13</v>
      </c>
      <c r="BZ112" s="13">
        <f>BY112*VLOOKUP('Données projet'!$B$12,Paramètres!$A$1:$I$89,3,0)*VLOOKUP('Données projet'!$B$12,Paramètres!$A$1:$I$89,5,0)</f>
        <v>1.3301360013429075E-13</v>
      </c>
      <c r="CA112" s="13">
        <f t="shared" si="93"/>
        <v>1.9329766731057041E-12</v>
      </c>
      <c r="CB112" s="20">
        <f t="shared" si="64"/>
        <v>3.5982663925596575E-12</v>
      </c>
      <c r="CC112" s="59">
        <f t="shared" si="65"/>
        <v>293.3333333333369</v>
      </c>
      <c r="CD112" s="59">
        <f ca="1">AVERAGE(OFFSET($CC$3,0,0,'Données projet'!$E$12+1,1))-AVERAGE(OFFSET($H$3,0,0,'Données projet'!$E$12+1,1))</f>
        <v>295.95249585728561</v>
      </c>
      <c r="CE112" s="59">
        <f t="shared" si="94"/>
        <v>306.85862495052709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0.30248724830019247</v>
      </c>
      <c r="CL112" s="21">
        <f>EXP(-LN(2)/25)*CL111+(1-EXP(-LN(2)/25))/(LN(2)/25)*Calculateur!CG112*Calculateur!CI112*VLOOKUP('Données projet'!$B$12,Paramètres!$A$1:$I$89,3,0)*0.475*44/12</f>
        <v>0.93650081584857059</v>
      </c>
      <c r="CM112" s="21">
        <f>EXP(-LN(2)/2)*CM111+(1-EXP(-LN(2)/2))/(LN(2)/2)*CG112*CJ112*VLOOKUP('Données projet'!$B$12,Paramètres!$A$1:$I$89,3,0)*0.475*44/12</f>
        <v>1.6812409250515173E-11</v>
      </c>
      <c r="CN112" s="22">
        <f t="shared" si="66"/>
        <v>1.2389880641655755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6.5</v>
      </c>
      <c r="CT112" s="12">
        <f>IF('Données projet'!$A$140&gt;35,CT111+CS112-DB111,IF(A112&lt;'Données projet'!$A$140,$CQ$205^A112,IF(A112='Données projet'!$A$140,'Données projet'!$B$140,CT111+CS112-DB111)))</f>
        <v>434.50000000000011</v>
      </c>
      <c r="CU112" s="17">
        <f>CT112*VLOOKUP('Données projet'!$B$13,Paramètres!$A$1:$I$89,3,0)*VLOOKUP('Données projet'!$B$13,Paramètres!$A$1:$I$89,5,0)</f>
        <v>413.47020000000015</v>
      </c>
      <c r="CV112" s="13">
        <f t="shared" si="95"/>
        <v>94.502255170477397</v>
      </c>
      <c r="CW112" s="20">
        <f t="shared" si="67"/>
        <v>884.7186927552483</v>
      </c>
      <c r="CX112" s="59">
        <f t="shared" si="68"/>
        <v>1178.0520260885817</v>
      </c>
      <c r="CY112" s="59">
        <f ca="1">AVERAGE(OFFSET($CX$3,0,0,'Données projet'!$E$13+1,1))-AVERAGE(OFFSET($H$3,0,0,'Données projet'!$E$13+1,1))</f>
        <v>461.10546083340631</v>
      </c>
      <c r="CZ112" s="59">
        <f t="shared" si="96"/>
        <v>233.41883071412587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0.44107242555246734</v>
      </c>
      <c r="DH112" s="21">
        <f>EXP(-LN(2)/2)*DH111+(1-EXP(-LN(2)/2))/(LN(2)/2)*DB112*DE112*VLOOKUP('Données projet'!$B$13,Paramètres!$A$1:$I$89,3,0)*0.475*44/12</f>
        <v>1.0104898390034338E-11</v>
      </c>
      <c r="DI112" s="22">
        <f t="shared" si="69"/>
        <v>0.44107242556257226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-4.1500243241898714E-13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296.376932094327</v>
      </c>
      <c r="DU112" s="59">
        <f t="shared" si="98"/>
        <v>350.93658329210882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0.56464286349369275</v>
      </c>
      <c r="EB112" s="21">
        <f>EXP(-LN(2)/25)*EB111+(1-EXP(-LN(2)/25))/(LN(2)/25)*Calculateur!DW112*Calculateur!DY112*VLOOKUP('Données projet'!$B$14,Paramètres!$A$1:$I$89,3,0)*0.475*44/12</f>
        <v>1.8990653748157567</v>
      </c>
      <c r="EC112" s="21">
        <f>EXP(-LN(2)/2)*EC111+(1-EXP(-LN(2)/2))/(LN(2)/2)*DW112*DZ112*VLOOKUP('Données projet'!$B$14,Paramètres!$A$1:$I$89,3,0)*0.475*44/12</f>
        <v>3.1525744760524401E-11</v>
      </c>
      <c r="ED112" s="22">
        <f t="shared" si="72"/>
        <v>2.4637082383409754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-5.1159076974727213E-13</v>
      </c>
      <c r="EK112" s="17">
        <f>EJ112*VLOOKUP('Données projet'!$B$15,Paramètres!$A$1:$I$89,3,0)*VLOOKUP('Données projet'!$B$15,Paramètres!$A$1:$I$89,5,0)</f>
        <v>-3.3519427233841269E-13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231.03244099494077</v>
      </c>
      <c r="EP112" s="59">
        <f t="shared" si="100"/>
        <v>280.29723026390741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0.45605769743721325</v>
      </c>
      <c r="EW112" s="21">
        <f>EXP(-LN(2)/25)*EW111+(1-EXP(-LN(2)/25))/(LN(2)/25)*Calculateur!ER112*Calculateur!ET112*VLOOKUP('Données projet'!$B$15,Paramètres!$A$1:$I$89,3,0)*0.475*44/12</f>
        <v>1.5338604950434946</v>
      </c>
      <c r="EX112" s="21">
        <f>EXP(-LN(2)/2)*EX111+(1-EXP(-LN(2)/2))/(LN(2)/2)*ER112*EU112*VLOOKUP('Données projet'!$B$15,Paramètres!$A$1:$I$89,3,0)*0.475*44/12</f>
        <v>2.5463101537346619E-11</v>
      </c>
      <c r="EY112" s="22">
        <f t="shared" si="75"/>
        <v>1.9899181925061711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323.91839999999968</v>
      </c>
      <c r="P113" s="13">
        <f t="shared" si="87"/>
        <v>76.168074587293034</v>
      </c>
      <c r="Q113" s="20">
        <f t="shared" si="107"/>
        <v>696.8172765728682</v>
      </c>
      <c r="R113" s="59">
        <f t="shared" si="55"/>
        <v>990.15060990620145</v>
      </c>
      <c r="S113" s="59">
        <f ca="1">AVERAGE(OFFSET($R$3,0,0,'Données projet'!$E$9+1,1))-AVERAGE(OFFSET($H$3,0,0,'Données projet'!$E$9+1,1))</f>
        <v>351.15781452544906</v>
      </c>
      <c r="T113" s="59">
        <f t="shared" si="88"/>
        <v>271.54361159160169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0.49395527011762835</v>
      </c>
      <c r="AA113" s="21">
        <f>EXP(-LN(2)/25)*AA112+(1-EXP(-LN(2)/25))/(LN(2)/25)*Calculateur!V113*Calculateur!X113*VLOOKUP('Données projet'!$B$9,Paramètres!$A$1:$I$89,3,0)*0.475*44/12</f>
        <v>1.2277829892664556</v>
      </c>
      <c r="AB113" s="21">
        <f>EXP(-LN(2)/2)*AB112+(1-EXP(-LN(2)/2))/(LN(2)/2)*V113*Y113*VLOOKUP('Données projet'!$B$9,Paramètres!$A$1:$I$89,3,0)*0.475*44/12</f>
        <v>1.9602645601577644E-11</v>
      </c>
      <c r="AC113" s="22">
        <f t="shared" si="57"/>
        <v>1.7217382594036865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441</v>
      </c>
      <c r="AG113" s="12">
        <f>VLOOKUP(A113,'Données projet'!$A$61:$I$81,9,0)</f>
        <v>6.5</v>
      </c>
      <c r="AH113" s="12">
        <f t="array" ref="AH113">INDEX(AG:AG,MIN(IF(ISNUMBER(AG113:AG309),ROW(AG113:AG309),"")))</f>
        <v>6.5</v>
      </c>
      <c r="AI113" s="13">
        <f>IF('Données projet'!$A$62&gt;35,AI112+AH113-AQ112,IF(A113&lt;'Données projet'!$A$62,$AF$205^A113,IF(A113='Données projet'!$A$62,'Données projet'!$B$62,AI112+AH113-AQ112)))</f>
        <v>441.00000000000011</v>
      </c>
      <c r="AJ113" s="13">
        <f>AI113*VLOOKUP('Données projet'!$B$10,Paramètres!$A$1:$I$89,3,0)*VLOOKUP('Données projet'!$B$10,Paramètres!$A$1:$I$89,5,0)</f>
        <v>378.3780000000001</v>
      </c>
      <c r="AK113" s="13">
        <f t="shared" si="89"/>
        <v>87.379060339798997</v>
      </c>
      <c r="AL113" s="20">
        <f t="shared" si="58"/>
        <v>811.19354675848342</v>
      </c>
      <c r="AM113" s="59">
        <f t="shared" si="59"/>
        <v>1104.5268800918168</v>
      </c>
      <c r="AN113" s="59">
        <f ca="1">AVERAGE(OFFSET($AM$3,0,0,'Données projet'!$E$10+1,1))-AVERAGE(OFFSET($H$3,0,0,'Données projet'!$E$10+1,1))</f>
        <v>405.59933429804329</v>
      </c>
      <c r="AO113" s="59">
        <f t="shared" si="90"/>
        <v>208.64922573363776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45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0.47677006180227549</v>
      </c>
      <c r="AW113" s="21">
        <f>EXP(-LN(2)/2)*AW112+(1-EXP(-LN(2)/2))/(LN(2)/2)*AQ113*AT113*VLOOKUP('Données projet'!$B$10,Paramètres!$A$1:$I$89,3,0)*0.475*44/12</f>
        <v>6.442431469076796E-12</v>
      </c>
      <c r="AX113" s="21">
        <f t="shared" si="60"/>
        <v>0.47677006180871795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305</v>
      </c>
      <c r="BE113" s="13">
        <f>BD113*VLOOKUP('Données projet'!$B$11,Paramètres!$A$1:$I$89,3,0)*VLOOKUP('Données projet'!$B$11,Paramètres!$A$1:$I$89,5,0)</f>
        <v>294.99599999999998</v>
      </c>
      <c r="BF113" s="13">
        <f t="shared" si="91"/>
        <v>70.126408118585388</v>
      </c>
      <c r="BG113" s="20">
        <f t="shared" si="61"/>
        <v>635.9215274732029</v>
      </c>
      <c r="BH113" s="59">
        <f t="shared" si="62"/>
        <v>929.25486080653627</v>
      </c>
      <c r="BI113" s="59">
        <f ca="1">AVERAGE(OFFSET($BH$3,0,0,'Données projet'!$E$11+1,1))-AVERAGE(OFFSET($H$3,0,0,'Données projet'!$E$11+1,1))</f>
        <v>293.19327646293601</v>
      </c>
      <c r="BJ113" s="59">
        <f t="shared" si="92"/>
        <v>200.0769581869605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0.36129380601010708</v>
      </c>
      <c r="BR113" s="21">
        <f>EXP(-LN(2)/2)*BR112+(1-EXP(-LN(2)/2))/(LN(2)/2)*BL113*BO113*VLOOKUP('Données projet'!$B$11,Paramètres!$A$1:$I$89,3,0)*0.475*44/12</f>
        <v>6.0173983280000391E-12</v>
      </c>
      <c r="BS113" s="22">
        <f t="shared" si="63"/>
        <v>0.36129380601612449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1.7053025658242404E-13</v>
      </c>
      <c r="BZ113" s="13">
        <f>BY113*VLOOKUP('Données projet'!$B$12,Paramètres!$A$1:$I$89,3,0)*VLOOKUP('Données projet'!$B$12,Paramètres!$A$1:$I$89,5,0)</f>
        <v>1.3301360013429075E-13</v>
      </c>
      <c r="CA113" s="13">
        <f t="shared" si="93"/>
        <v>1.9329766731057041E-12</v>
      </c>
      <c r="CB113" s="20">
        <f t="shared" si="64"/>
        <v>3.5982663925596575E-12</v>
      </c>
      <c r="CC113" s="59">
        <f t="shared" si="65"/>
        <v>293.3333333333369</v>
      </c>
      <c r="CD113" s="59">
        <f ca="1">AVERAGE(OFFSET($CC$3,0,0,'Données projet'!$E$12+1,1))-AVERAGE(OFFSET($H$3,0,0,'Données projet'!$E$12+1,1))</f>
        <v>295.95249585728561</v>
      </c>
      <c r="CE113" s="59">
        <f t="shared" si="94"/>
        <v>306.85862495052709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0.29655565786002941</v>
      </c>
      <c r="CL113" s="21">
        <f>EXP(-LN(2)/25)*CL112+(1-EXP(-LN(2)/25))/(LN(2)/25)*Calculateur!CG113*Calculateur!CI113*VLOOKUP('Données projet'!$B$12,Paramètres!$A$1:$I$89,3,0)*0.475*44/12</f>
        <v>0.91089215179075389</v>
      </c>
      <c r="CM113" s="21">
        <f>EXP(-LN(2)/2)*CM112+(1-EXP(-LN(2)/2))/(LN(2)/2)*CG113*CJ113*VLOOKUP('Données projet'!$B$12,Paramètres!$A$1:$I$89,3,0)*0.475*44/12</f>
        <v>1.188816858912272E-11</v>
      </c>
      <c r="CN113" s="22">
        <f t="shared" si="66"/>
        <v>1.2074478096626715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441</v>
      </c>
      <c r="CR113" s="12">
        <f>VLOOKUP(A113,'Données projet'!$A$139:$I$159,9,0)</f>
        <v>6.5</v>
      </c>
      <c r="CS113" s="12">
        <f t="array" ref="CS113">INDEX(CR:CR,MIN(IF(ISNUMBER(CR113:CR309),ROW(CR113:CR309),"")))</f>
        <v>6.5</v>
      </c>
      <c r="CT113" s="12">
        <f>IF('Données projet'!$A$140&gt;35,CT112+CS113-DB112,IF(A113&lt;'Données projet'!$A$140,$CQ$205^A113,IF(A113='Données projet'!$A$140,'Données projet'!$B$140,CT112+CS113-DB112)))</f>
        <v>441.00000000000011</v>
      </c>
      <c r="CU113" s="17">
        <f>CT113*VLOOKUP('Données projet'!$B$13,Paramètres!$A$1:$I$89,3,0)*VLOOKUP('Données projet'!$B$13,Paramètres!$A$1:$I$89,5,0)</f>
        <v>419.65560000000011</v>
      </c>
      <c r="CV113" s="13">
        <f t="shared" si="95"/>
        <v>95.750343321351295</v>
      </c>
      <c r="CW113" s="20">
        <f t="shared" si="67"/>
        <v>897.66535128468695</v>
      </c>
      <c r="CX113" s="59">
        <f t="shared" si="68"/>
        <v>1190.9986846180202</v>
      </c>
      <c r="CY113" s="59">
        <f ca="1">AVERAGE(OFFSET($CX$3,0,0,'Données projet'!$E$13+1,1))-AVERAGE(OFFSET($H$3,0,0,'Données projet'!$E$13+1,1))</f>
        <v>461.10546083340631</v>
      </c>
      <c r="CZ113" s="59">
        <f t="shared" si="96"/>
        <v>233.41883071412587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45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0.42901127688074436</v>
      </c>
      <c r="DH113" s="21">
        <f>EXP(-LN(2)/2)*DH112+(1-EXP(-LN(2)/2))/(LN(2)/2)*DB113*DE113*VLOOKUP('Données projet'!$B$13,Paramètres!$A$1:$I$89,3,0)*0.475*44/12</f>
        <v>7.1452421747943075E-12</v>
      </c>
      <c r="DI113" s="22">
        <f t="shared" si="69"/>
        <v>0.42901127688788959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-4.1500243241898714E-13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296.376932094327</v>
      </c>
      <c r="DU113" s="59">
        <f t="shared" si="98"/>
        <v>350.93658329210882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0.55357056133872162</v>
      </c>
      <c r="EB113" s="21">
        <f>EXP(-LN(2)/25)*EB112+(1-EXP(-LN(2)/25))/(LN(2)/25)*Calculateur!DW113*Calculateur!DY113*VLOOKUP('Données projet'!$B$14,Paramètres!$A$1:$I$89,3,0)*0.475*44/12</f>
        <v>1.8471353322739121</v>
      </c>
      <c r="EC113" s="21">
        <f>EXP(-LN(2)/2)*EC112+(1-EXP(-LN(2)/2))/(LN(2)/2)*DW113*DZ113*VLOOKUP('Données projet'!$B$14,Paramètres!$A$1:$I$89,3,0)*0.475*44/12</f>
        <v>2.2292067902123075E-11</v>
      </c>
      <c r="ED113" s="22">
        <f t="shared" si="72"/>
        <v>2.4007058936349259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-5.1159076974727213E-13</v>
      </c>
      <c r="EK113" s="17">
        <f>EJ113*VLOOKUP('Données projet'!$B$15,Paramètres!$A$1:$I$89,3,0)*VLOOKUP('Données projet'!$B$15,Paramètres!$A$1:$I$89,5,0)</f>
        <v>-3.3519427233841269E-13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231.03244099494077</v>
      </c>
      <c r="EP113" s="59">
        <f t="shared" si="100"/>
        <v>280.29723026390741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0.44711468415819816</v>
      </c>
      <c r="EW113" s="21">
        <f>EXP(-LN(2)/25)*EW112+(1-EXP(-LN(2)/25))/(LN(2)/25)*Calculateur!ER113*Calculateur!ET113*VLOOKUP('Données projet'!$B$15,Paramètres!$A$1:$I$89,3,0)*0.475*44/12</f>
        <v>1.4919169991443126</v>
      </c>
      <c r="EX113" s="21">
        <f>EXP(-LN(2)/2)*EX112+(1-EXP(-LN(2)/2))/(LN(2)/2)*ER113*EU113*VLOOKUP('Données projet'!$B$15,Paramètres!$A$1:$I$89,3,0)*0.475*44/12</f>
        <v>1.8005131767099397E-11</v>
      </c>
      <c r="EY113" s="22">
        <f t="shared" si="75"/>
        <v>1.9390316833205159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5.4</v>
      </c>
      <c r="N114" s="13">
        <f>IF('Données projet'!$A$36&gt;35,N113+M114-V113,IF(A114&lt;'Données projet'!$A$36,$K$205^A114,IF(A114='Données projet'!$A$36,'Données projet'!$B$36,N113+M114-V113)))</f>
        <v>312.39999999999964</v>
      </c>
      <c r="O114" s="13">
        <f>N114*VLOOKUP('Données projet'!$B$9,Paramètres!$A$1:$I$89,3,0)*VLOOKUP('Données projet'!$B$9,Paramètres!$A$1:$I$89,5,0)</f>
        <v>282.65951999999965</v>
      </c>
      <c r="P114" s="13">
        <f t="shared" si="87"/>
        <v>67.528732309967268</v>
      </c>
      <c r="Q114" s="20">
        <f t="shared" si="107"/>
        <v>609.91120610652558</v>
      </c>
      <c r="R114" s="59">
        <f t="shared" si="55"/>
        <v>903.24453943985895</v>
      </c>
      <c r="S114" s="59">
        <f ca="1">AVERAGE(OFFSET($R$3,0,0,'Données projet'!$E$9+1,1))-AVERAGE(OFFSET($H$3,0,0,'Données projet'!$E$9+1,1))</f>
        <v>351.15781452544906</v>
      </c>
      <c r="T114" s="59">
        <f t="shared" si="88"/>
        <v>271.54361159160169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0.48426910855358724</v>
      </c>
      <c r="AA114" s="21">
        <f>EXP(-LN(2)/25)*AA113+(1-EXP(-LN(2)/25))/(LN(2)/25)*Calculateur!V114*Calculateur!X114*VLOOKUP('Données projet'!$B$9,Paramètres!$A$1:$I$89,3,0)*0.475*44/12</f>
        <v>1.1942091988586632</v>
      </c>
      <c r="AB114" s="21">
        <f>EXP(-LN(2)/2)*AB113+(1-EXP(-LN(2)/2))/(LN(2)/2)*V114*Y114*VLOOKUP('Données projet'!$B$9,Paramètres!$A$1:$I$89,3,0)*0.475*44/12</f>
        <v>1.3861163634072202E-11</v>
      </c>
      <c r="AC114" s="22">
        <f t="shared" si="57"/>
        <v>1.6784783074261116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5.8</v>
      </c>
      <c r="AI114" s="13">
        <f>IF('Données projet'!$A$62&gt;35,AI113+AH114-AQ113,IF(A114&lt;'Données projet'!$A$62,$AF$205^A114,IF(A114='Données projet'!$A$62,'Données projet'!$B$62,AI113+AH114-AQ113)))</f>
        <v>401.80000000000013</v>
      </c>
      <c r="AJ114" s="13">
        <f>AI114*VLOOKUP('Données projet'!$B$10,Paramètres!$A$1:$I$89,3,0)*VLOOKUP('Données projet'!$B$10,Paramètres!$A$1:$I$89,5,0)</f>
        <v>344.74440000000016</v>
      </c>
      <c r="AK114" s="13">
        <f t="shared" si="89"/>
        <v>80.47937753557926</v>
      </c>
      <c r="AL114" s="20">
        <f t="shared" si="58"/>
        <v>740.59807920780077</v>
      </c>
      <c r="AM114" s="59">
        <f t="shared" si="59"/>
        <v>1033.931412541134</v>
      </c>
      <c r="AN114" s="59">
        <f ca="1">AVERAGE(OFFSET($AM$3,0,0,'Données projet'!$E$10+1,1))-AVERAGE(OFFSET($H$3,0,0,'Données projet'!$E$10+1,1))</f>
        <v>405.59933429804329</v>
      </c>
      <c r="AO114" s="59">
        <f t="shared" si="90"/>
        <v>208.64922573363776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0.46373275939004438</v>
      </c>
      <c r="AW114" s="21">
        <f>EXP(-LN(2)/2)*AW113+(1-EXP(-LN(2)/2))/(LN(2)/2)*AQ114*AT114*VLOOKUP('Données projet'!$B$10,Paramètres!$A$1:$I$89,3,0)*0.475*44/12</f>
        <v>4.5554869791138138E-12</v>
      </c>
      <c r="AX114" s="21">
        <f t="shared" si="60"/>
        <v>0.46373275939459985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269.7</v>
      </c>
      <c r="BE114" s="13">
        <f>BD114*VLOOKUP('Données projet'!$B$11,Paramètres!$A$1:$I$89,3,0)*VLOOKUP('Données projet'!$B$11,Paramètres!$A$1:$I$89,5,0)</f>
        <v>260.85383999999999</v>
      </c>
      <c r="BF114" s="13">
        <f t="shared" si="91"/>
        <v>62.904347395903763</v>
      </c>
      <c r="BG114" s="20">
        <f t="shared" si="61"/>
        <v>563.87884304786564</v>
      </c>
      <c r="BH114" s="59">
        <f t="shared" si="62"/>
        <v>857.21217638119901</v>
      </c>
      <c r="BI114" s="59">
        <f ca="1">AVERAGE(OFFSET($BH$3,0,0,'Données projet'!$E$11+1,1))-AVERAGE(OFFSET($H$3,0,0,'Données projet'!$E$11+1,1))</f>
        <v>293.19327646293601</v>
      </c>
      <c r="BJ114" s="59">
        <f t="shared" si="92"/>
        <v>200.0769581869605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0.35141420788514521</v>
      </c>
      <c r="BR114" s="21">
        <f>EXP(-LN(2)/2)*BR113+(1-EXP(-LN(2)/2))/(LN(2)/2)*BL114*BO114*VLOOKUP('Données projet'!$B$11,Paramètres!$A$1:$I$89,3,0)*0.475*44/12</f>
        <v>4.2549431628294205E-12</v>
      </c>
      <c r="BS114" s="22">
        <f t="shared" si="63"/>
        <v>0.35141420788940014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1.7053025658242404E-13</v>
      </c>
      <c r="BZ114" s="13">
        <f>BY114*VLOOKUP('Données projet'!$B$12,Paramètres!$A$1:$I$89,3,0)*VLOOKUP('Données projet'!$B$12,Paramètres!$A$1:$I$89,5,0)</f>
        <v>1.3301360013429075E-13</v>
      </c>
      <c r="CA114" s="13">
        <f t="shared" si="93"/>
        <v>1.9329766731057041E-12</v>
      </c>
      <c r="CB114" s="20">
        <f t="shared" si="64"/>
        <v>3.5982663925596575E-12</v>
      </c>
      <c r="CC114" s="59">
        <f t="shared" si="65"/>
        <v>293.3333333333369</v>
      </c>
      <c r="CD114" s="59">
        <f ca="1">AVERAGE(OFFSET($CC$3,0,0,'Données projet'!$E$12+1,1))-AVERAGE(OFFSET($H$3,0,0,'Données projet'!$E$12+1,1))</f>
        <v>295.95249585728561</v>
      </c>
      <c r="CE114" s="59">
        <f t="shared" si="94"/>
        <v>306.85862495052709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0.29074038229048499</v>
      </c>
      <c r="CL114" s="21">
        <f>EXP(-LN(2)/25)*CL113+(1-EXP(-LN(2)/25))/(LN(2)/25)*Calculateur!CG114*Calculateur!CI114*VLOOKUP('Données projet'!$B$12,Paramètres!$A$1:$I$89,3,0)*0.475*44/12</f>
        <v>0.88598375799829931</v>
      </c>
      <c r="CM114" s="21">
        <f>EXP(-LN(2)/2)*CM113+(1-EXP(-LN(2)/2))/(LN(2)/2)*CG114*CJ114*VLOOKUP('Données projet'!$B$12,Paramètres!$A$1:$I$89,3,0)*0.475*44/12</f>
        <v>8.4062046252575865E-12</v>
      </c>
      <c r="CN114" s="22">
        <f t="shared" si="66"/>
        <v>1.1767241402971904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5.8</v>
      </c>
      <c r="CT114" s="12">
        <f>IF('Données projet'!$A$140&gt;35,CT113+CS114-DB113,IF(A114&lt;'Données projet'!$A$140,$CQ$205^A114,IF(A114='Données projet'!$A$140,'Données projet'!$B$140,CT113+CS114-DB113)))</f>
        <v>401.80000000000013</v>
      </c>
      <c r="CU114" s="17">
        <f>CT114*VLOOKUP('Données projet'!$B$13,Paramètres!$A$1:$I$89,3,0)*VLOOKUP('Données projet'!$B$13,Paramètres!$A$1:$I$89,5,0)</f>
        <v>382.35288000000014</v>
      </c>
      <c r="CV114" s="13">
        <f t="shared" si="95"/>
        <v>88.189641767187894</v>
      </c>
      <c r="CW114" s="20">
        <f t="shared" si="67"/>
        <v>819.52822541118576</v>
      </c>
      <c r="CX114" s="59">
        <f t="shared" si="68"/>
        <v>1112.861558744519</v>
      </c>
      <c r="CY114" s="59">
        <f ca="1">AVERAGE(OFFSET($CX$3,0,0,'Données projet'!$E$13+1,1))-AVERAGE(OFFSET($H$3,0,0,'Données projet'!$E$13+1,1))</f>
        <v>461.10546083340631</v>
      </c>
      <c r="CZ114" s="59">
        <f t="shared" si="96"/>
        <v>233.41883071412587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0.4172799409537179</v>
      </c>
      <c r="DH114" s="21">
        <f>EXP(-LN(2)/2)*DH113+(1-EXP(-LN(2)/2))/(LN(2)/2)*DB114*DE114*VLOOKUP('Données projet'!$B$13,Paramètres!$A$1:$I$89,3,0)*0.475*44/12</f>
        <v>5.0524491950171697E-12</v>
      </c>
      <c r="DI114" s="22">
        <f t="shared" si="69"/>
        <v>0.41727994095877036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-4.1500243241898714E-13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296.376932094327</v>
      </c>
      <c r="DU114" s="59">
        <f t="shared" si="98"/>
        <v>350.93658329210882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0.54271538027557209</v>
      </c>
      <c r="EB114" s="21">
        <f>EXP(-LN(2)/25)*EB113+(1-EXP(-LN(2)/25))/(LN(2)/25)*Calculateur!DW114*Calculateur!DY114*VLOOKUP('Données projet'!$B$14,Paramètres!$A$1:$I$89,3,0)*0.475*44/12</f>
        <v>1.7966253194762565</v>
      </c>
      <c r="EC114" s="21">
        <f>EXP(-LN(2)/2)*EC113+(1-EXP(-LN(2)/2))/(LN(2)/2)*DW114*DZ114*VLOOKUP('Données projet'!$B$14,Paramètres!$A$1:$I$89,3,0)*0.475*44/12</f>
        <v>1.57628723802622E-11</v>
      </c>
      <c r="ED114" s="22">
        <f t="shared" si="72"/>
        <v>2.3393406997675914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-5.1159076974727213E-13</v>
      </c>
      <c r="EK114" s="17">
        <f>EJ114*VLOOKUP('Données projet'!$B$15,Paramètres!$A$1:$I$89,3,0)*VLOOKUP('Données projet'!$B$15,Paramètres!$A$1:$I$89,5,0)</f>
        <v>-3.3519427233841269E-13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231.03244099494077</v>
      </c>
      <c r="EP114" s="59">
        <f t="shared" si="100"/>
        <v>280.29723026390741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0.43834703791488505</v>
      </c>
      <c r="EW114" s="21">
        <f>EXP(-LN(2)/25)*EW113+(1-EXP(-LN(2)/25))/(LN(2)/25)*Calculateur!ER114*Calculateur!ET114*VLOOKUP('Données projet'!$B$15,Paramètres!$A$1:$I$89,3,0)*0.475*44/12</f>
        <v>1.4511204503462063</v>
      </c>
      <c r="EX114" s="21">
        <f>EXP(-LN(2)/2)*EX113+(1-EXP(-LN(2)/2))/(LN(2)/2)*ER114*EU114*VLOOKUP('Données projet'!$B$15,Paramètres!$A$1:$I$89,3,0)*0.475*44/12</f>
        <v>1.2731550768673309E-11</v>
      </c>
      <c r="EY114" s="22">
        <f t="shared" si="75"/>
        <v>1.8894674882738229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5.4</v>
      </c>
      <c r="N115" s="13">
        <f>IF('Données projet'!$A$36&gt;35,N114+M115-V114,IF(A115&lt;'Données projet'!$A$36,$K$205^A115,IF(A115='Données projet'!$A$36,'Données projet'!$B$36,N114+M115-V114)))</f>
        <v>317.79999999999961</v>
      </c>
      <c r="O115" s="13">
        <f>N115*VLOOKUP('Données projet'!$B$9,Paramètres!$A$1:$I$89,3,0)*VLOOKUP('Données projet'!$B$9,Paramètres!$A$1:$I$89,5,0)</f>
        <v>287.54543999999964</v>
      </c>
      <c r="P115" s="13">
        <f t="shared" si="87"/>
        <v>68.559101107635655</v>
      </c>
      <c r="Q115" s="20">
        <f t="shared" si="107"/>
        <v>620.21540909579812</v>
      </c>
      <c r="R115" s="59">
        <f t="shared" si="55"/>
        <v>913.54874242913138</v>
      </c>
      <c r="S115" s="59">
        <f ca="1">AVERAGE(OFFSET($R$3,0,0,'Données projet'!$E$9+1,1))-AVERAGE(OFFSET($H$3,0,0,'Données projet'!$E$9+1,1))</f>
        <v>351.15781452544906</v>
      </c>
      <c r="T115" s="59">
        <f t="shared" si="88"/>
        <v>271.54361159160169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0.47477288670984175</v>
      </c>
      <c r="AA115" s="21">
        <f>EXP(-LN(2)/25)*AA114+(1-EXP(-LN(2)/25))/(LN(2)/25)*Calculateur!V115*Calculateur!X115*VLOOKUP('Données projet'!$B$9,Paramètres!$A$1:$I$89,3,0)*0.475*44/12</f>
        <v>1.1615534855151406</v>
      </c>
      <c r="AB115" s="21">
        <f>EXP(-LN(2)/2)*AB114+(1-EXP(-LN(2)/2))/(LN(2)/2)*V115*Y115*VLOOKUP('Données projet'!$B$9,Paramètres!$A$1:$I$89,3,0)*0.475*44/12</f>
        <v>9.8013228007888222E-12</v>
      </c>
      <c r="AC115" s="22">
        <f t="shared" si="57"/>
        <v>1.6363263722347836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5.8</v>
      </c>
      <c r="AI115" s="13">
        <f>IF('Données projet'!$A$62&gt;35,AI114+AH115-AQ114,IF(A115&lt;'Données projet'!$A$62,$AF$205^A115,IF(A115='Données projet'!$A$62,'Données projet'!$B$62,AI114+AH115-AQ114)))</f>
        <v>407.60000000000014</v>
      </c>
      <c r="AJ115" s="13">
        <f>AI115*VLOOKUP('Données projet'!$B$10,Paramètres!$A$1:$I$89,3,0)*VLOOKUP('Données projet'!$B$10,Paramètres!$A$1:$I$89,5,0)</f>
        <v>349.72080000000017</v>
      </c>
      <c r="AK115" s="13">
        <f t="shared" si="89"/>
        <v>81.505018388531823</v>
      </c>
      <c r="AL115" s="20">
        <f t="shared" si="58"/>
        <v>751.0516336933598</v>
      </c>
      <c r="AM115" s="59">
        <f t="shared" si="59"/>
        <v>1044.3849670266932</v>
      </c>
      <c r="AN115" s="59">
        <f ca="1">AVERAGE(OFFSET($AM$3,0,0,'Données projet'!$E$10+1,1))-AVERAGE(OFFSET($H$3,0,0,'Données projet'!$E$10+1,1))</f>
        <v>405.59933429804329</v>
      </c>
      <c r="AO115" s="59">
        <f t="shared" si="90"/>
        <v>208.64922573363776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0.45105196269787767</v>
      </c>
      <c r="AW115" s="21">
        <f>EXP(-LN(2)/2)*AW114+(1-EXP(-LN(2)/2))/(LN(2)/2)*AQ115*AT115*VLOOKUP('Données projet'!$B$10,Paramètres!$A$1:$I$89,3,0)*0.475*44/12</f>
        <v>3.221215734538398E-12</v>
      </c>
      <c r="AX115" s="21">
        <f t="shared" si="60"/>
        <v>0.45105196270109887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273.39999999999998</v>
      </c>
      <c r="BE115" s="13">
        <f>BD115*VLOOKUP('Données projet'!$B$11,Paramètres!$A$1:$I$89,3,0)*VLOOKUP('Données projet'!$B$11,Paramètres!$A$1:$I$89,5,0)</f>
        <v>264.43248</v>
      </c>
      <c r="BF115" s="13">
        <f t="shared" si="91"/>
        <v>63.666272015882349</v>
      </c>
      <c r="BG115" s="20">
        <f t="shared" si="61"/>
        <v>571.43865976099494</v>
      </c>
      <c r="BH115" s="59">
        <f t="shared" si="62"/>
        <v>864.77199309432831</v>
      </c>
      <c r="BI115" s="59">
        <f ca="1">AVERAGE(OFFSET($BH$3,0,0,'Données projet'!$E$11+1,1))-AVERAGE(OFFSET($H$3,0,0,'Données projet'!$E$11+1,1))</f>
        <v>293.19327646293601</v>
      </c>
      <c r="BJ115" s="59">
        <f t="shared" si="92"/>
        <v>200.0769581869605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0.34180476789045589</v>
      </c>
      <c r="BR115" s="21">
        <f>EXP(-LN(2)/2)*BR114+(1-EXP(-LN(2)/2))/(LN(2)/2)*BL115*BO115*VLOOKUP('Données projet'!$B$11,Paramètres!$A$1:$I$89,3,0)*0.475*44/12</f>
        <v>3.0086991640000196E-12</v>
      </c>
      <c r="BS115" s="22">
        <f t="shared" si="63"/>
        <v>0.34180476789346459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1.7053025658242404E-13</v>
      </c>
      <c r="BZ115" s="13">
        <f>BY115*VLOOKUP('Données projet'!$B$12,Paramètres!$A$1:$I$89,3,0)*VLOOKUP('Données projet'!$B$12,Paramètres!$A$1:$I$89,5,0)</f>
        <v>1.3301360013429075E-13</v>
      </c>
      <c r="CA115" s="13">
        <f t="shared" si="93"/>
        <v>1.9329766731057041E-12</v>
      </c>
      <c r="CB115" s="20">
        <f t="shared" si="64"/>
        <v>3.5982663925596575E-12</v>
      </c>
      <c r="CC115" s="59">
        <f t="shared" si="65"/>
        <v>293.3333333333369</v>
      </c>
      <c r="CD115" s="59">
        <f ca="1">AVERAGE(OFFSET($CC$3,0,0,'Données projet'!$E$12+1,1))-AVERAGE(OFFSET($H$3,0,0,'Données projet'!$E$12+1,1))</f>
        <v>295.95249585728561</v>
      </c>
      <c r="CE115" s="59">
        <f t="shared" si="94"/>
        <v>306.85862495052709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0.28503914072789149</v>
      </c>
      <c r="CL115" s="21">
        <f>EXP(-LN(2)/25)*CL114+(1-EXP(-LN(2)/25))/(LN(2)/25)*Calculateur!CG115*Calculateur!CI115*VLOOKUP('Données projet'!$B$12,Paramètres!$A$1:$I$89,3,0)*0.475*44/12</f>
        <v>0.86175648554397488</v>
      </c>
      <c r="CM115" s="21">
        <f>EXP(-LN(2)/2)*CM114+(1-EXP(-LN(2)/2))/(LN(2)/2)*CG115*CJ115*VLOOKUP('Données projet'!$B$12,Paramètres!$A$1:$I$89,3,0)*0.475*44/12</f>
        <v>5.9440842945613601E-12</v>
      </c>
      <c r="CN115" s="22">
        <f t="shared" si="66"/>
        <v>1.1467956262778105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5.8</v>
      </c>
      <c r="CT115" s="12">
        <f>IF('Données projet'!$A$140&gt;35,CT114+CS115-DB114,IF(A115&lt;'Données projet'!$A$140,$CQ$205^A115,IF(A115='Données projet'!$A$140,'Données projet'!$B$140,CT114+CS115-DB114)))</f>
        <v>407.60000000000014</v>
      </c>
      <c r="CU115" s="17">
        <f>CT115*VLOOKUP('Données projet'!$B$13,Paramètres!$A$1:$I$89,3,0)*VLOOKUP('Données projet'!$B$13,Paramètres!$A$1:$I$89,5,0)</f>
        <v>387.87216000000012</v>
      </c>
      <c r="CV115" s="13">
        <f t="shared" si="95"/>
        <v>89.313543345125566</v>
      </c>
      <c r="CW115" s="20">
        <f t="shared" si="67"/>
        <v>831.09843332609398</v>
      </c>
      <c r="CX115" s="59">
        <f t="shared" si="68"/>
        <v>1124.4317666594272</v>
      </c>
      <c r="CY115" s="59">
        <f ca="1">AVERAGE(OFFSET($CX$3,0,0,'Données projet'!$E$13+1,1))-AVERAGE(OFFSET($H$3,0,0,'Données projet'!$E$13+1,1))</f>
        <v>461.10546083340631</v>
      </c>
      <c r="CZ115" s="59">
        <f t="shared" si="96"/>
        <v>233.41883071412587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0.40586939902454011</v>
      </c>
      <c r="DH115" s="21">
        <f>EXP(-LN(2)/2)*DH114+(1-EXP(-LN(2)/2))/(LN(2)/2)*DB115*DE115*VLOOKUP('Données projet'!$B$13,Paramètres!$A$1:$I$89,3,0)*0.475*44/12</f>
        <v>3.5726210873971541E-12</v>
      </c>
      <c r="DI115" s="22">
        <f t="shared" si="69"/>
        <v>0.40586939902811275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-4.1500243241898714E-13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296.376932094327</v>
      </c>
      <c r="DU115" s="59">
        <f t="shared" si="98"/>
        <v>350.93658329210882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0.53207306269206422</v>
      </c>
      <c r="EB115" s="21">
        <f>EXP(-LN(2)/25)*EB114+(1-EXP(-LN(2)/25))/(LN(2)/25)*Calculateur!DW115*Calculateur!DY115*VLOOKUP('Données projet'!$B$14,Paramètres!$A$1:$I$89,3,0)*0.475*44/12</f>
        <v>1.7474965056347589</v>
      </c>
      <c r="EC115" s="21">
        <f>EXP(-LN(2)/2)*EC114+(1-EXP(-LN(2)/2))/(LN(2)/2)*DW115*DZ115*VLOOKUP('Données projet'!$B$14,Paramètres!$A$1:$I$89,3,0)*0.475*44/12</f>
        <v>1.1146033951061537E-11</v>
      </c>
      <c r="ED115" s="22">
        <f t="shared" si="72"/>
        <v>2.2795695683379695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-5.1159076974727213E-13</v>
      </c>
      <c r="EK115" s="17">
        <f>EJ115*VLOOKUP('Données projet'!$B$15,Paramètres!$A$1:$I$89,3,0)*VLOOKUP('Données projet'!$B$15,Paramètres!$A$1:$I$89,5,0)</f>
        <v>-3.3519427233841269E-13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231.03244099494077</v>
      </c>
      <c r="EP115" s="59">
        <f t="shared" si="100"/>
        <v>280.29723026390741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0.42975131986666715</v>
      </c>
      <c r="EW115" s="21">
        <f>EXP(-LN(2)/25)*EW114+(1-EXP(-LN(2)/25))/(LN(2)/25)*Calculateur!ER115*Calculateur!ET115*VLOOKUP('Données projet'!$B$15,Paramètres!$A$1:$I$89,3,0)*0.475*44/12</f>
        <v>1.4114394853203813</v>
      </c>
      <c r="EX115" s="21">
        <f>EXP(-LN(2)/2)*EX114+(1-EXP(-LN(2)/2))/(LN(2)/2)*ER115*EU115*VLOOKUP('Données projet'!$B$15,Paramètres!$A$1:$I$89,3,0)*0.475*44/12</f>
        <v>9.0025658835496985E-12</v>
      </c>
      <c r="EY115" s="22">
        <f t="shared" si="75"/>
        <v>1.8411908051960511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5.4</v>
      </c>
      <c r="N116" s="13">
        <f>IF('Données projet'!$A$36&gt;35,N115+M116-V115,IF(A116&lt;'Données projet'!$A$36,$K$205^A116,IF(A116='Données projet'!$A$36,'Données projet'!$B$36,N115+M116-V115)))</f>
        <v>323.19999999999959</v>
      </c>
      <c r="O116" s="13">
        <f>N116*VLOOKUP('Données projet'!$B$9,Paramètres!$A$1:$I$89,3,0)*VLOOKUP('Données projet'!$B$9,Paramètres!$A$1:$I$89,5,0)</f>
        <v>292.43135999999964</v>
      </c>
      <c r="P116" s="13">
        <f t="shared" si="87"/>
        <v>69.587433903176873</v>
      </c>
      <c r="Q116" s="20">
        <f t="shared" si="107"/>
        <v>630.51606604803237</v>
      </c>
      <c r="R116" s="59">
        <f t="shared" si="55"/>
        <v>923.84939938136563</v>
      </c>
      <c r="S116" s="59">
        <f ca="1">AVERAGE(OFFSET($R$3,0,0,'Données projet'!$E$9+1,1))-AVERAGE(OFFSET($H$3,0,0,'Données projet'!$E$9+1,1))</f>
        <v>351.15781452544906</v>
      </c>
      <c r="T116" s="59">
        <f t="shared" si="88"/>
        <v>271.54361159160169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0.46546287998432873</v>
      </c>
      <c r="AA116" s="21">
        <f>EXP(-LN(2)/25)*AA115+(1-EXP(-LN(2)/25))/(LN(2)/25)*Calculateur!V116*Calculateur!X116*VLOOKUP('Données projet'!$B$9,Paramètres!$A$1:$I$89,3,0)*0.475*44/12</f>
        <v>1.1297907443702859</v>
      </c>
      <c r="AB116" s="21">
        <f>EXP(-LN(2)/2)*AB115+(1-EXP(-LN(2)/2))/(LN(2)/2)*V116*Y116*VLOOKUP('Données projet'!$B$9,Paramètres!$A$1:$I$89,3,0)*0.475*44/12</f>
        <v>6.9305818170361009E-12</v>
      </c>
      <c r="AC116" s="22">
        <f t="shared" si="57"/>
        <v>1.5952536243615454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5.8</v>
      </c>
      <c r="AI116" s="13">
        <f>IF('Données projet'!$A$62&gt;35,AI115+AH116-AQ115,IF(A116&lt;'Données projet'!$A$62,$AF$205^A116,IF(A116='Données projet'!$A$62,'Données projet'!$B$62,AI115+AH116-AQ115)))</f>
        <v>413.40000000000015</v>
      </c>
      <c r="AJ116" s="13">
        <f>AI116*VLOOKUP('Données projet'!$B$10,Paramètres!$A$1:$I$89,3,0)*VLOOKUP('Données projet'!$B$10,Paramètres!$A$1:$I$89,5,0)</f>
        <v>354.69720000000018</v>
      </c>
      <c r="AK116" s="13">
        <f t="shared" si="89"/>
        <v>82.52896178758094</v>
      </c>
      <c r="AL116" s="20">
        <f t="shared" si="58"/>
        <v>761.50223178003716</v>
      </c>
      <c r="AM116" s="59">
        <f t="shared" si="59"/>
        <v>1054.8355651133704</v>
      </c>
      <c r="AN116" s="59">
        <f ca="1">AVERAGE(OFFSET($AM$3,0,0,'Données projet'!$E$10+1,1))-AVERAGE(OFFSET($H$3,0,0,'Données projet'!$E$10+1,1))</f>
        <v>405.59933429804329</v>
      </c>
      <c r="AO116" s="59">
        <f t="shared" si="90"/>
        <v>208.64922573363776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0.43871792305811236</v>
      </c>
      <c r="AW116" s="21">
        <f>EXP(-LN(2)/2)*AW115+(1-EXP(-LN(2)/2))/(LN(2)/2)*AQ116*AT116*VLOOKUP('Données projet'!$B$10,Paramètres!$A$1:$I$89,3,0)*0.475*44/12</f>
        <v>2.2777434895569069E-12</v>
      </c>
      <c r="AX116" s="21">
        <f t="shared" si="60"/>
        <v>0.43871792306039009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277.09999999999997</v>
      </c>
      <c r="BE116" s="13">
        <f>BD116*VLOOKUP('Données projet'!$B$11,Paramètres!$A$1:$I$89,3,0)*VLOOKUP('Données projet'!$B$11,Paramètres!$A$1:$I$89,5,0)</f>
        <v>268.01111999999995</v>
      </c>
      <c r="BF116" s="13">
        <f t="shared" si="91"/>
        <v>64.426997301716909</v>
      </c>
      <c r="BG116" s="20">
        <f t="shared" si="61"/>
        <v>578.99638763382347</v>
      </c>
      <c r="BH116" s="59">
        <f t="shared" si="62"/>
        <v>872.32972096715685</v>
      </c>
      <c r="BI116" s="59">
        <f ca="1">AVERAGE(OFFSET($BH$3,0,0,'Données projet'!$E$11+1,1))-AVERAGE(OFFSET($H$3,0,0,'Données projet'!$E$11+1,1))</f>
        <v>293.19327646293601</v>
      </c>
      <c r="BJ116" s="59">
        <f t="shared" si="92"/>
        <v>200.0769581869605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0.33245809853775982</v>
      </c>
      <c r="BR116" s="21">
        <f>EXP(-LN(2)/2)*BR115+(1-EXP(-LN(2)/2))/(LN(2)/2)*BL116*BO116*VLOOKUP('Données projet'!$B$11,Paramètres!$A$1:$I$89,3,0)*0.475*44/12</f>
        <v>2.1274715814147102E-12</v>
      </c>
      <c r="BS116" s="22">
        <f t="shared" si="63"/>
        <v>0.33245809853988728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1.7053025658242404E-13</v>
      </c>
      <c r="BZ116" s="13">
        <f>BY116*VLOOKUP('Données projet'!$B$12,Paramètres!$A$1:$I$89,3,0)*VLOOKUP('Données projet'!$B$12,Paramètres!$A$1:$I$89,5,0)</f>
        <v>1.3301360013429075E-13</v>
      </c>
      <c r="CA116" s="13">
        <f t="shared" si="93"/>
        <v>1.9329766731057041E-12</v>
      </c>
      <c r="CB116" s="20">
        <f t="shared" si="64"/>
        <v>3.5982663925596575E-12</v>
      </c>
      <c r="CC116" s="59">
        <f t="shared" si="65"/>
        <v>293.3333333333369</v>
      </c>
      <c r="CD116" s="59">
        <f ca="1">AVERAGE(OFFSET($CC$3,0,0,'Données projet'!$E$12+1,1))-AVERAGE(OFFSET($H$3,0,0,'Données projet'!$E$12+1,1))</f>
        <v>295.95249585728561</v>
      </c>
      <c r="CE116" s="59">
        <f t="shared" si="94"/>
        <v>306.85862495052709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0.27944969703492645</v>
      </c>
      <c r="CL116" s="21">
        <f>EXP(-LN(2)/25)*CL115+(1-EXP(-LN(2)/25))/(LN(2)/25)*Calculateur!CG116*Calculateur!CI116*VLOOKUP('Données projet'!$B$12,Paramètres!$A$1:$I$89,3,0)*0.475*44/12</f>
        <v>0.8381917091289709</v>
      </c>
      <c r="CM116" s="21">
        <f>EXP(-LN(2)/2)*CM115+(1-EXP(-LN(2)/2))/(LN(2)/2)*CG116*CJ116*VLOOKUP('Données projet'!$B$12,Paramètres!$A$1:$I$89,3,0)*0.475*44/12</f>
        <v>4.2031023126287932E-12</v>
      </c>
      <c r="CN116" s="22">
        <f t="shared" si="66"/>
        <v>1.1176414061681004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5.8</v>
      </c>
      <c r="CT116" s="12">
        <f>IF('Données projet'!$A$140&gt;35,CT115+CS116-DB115,IF(A116&lt;'Données projet'!$A$140,$CQ$205^A116,IF(A116='Données projet'!$A$140,'Données projet'!$B$140,CT115+CS116-DB115)))</f>
        <v>413.40000000000015</v>
      </c>
      <c r="CU116" s="17">
        <f>CT116*VLOOKUP('Données projet'!$B$13,Paramètres!$A$1:$I$89,3,0)*VLOOKUP('Données projet'!$B$13,Paramètres!$A$1:$I$89,5,0)</f>
        <v>393.39144000000016</v>
      </c>
      <c r="CV116" s="13">
        <f t="shared" si="95"/>
        <v>90.435584845907428</v>
      </c>
      <c r="CW116" s="20">
        <f t="shared" si="67"/>
        <v>842.66540160662237</v>
      </c>
      <c r="CX116" s="59">
        <f t="shared" si="68"/>
        <v>1135.9987349399557</v>
      </c>
      <c r="CY116" s="59">
        <f ca="1">AVERAGE(OFFSET($CX$3,0,0,'Données projet'!$E$13+1,1))-AVERAGE(OFFSET($H$3,0,0,'Données projet'!$E$13+1,1))</f>
        <v>461.10546083340631</v>
      </c>
      <c r="CZ116" s="59">
        <f t="shared" si="96"/>
        <v>233.41883071412587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0.39477087896447</v>
      </c>
      <c r="DH116" s="21">
        <f>EXP(-LN(2)/2)*DH115+(1-EXP(-LN(2)/2))/(LN(2)/2)*DB116*DE116*VLOOKUP('Données projet'!$B$13,Paramètres!$A$1:$I$89,3,0)*0.475*44/12</f>
        <v>2.5262245975085853E-12</v>
      </c>
      <c r="DI116" s="22">
        <f t="shared" si="69"/>
        <v>0.3947708789669962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-4.1500243241898714E-13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296.376932094327</v>
      </c>
      <c r="DU116" s="59">
        <f t="shared" si="98"/>
        <v>350.93658329210882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0.52163943446519612</v>
      </c>
      <c r="EB116" s="21">
        <f>EXP(-LN(2)/25)*EB115+(1-EXP(-LN(2)/25))/(LN(2)/25)*Calculateur!DW116*Calculateur!DY116*VLOOKUP('Données projet'!$B$14,Paramètres!$A$1:$I$89,3,0)*0.475*44/12</f>
        <v>1.6997111217913292</v>
      </c>
      <c r="EC116" s="21">
        <f>EXP(-LN(2)/2)*EC115+(1-EXP(-LN(2)/2))/(LN(2)/2)*DW116*DZ116*VLOOKUP('Données projet'!$B$14,Paramètres!$A$1:$I$89,3,0)*0.475*44/12</f>
        <v>7.8814361901311002E-12</v>
      </c>
      <c r="ED116" s="22">
        <f t="shared" si="72"/>
        <v>2.2213505562644067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-5.1159076974727213E-13</v>
      </c>
      <c r="EK116" s="17">
        <f>EJ116*VLOOKUP('Données projet'!$B$15,Paramètres!$A$1:$I$89,3,0)*VLOOKUP('Données projet'!$B$15,Paramètres!$A$1:$I$89,5,0)</f>
        <v>-3.3519427233841269E-13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231.03244099494077</v>
      </c>
      <c r="EP116" s="59">
        <f t="shared" si="100"/>
        <v>280.29723026390741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0.42132415860650446</v>
      </c>
      <c r="EW116" s="21">
        <f>EXP(-LN(2)/25)*EW115+(1-EXP(-LN(2)/25))/(LN(2)/25)*Calculateur!ER116*Calculateur!ET116*VLOOKUP('Données projet'!$B$15,Paramètres!$A$1:$I$89,3,0)*0.475*44/12</f>
        <v>1.3728435983699188</v>
      </c>
      <c r="EX116" s="21">
        <f>EXP(-LN(2)/2)*EX115+(1-EXP(-LN(2)/2))/(LN(2)/2)*ER116*EU116*VLOOKUP('Données projet'!$B$15,Paramètres!$A$1:$I$89,3,0)*0.475*44/12</f>
        <v>6.3657753843366547E-12</v>
      </c>
      <c r="EY116" s="22">
        <f t="shared" si="75"/>
        <v>1.794167756982789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5.4</v>
      </c>
      <c r="N117" s="13">
        <f>IF('Données projet'!$A$36&gt;35,N116+M117-V116,IF(A117&lt;'Données projet'!$A$36,$K$205^A117,IF(A117='Données projet'!$A$36,'Données projet'!$B$36,N116+M117-V116)))</f>
        <v>328.59999999999957</v>
      </c>
      <c r="O117" s="13">
        <f>N117*VLOOKUP('Données projet'!$B$9,Paramètres!$A$1:$I$89,3,0)*VLOOKUP('Données projet'!$B$9,Paramètres!$A$1:$I$89,5,0)</f>
        <v>297.31727999999958</v>
      </c>
      <c r="P117" s="13">
        <f t="shared" si="87"/>
        <v>70.613768640226624</v>
      </c>
      <c r="Q117" s="20">
        <f t="shared" si="107"/>
        <v>640.81324304839393</v>
      </c>
      <c r="R117" s="59">
        <f t="shared" si="55"/>
        <v>934.1465763817273</v>
      </c>
      <c r="S117" s="59">
        <f ca="1">AVERAGE(OFFSET($R$3,0,0,'Données projet'!$E$9+1,1))-AVERAGE(OFFSET($H$3,0,0,'Données projet'!$E$9+1,1))</f>
        <v>351.15781452544906</v>
      </c>
      <c r="T117" s="59">
        <f t="shared" si="88"/>
        <v>271.54361159160169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0.4563354368121596</v>
      </c>
      <c r="AA117" s="21">
        <f>EXP(-LN(2)/25)*AA116+(1-EXP(-LN(2)/25))/(LN(2)/25)*Calculateur!V117*Calculateur!X117*VLOOKUP('Données projet'!$B$9,Paramètres!$A$1:$I$89,3,0)*0.475*44/12</f>
        <v>1.0988965570523674</v>
      </c>
      <c r="AB117" s="21">
        <f>EXP(-LN(2)/2)*AB116+(1-EXP(-LN(2)/2))/(LN(2)/2)*V117*Y117*VLOOKUP('Données projet'!$B$9,Paramètres!$A$1:$I$89,3,0)*0.475*44/12</f>
        <v>4.9006614003944111E-12</v>
      </c>
      <c r="AC117" s="22">
        <f t="shared" si="57"/>
        <v>1.5552319938694279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5.8</v>
      </c>
      <c r="AI117" s="13">
        <f>IF('Données projet'!$A$62&gt;35,AI116+AH117-AQ116,IF(A117&lt;'Données projet'!$A$62,$AF$205^A117,IF(A117='Données projet'!$A$62,'Données projet'!$B$62,AI116+AH117-AQ116)))</f>
        <v>419.20000000000016</v>
      </c>
      <c r="AJ117" s="13">
        <f>AI117*VLOOKUP('Données projet'!$B$10,Paramètres!$A$1:$I$89,3,0)*VLOOKUP('Données projet'!$B$10,Paramètres!$A$1:$I$89,5,0)</f>
        <v>359.67360000000019</v>
      </c>
      <c r="AK117" s="13">
        <f t="shared" si="89"/>
        <v>83.55123430015017</v>
      </c>
      <c r="AL117" s="20">
        <f t="shared" si="58"/>
        <v>771.94991973942854</v>
      </c>
      <c r="AM117" s="59">
        <f t="shared" si="59"/>
        <v>1065.2832530727619</v>
      </c>
      <c r="AN117" s="59">
        <f ca="1">AVERAGE(OFFSET($AM$3,0,0,'Données projet'!$E$10+1,1))-AVERAGE(OFFSET($H$3,0,0,'Données projet'!$E$10+1,1))</f>
        <v>405.59933429804329</v>
      </c>
      <c r="AO117" s="59">
        <f t="shared" si="90"/>
        <v>208.64922573363776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0.4267211583809154</v>
      </c>
      <c r="AW117" s="21">
        <f>EXP(-LN(2)/2)*AW116+(1-EXP(-LN(2)/2))/(LN(2)/2)*AQ117*AT117*VLOOKUP('Données projet'!$B$10,Paramètres!$A$1:$I$89,3,0)*0.475*44/12</f>
        <v>1.610607867269199E-12</v>
      </c>
      <c r="AX117" s="21">
        <f t="shared" si="60"/>
        <v>0.426721158382526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280.79999999999995</v>
      </c>
      <c r="BE117" s="13">
        <f>BD117*VLOOKUP('Données projet'!$B$11,Paramètres!$A$1:$I$89,3,0)*VLOOKUP('Données projet'!$B$11,Paramètres!$A$1:$I$89,5,0)</f>
        <v>271.58975999999996</v>
      </c>
      <c r="BF117" s="13">
        <f t="shared" si="91"/>
        <v>65.186541118848126</v>
      </c>
      <c r="BG117" s="20">
        <f t="shared" si="61"/>
        <v>586.55205778199377</v>
      </c>
      <c r="BH117" s="59">
        <f t="shared" si="62"/>
        <v>879.88539111532714</v>
      </c>
      <c r="BI117" s="59">
        <f ca="1">AVERAGE(OFFSET($BH$3,0,0,'Données projet'!$E$11+1,1))-AVERAGE(OFFSET($H$3,0,0,'Données projet'!$E$11+1,1))</f>
        <v>293.19327646293601</v>
      </c>
      <c r="BJ117" s="59">
        <f t="shared" si="92"/>
        <v>200.0769581869605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0.32336701435003323</v>
      </c>
      <c r="BR117" s="21">
        <f>EXP(-LN(2)/2)*BR116+(1-EXP(-LN(2)/2))/(LN(2)/2)*BL117*BO117*VLOOKUP('Données projet'!$B$11,Paramètres!$A$1:$I$89,3,0)*0.475*44/12</f>
        <v>1.5043495820000098E-12</v>
      </c>
      <c r="BS117" s="22">
        <f t="shared" si="63"/>
        <v>0.32336701435153758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1.7053025658242404E-13</v>
      </c>
      <c r="BZ117" s="13">
        <f>BY117*VLOOKUP('Données projet'!$B$12,Paramètres!$A$1:$I$89,3,0)*VLOOKUP('Données projet'!$B$12,Paramètres!$A$1:$I$89,5,0)</f>
        <v>1.3301360013429075E-13</v>
      </c>
      <c r="CA117" s="13">
        <f t="shared" si="93"/>
        <v>1.9329766731057041E-12</v>
      </c>
      <c r="CB117" s="20">
        <f t="shared" si="64"/>
        <v>3.5982663925596575E-12</v>
      </c>
      <c r="CC117" s="59">
        <f t="shared" si="65"/>
        <v>293.3333333333369</v>
      </c>
      <c r="CD117" s="59">
        <f ca="1">AVERAGE(OFFSET($CC$3,0,0,'Données projet'!$E$12+1,1))-AVERAGE(OFFSET($H$3,0,0,'Données projet'!$E$12+1,1))</f>
        <v>295.95249585728561</v>
      </c>
      <c r="CE117" s="59">
        <f t="shared" si="94"/>
        <v>306.85862495052709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0.27396985892355646</v>
      </c>
      <c r="CL117" s="21">
        <f>EXP(-LN(2)/25)*CL116+(1-EXP(-LN(2)/25))/(LN(2)/25)*Calculateur!CG117*Calculateur!CI117*VLOOKUP('Données projet'!$B$12,Paramètres!$A$1:$I$89,3,0)*0.475*44/12</f>
        <v>0.81527131276425291</v>
      </c>
      <c r="CM117" s="21">
        <f>EXP(-LN(2)/2)*CM116+(1-EXP(-LN(2)/2))/(LN(2)/2)*CG117*CJ117*VLOOKUP('Données projet'!$B$12,Paramètres!$A$1:$I$89,3,0)*0.475*44/12</f>
        <v>2.97204214728068E-12</v>
      </c>
      <c r="CN117" s="22">
        <f t="shared" si="66"/>
        <v>1.0892411716907815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5.8</v>
      </c>
      <c r="CT117" s="12">
        <f>IF('Données projet'!$A$140&gt;35,CT116+CS117-DB116,IF(A117&lt;'Données projet'!$A$140,$CQ$205^A117,IF(A117='Données projet'!$A$140,'Données projet'!$B$140,CT116+CS117-DB116)))</f>
        <v>419.20000000000016</v>
      </c>
      <c r="CU117" s="17">
        <f>CT117*VLOOKUP('Données projet'!$B$13,Paramètres!$A$1:$I$89,3,0)*VLOOKUP('Données projet'!$B$13,Paramètres!$A$1:$I$89,5,0)</f>
        <v>398.9107200000002</v>
      </c>
      <c r="CV117" s="13">
        <f t="shared" si="95"/>
        <v>91.555795382228737</v>
      </c>
      <c r="CW117" s="20">
        <f t="shared" si="67"/>
        <v>854.22918095738203</v>
      </c>
      <c r="CX117" s="59">
        <f t="shared" si="68"/>
        <v>1147.5625142907154</v>
      </c>
      <c r="CY117" s="59">
        <f ca="1">AVERAGE(OFFSET($CX$3,0,0,'Données projet'!$E$13+1,1))-AVERAGE(OFFSET($H$3,0,0,'Données projet'!$E$13+1,1))</f>
        <v>461.10546083340631</v>
      </c>
      <c r="CZ117" s="59">
        <f t="shared" si="96"/>
        <v>233.41883071412587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0.38397584851908828</v>
      </c>
      <c r="DH117" s="21">
        <f>EXP(-LN(2)/2)*DH116+(1-EXP(-LN(2)/2))/(LN(2)/2)*DB117*DE117*VLOOKUP('Données projet'!$B$13,Paramètres!$A$1:$I$89,3,0)*0.475*44/12</f>
        <v>1.7863105436985775E-12</v>
      </c>
      <c r="DI117" s="22">
        <f t="shared" si="69"/>
        <v>0.38397584852087457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-4.1500243241898714E-13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296.376932094327</v>
      </c>
      <c r="DU117" s="59">
        <f t="shared" si="98"/>
        <v>350.93658329210882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0.51141040332397214</v>
      </c>
      <c r="EB117" s="21">
        <f>EXP(-LN(2)/25)*EB116+(1-EXP(-LN(2)/25))/(LN(2)/25)*Calculateur!DW117*Calculateur!DY117*VLOOKUP('Données projet'!$B$14,Paramètres!$A$1:$I$89,3,0)*0.475*44/12</f>
        <v>1.6532324317820222</v>
      </c>
      <c r="EC117" s="21">
        <f>EXP(-LN(2)/2)*EC116+(1-EXP(-LN(2)/2))/(LN(2)/2)*DW117*DZ117*VLOOKUP('Données projet'!$B$14,Paramètres!$A$1:$I$89,3,0)*0.475*44/12</f>
        <v>5.5730169755307687E-12</v>
      </c>
      <c r="ED117" s="22">
        <f t="shared" si="72"/>
        <v>2.1646428351115672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-5.1159076974727213E-13</v>
      </c>
      <c r="EK117" s="17">
        <f>EJ117*VLOOKUP('Données projet'!$B$15,Paramètres!$A$1:$I$89,3,0)*VLOOKUP('Données projet'!$B$15,Paramètres!$A$1:$I$89,5,0)</f>
        <v>-3.3519427233841269E-13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231.03244099494077</v>
      </c>
      <c r="EP117" s="59">
        <f t="shared" si="100"/>
        <v>280.29723026390741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0.41306224883859277</v>
      </c>
      <c r="EW117" s="21">
        <f>EXP(-LN(2)/25)*EW116+(1-EXP(-LN(2)/25))/(LN(2)/25)*Calculateur!ER117*Calculateur!ET117*VLOOKUP('Données projet'!$B$15,Paramètres!$A$1:$I$89,3,0)*0.475*44/12</f>
        <v>1.3353031179777861</v>
      </c>
      <c r="EX117" s="21">
        <f>EXP(-LN(2)/2)*EX116+(1-EXP(-LN(2)/2))/(LN(2)/2)*ER117*EU117*VLOOKUP('Données projet'!$B$15,Paramètres!$A$1:$I$89,3,0)*0.475*44/12</f>
        <v>4.5012829417748493E-12</v>
      </c>
      <c r="EY117" s="22">
        <f t="shared" si="75"/>
        <v>1.7483653668208801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5.4</v>
      </c>
      <c r="N118" s="13">
        <f>IF('Données projet'!$A$36&gt;35,N117+M118-V117,IF(A118&lt;'Données projet'!$A$36,$K$205^A118,IF(A118='Données projet'!$A$36,'Données projet'!$B$36,N117+M118-V117)))</f>
        <v>333.99999999999955</v>
      </c>
      <c r="O118" s="13">
        <f>N118*VLOOKUP('Données projet'!$B$9,Paramètres!$A$1:$I$89,3,0)*VLOOKUP('Données projet'!$B$9,Paramètres!$A$1:$I$89,5,0)</f>
        <v>302.20319999999958</v>
      </c>
      <c r="P118" s="13">
        <f t="shared" si="87"/>
        <v>71.638141943842172</v>
      </c>
      <c r="Q118" s="20">
        <f t="shared" si="107"/>
        <v>651.10700388552448</v>
      </c>
      <c r="R118" s="59">
        <f t="shared" si="55"/>
        <v>944.44033721885785</v>
      </c>
      <c r="S118" s="59">
        <f ca="1">AVERAGE(OFFSET($R$3,0,0,'Données projet'!$E$9+1,1))-AVERAGE(OFFSET($H$3,0,0,'Données projet'!$E$9+1,1))</f>
        <v>351.15781452544906</v>
      </c>
      <c r="T118" s="59">
        <f t="shared" si="88"/>
        <v>271.54361159160169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0.44738697723340609</v>
      </c>
      <c r="AA118" s="21">
        <f>EXP(-LN(2)/25)*AA117+(1-EXP(-LN(2)/25))/(LN(2)/25)*Calculateur!V118*Calculateur!X118*VLOOKUP('Données projet'!$B$9,Paramètres!$A$1:$I$89,3,0)*0.475*44/12</f>
        <v>1.068847172911312</v>
      </c>
      <c r="AB118" s="21">
        <f>EXP(-LN(2)/2)*AB117+(1-EXP(-LN(2)/2))/(LN(2)/2)*V118*Y118*VLOOKUP('Données projet'!$B$9,Paramètres!$A$1:$I$89,3,0)*0.475*44/12</f>
        <v>3.4652909085180505E-12</v>
      </c>
      <c r="AC118" s="22">
        <f t="shared" si="57"/>
        <v>1.5162341501481833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5.8</v>
      </c>
      <c r="AI118" s="13">
        <f>IF('Données projet'!$A$62&gt;35,AI117+AH118-AQ117,IF(A118&lt;'Données projet'!$A$62,$AF$205^A118,IF(A118='Données projet'!$A$62,'Données projet'!$B$62,AI117+AH118-AQ117)))</f>
        <v>425.00000000000017</v>
      </c>
      <c r="AJ118" s="13">
        <f>AI118*VLOOKUP('Données projet'!$B$10,Paramètres!$A$1:$I$89,3,0)*VLOOKUP('Données projet'!$B$10,Paramètres!$A$1:$I$89,5,0)</f>
        <v>364.6500000000002</v>
      </c>
      <c r="AK118" s="13">
        <f t="shared" si="89"/>
        <v>84.571861716261665</v>
      </c>
      <c r="AL118" s="20">
        <f t="shared" si="58"/>
        <v>782.3947424891561</v>
      </c>
      <c r="AM118" s="59">
        <f t="shared" si="59"/>
        <v>1075.7280758224895</v>
      </c>
      <c r="AN118" s="59">
        <f ca="1">AVERAGE(OFFSET($AM$3,0,0,'Données projet'!$E$10+1,1))-AVERAGE(OFFSET($H$3,0,0,'Données projet'!$E$10+1,1))</f>
        <v>405.59933429804329</v>
      </c>
      <c r="AO118" s="59">
        <f t="shared" si="90"/>
        <v>208.64922573363776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0.41505244586469886</v>
      </c>
      <c r="AW118" s="21">
        <f>EXP(-LN(2)/2)*AW117+(1-EXP(-LN(2)/2))/(LN(2)/2)*AQ118*AT118*VLOOKUP('Données projet'!$B$10,Paramètres!$A$1:$I$89,3,0)*0.475*44/12</f>
        <v>1.1388717447784535E-12</v>
      </c>
      <c r="AX118" s="21">
        <f t="shared" si="60"/>
        <v>0.41505244586583773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284.49999999999994</v>
      </c>
      <c r="BE118" s="13">
        <f>BD118*VLOOKUP('Données projet'!$B$11,Paramètres!$A$1:$I$89,3,0)*VLOOKUP('Données projet'!$B$11,Paramètres!$A$1:$I$89,5,0)</f>
        <v>275.16839999999996</v>
      </c>
      <c r="BF118" s="13">
        <f t="shared" si="91"/>
        <v>65.944920834841611</v>
      </c>
      <c r="BG118" s="20">
        <f t="shared" si="61"/>
        <v>594.10570045401585</v>
      </c>
      <c r="BH118" s="59">
        <f t="shared" si="62"/>
        <v>887.43903378734922</v>
      </c>
      <c r="BI118" s="59">
        <f ca="1">AVERAGE(OFFSET($BH$3,0,0,'Données projet'!$E$11+1,1))-AVERAGE(OFFSET($H$3,0,0,'Données projet'!$E$11+1,1))</f>
        <v>293.19327646293601</v>
      </c>
      <c r="BJ118" s="59">
        <f t="shared" si="92"/>
        <v>200.0769581869605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0.31452452633749933</v>
      </c>
      <c r="BR118" s="21">
        <f>EXP(-LN(2)/2)*BR117+(1-EXP(-LN(2)/2))/(LN(2)/2)*BL118*BO118*VLOOKUP('Données projet'!$B$11,Paramètres!$A$1:$I$89,3,0)*0.475*44/12</f>
        <v>1.0637357907073551E-12</v>
      </c>
      <c r="BS118" s="22">
        <f t="shared" si="63"/>
        <v>0.31452452633856309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1.7053025658242404E-13</v>
      </c>
      <c r="BZ118" s="13">
        <f>BY118*VLOOKUP('Données projet'!$B$12,Paramètres!$A$1:$I$89,3,0)*VLOOKUP('Données projet'!$B$12,Paramètres!$A$1:$I$89,5,0)</f>
        <v>1.3301360013429075E-13</v>
      </c>
      <c r="CA118" s="13">
        <f t="shared" si="93"/>
        <v>1.9329766731057041E-12</v>
      </c>
      <c r="CB118" s="20">
        <f t="shared" si="64"/>
        <v>3.5982663925596575E-12</v>
      </c>
      <c r="CC118" s="59">
        <f t="shared" si="65"/>
        <v>293.3333333333369</v>
      </c>
      <c r="CD118" s="59">
        <f ca="1">AVERAGE(OFFSET($CC$3,0,0,'Données projet'!$E$12+1,1))-AVERAGE(OFFSET($H$3,0,0,'Données projet'!$E$12+1,1))</f>
        <v>295.95249585728561</v>
      </c>
      <c r="CE118" s="59">
        <f t="shared" si="94"/>
        <v>306.85862495052709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0.26859747709517923</v>
      </c>
      <c r="CL118" s="21">
        <f>EXP(-LN(2)/25)*CL117+(1-EXP(-LN(2)/25))/(LN(2)/25)*Calculateur!CG118*Calculateur!CI118*VLOOKUP('Données projet'!$B$12,Paramètres!$A$1:$I$89,3,0)*0.475*44/12</f>
        <v>0.79297767584345935</v>
      </c>
      <c r="CM118" s="21">
        <f>EXP(-LN(2)/2)*CM117+(1-EXP(-LN(2)/2))/(LN(2)/2)*CG118*CJ118*VLOOKUP('Données projet'!$B$12,Paramètres!$A$1:$I$89,3,0)*0.475*44/12</f>
        <v>2.1015511563143966E-12</v>
      </c>
      <c r="CN118" s="22">
        <f t="shared" si="66"/>
        <v>1.0615751529407402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5.8</v>
      </c>
      <c r="CT118" s="12">
        <f>IF('Données projet'!$A$140&gt;35,CT117+CS118-DB117,IF(A118&lt;'Données projet'!$A$140,$CQ$205^A118,IF(A118='Données projet'!$A$140,'Données projet'!$B$140,CT117+CS118-DB117)))</f>
        <v>425.00000000000017</v>
      </c>
      <c r="CU118" s="17">
        <f>CT118*VLOOKUP('Données projet'!$B$13,Paramètres!$A$1:$I$89,3,0)*VLOOKUP('Données projet'!$B$13,Paramètres!$A$1:$I$89,5,0)</f>
        <v>404.43000000000018</v>
      </c>
      <c r="CV118" s="13">
        <f t="shared" si="95"/>
        <v>92.674203214904111</v>
      </c>
      <c r="CW118" s="20">
        <f t="shared" si="67"/>
        <v>865.78982059929149</v>
      </c>
      <c r="CX118" s="59">
        <f t="shared" si="68"/>
        <v>1159.1231539326247</v>
      </c>
      <c r="CY118" s="59">
        <f ca="1">AVERAGE(OFFSET($CX$3,0,0,'Données projet'!$E$13+1,1))-AVERAGE(OFFSET($H$3,0,0,'Données projet'!$E$13+1,1))</f>
        <v>461.10546083340631</v>
      </c>
      <c r="CZ118" s="59">
        <f t="shared" si="96"/>
        <v>233.41883071412587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0.37347600874892151</v>
      </c>
      <c r="DH118" s="21">
        <f>EXP(-LN(2)/2)*DH117+(1-EXP(-LN(2)/2))/(LN(2)/2)*DB118*DE118*VLOOKUP('Données projet'!$B$13,Paramètres!$A$1:$I$89,3,0)*0.475*44/12</f>
        <v>1.2631122987542928E-12</v>
      </c>
      <c r="DI118" s="22">
        <f t="shared" si="69"/>
        <v>0.37347600875018461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-4.1500243241898714E-13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296.376932094327</v>
      </c>
      <c r="DU118" s="59">
        <f t="shared" si="98"/>
        <v>350.93658329210882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0.50138195724433454</v>
      </c>
      <c r="EB118" s="21">
        <f>EXP(-LN(2)/25)*EB117+(1-EXP(-LN(2)/25))/(LN(2)/25)*Calculateur!DW118*Calculateur!DY118*VLOOKUP('Données projet'!$B$14,Paramètres!$A$1:$I$89,3,0)*0.475*44/12</f>
        <v>1.6080247039952278</v>
      </c>
      <c r="EC118" s="21">
        <f>EXP(-LN(2)/2)*EC117+(1-EXP(-LN(2)/2))/(LN(2)/2)*DW118*DZ118*VLOOKUP('Données projet'!$B$14,Paramètres!$A$1:$I$89,3,0)*0.475*44/12</f>
        <v>3.9407180950655501E-12</v>
      </c>
      <c r="ED118" s="22">
        <f t="shared" si="72"/>
        <v>2.1094066612435034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-5.1159076974727213E-13</v>
      </c>
      <c r="EK118" s="17">
        <f>EJ118*VLOOKUP('Données projet'!$B$15,Paramètres!$A$1:$I$89,3,0)*VLOOKUP('Données projet'!$B$15,Paramètres!$A$1:$I$89,5,0)</f>
        <v>-3.3519427233841269E-13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231.03244099494077</v>
      </c>
      <c r="EP118" s="59">
        <f t="shared" si="100"/>
        <v>280.29723026390741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0.40496235008196246</v>
      </c>
      <c r="EW118" s="21">
        <f>EXP(-LN(2)/25)*EW117+(1-EXP(-LN(2)/25))/(LN(2)/25)*Calculateur!ER118*Calculateur!ET118*VLOOKUP('Données projet'!$B$15,Paramètres!$A$1:$I$89,3,0)*0.475*44/12</f>
        <v>1.2987891839961445</v>
      </c>
      <c r="EX118" s="21">
        <f>EXP(-LN(2)/2)*EX117+(1-EXP(-LN(2)/2))/(LN(2)/2)*ER118*EU118*VLOOKUP('Données projet'!$B$15,Paramètres!$A$1:$I$89,3,0)*0.475*44/12</f>
        <v>3.1828876921683273E-12</v>
      </c>
      <c r="EY118" s="22">
        <f t="shared" si="75"/>
        <v>1.7037515340812899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5.4</v>
      </c>
      <c r="N119" s="13">
        <f>IF('Données projet'!$A$36&gt;35,N118+M119-V118,IF(A119&lt;'Données projet'!$A$36,$K$205^A119,IF(A119='Données projet'!$A$36,'Données projet'!$B$36,N118+M119-V118)))</f>
        <v>339.39999999999952</v>
      </c>
      <c r="O119" s="13">
        <f>N119*VLOOKUP('Données projet'!$B$9,Paramètres!$A$1:$I$89,3,0)*VLOOKUP('Données projet'!$B$9,Paramètres!$A$1:$I$89,5,0)</f>
        <v>307.08911999999958</v>
      </c>
      <c r="P119" s="13">
        <f t="shared" si="87"/>
        <v>72.660589186887549</v>
      </c>
      <c r="Q119" s="20">
        <f t="shared" si="107"/>
        <v>661.39741016716164</v>
      </c>
      <c r="R119" s="59">
        <f t="shared" si="55"/>
        <v>954.73074350049501</v>
      </c>
      <c r="S119" s="59">
        <f ca="1">AVERAGE(OFFSET($R$3,0,0,'Données projet'!$E$9+1,1))-AVERAGE(OFFSET($H$3,0,0,'Données projet'!$E$9+1,1))</f>
        <v>351.15781452544906</v>
      </c>
      <c r="T119" s="59">
        <f t="shared" si="88"/>
        <v>271.54361159160169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0.43861399148897051</v>
      </c>
      <c r="AA119" s="21">
        <f>EXP(-LN(2)/25)*AA118+(1-EXP(-LN(2)/25))/(LN(2)/25)*Calculateur!V119*Calculateur!X119*VLOOKUP('Données projet'!$B$9,Paramètres!$A$1:$I$89,3,0)*0.475*44/12</f>
        <v>1.0396194907598222</v>
      </c>
      <c r="AB119" s="21">
        <f>EXP(-LN(2)/2)*AB118+(1-EXP(-LN(2)/2))/(LN(2)/2)*V119*Y119*VLOOKUP('Données projet'!$B$9,Paramètres!$A$1:$I$89,3,0)*0.475*44/12</f>
        <v>2.4503307001972056E-12</v>
      </c>
      <c r="AC119" s="22">
        <f t="shared" si="57"/>
        <v>1.4782334822512431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5.8</v>
      </c>
      <c r="AI119" s="13">
        <f>IF('Données projet'!$A$62&gt;35,AI118+AH119-AQ118,IF(A119&lt;'Données projet'!$A$62,$AF$205^A119,IF(A119='Données projet'!$A$62,'Données projet'!$B$62,AI118+AH119-AQ118)))</f>
        <v>430.80000000000018</v>
      </c>
      <c r="AJ119" s="13">
        <f>AI119*VLOOKUP('Données projet'!$B$10,Paramètres!$A$1:$I$89,3,0)*VLOOKUP('Données projet'!$B$10,Paramètres!$A$1:$I$89,5,0)</f>
        <v>369.62640000000016</v>
      </c>
      <c r="AK119" s="13">
        <f t="shared" si="89"/>
        <v>85.590869081575732</v>
      </c>
      <c r="AL119" s="20">
        <f t="shared" si="58"/>
        <v>792.83674365041134</v>
      </c>
      <c r="AM119" s="59">
        <f t="shared" si="59"/>
        <v>1086.1700769837446</v>
      </c>
      <c r="AN119" s="59">
        <f ca="1">AVERAGE(OFFSET($AM$3,0,0,'Données projet'!$E$10+1,1))-AVERAGE(OFFSET($H$3,0,0,'Données projet'!$E$10+1,1))</f>
        <v>405.59933429804329</v>
      </c>
      <c r="AO119" s="59">
        <f t="shared" si="90"/>
        <v>208.64922573363776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0.40370281490586918</v>
      </c>
      <c r="AW119" s="21">
        <f>EXP(-LN(2)/2)*AW118+(1-EXP(-LN(2)/2))/(LN(2)/2)*AQ119*AT119*VLOOKUP('Données projet'!$B$10,Paramètres!$A$1:$I$89,3,0)*0.475*44/12</f>
        <v>8.053039336345995E-13</v>
      </c>
      <c r="AX119" s="21">
        <f t="shared" si="60"/>
        <v>0.40370281490667448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288.19999999999993</v>
      </c>
      <c r="BE119" s="13">
        <f>BD119*VLOOKUP('Données projet'!$B$11,Paramètres!$A$1:$I$89,3,0)*VLOOKUP('Données projet'!$B$11,Paramètres!$A$1:$I$89,5,0)</f>
        <v>278.74703999999997</v>
      </c>
      <c r="BF119" s="13">
        <f t="shared" si="91"/>
        <v>66.702153339553263</v>
      </c>
      <c r="BG119" s="20">
        <f t="shared" si="61"/>
        <v>601.65734506638853</v>
      </c>
      <c r="BH119" s="59">
        <f t="shared" si="62"/>
        <v>894.9906783997219</v>
      </c>
      <c r="BI119" s="59">
        <f ca="1">AVERAGE(OFFSET($BH$3,0,0,'Données projet'!$E$11+1,1))-AVERAGE(OFFSET($H$3,0,0,'Données projet'!$E$11+1,1))</f>
        <v>293.19327646293601</v>
      </c>
      <c r="BJ119" s="59">
        <f t="shared" si="92"/>
        <v>200.0769581869605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0.30592383662467443</v>
      </c>
      <c r="BR119" s="21">
        <f>EXP(-LN(2)/2)*BR118+(1-EXP(-LN(2)/2))/(LN(2)/2)*BL119*BO119*VLOOKUP('Données projet'!$B$11,Paramètres!$A$1:$I$89,3,0)*0.475*44/12</f>
        <v>7.5217479100000489E-13</v>
      </c>
      <c r="BS119" s="22">
        <f t="shared" si="63"/>
        <v>0.3059238366254266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1.7053025658242404E-13</v>
      </c>
      <c r="BZ119" s="13">
        <f>BY119*VLOOKUP('Données projet'!$B$12,Paramètres!$A$1:$I$89,3,0)*VLOOKUP('Données projet'!$B$12,Paramètres!$A$1:$I$89,5,0)</f>
        <v>1.3301360013429075E-13</v>
      </c>
      <c r="CA119" s="13">
        <f t="shared" si="93"/>
        <v>1.9329766731057041E-12</v>
      </c>
      <c r="CB119" s="20">
        <f t="shared" si="64"/>
        <v>3.5982663925596575E-12</v>
      </c>
      <c r="CC119" s="59">
        <f t="shared" si="65"/>
        <v>293.3333333333369</v>
      </c>
      <c r="CD119" s="59">
        <f ca="1">AVERAGE(OFFSET($CC$3,0,0,'Données projet'!$E$12+1,1))-AVERAGE(OFFSET($H$3,0,0,'Données projet'!$E$12+1,1))</f>
        <v>295.95249585728561</v>
      </c>
      <c r="CE119" s="59">
        <f t="shared" si="94"/>
        <v>306.85862495052709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0.26333044439762709</v>
      </c>
      <c r="CL119" s="21">
        <f>EXP(-LN(2)/25)*CL118+(1-EXP(-LN(2)/25))/(LN(2)/25)*Calculateur!CG119*Calculateur!CI119*VLOOKUP('Données projet'!$B$12,Paramètres!$A$1:$I$89,3,0)*0.475*44/12</f>
        <v>0.77129365959663632</v>
      </c>
      <c r="CM119" s="21">
        <f>EXP(-LN(2)/2)*CM118+(1-EXP(-LN(2)/2))/(LN(2)/2)*CG119*CJ119*VLOOKUP('Données projet'!$B$12,Paramètres!$A$1:$I$89,3,0)*0.475*44/12</f>
        <v>1.48602107364034E-12</v>
      </c>
      <c r="CN119" s="22">
        <f t="shared" si="66"/>
        <v>1.0346241039957493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5.8</v>
      </c>
      <c r="CT119" s="12">
        <f>IF('Données projet'!$A$140&gt;35,CT118+CS119-DB118,IF(A119&lt;'Données projet'!$A$140,$CQ$205^A119,IF(A119='Données projet'!$A$140,'Données projet'!$B$140,CT118+CS119-DB118)))</f>
        <v>430.80000000000018</v>
      </c>
      <c r="CU119" s="17">
        <f>CT119*VLOOKUP('Données projet'!$B$13,Paramètres!$A$1:$I$89,3,0)*VLOOKUP('Données projet'!$B$13,Paramètres!$A$1:$I$89,5,0)</f>
        <v>409.94928000000021</v>
      </c>
      <c r="CV119" s="13">
        <f t="shared" si="95"/>
        <v>93.790835789074436</v>
      </c>
      <c r="CW119" s="20">
        <f t="shared" si="67"/>
        <v>877.34736833263833</v>
      </c>
      <c r="CX119" s="59">
        <f t="shared" si="68"/>
        <v>1170.6807016659716</v>
      </c>
      <c r="CY119" s="59">
        <f ca="1">AVERAGE(OFFSET($CX$3,0,0,'Données projet'!$E$13+1,1))-AVERAGE(OFFSET($H$3,0,0,'Données projet'!$E$13+1,1))</f>
        <v>461.10546083340631</v>
      </c>
      <c r="CZ119" s="59">
        <f t="shared" si="96"/>
        <v>233.41883071412587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0.36326328764943255</v>
      </c>
      <c r="DH119" s="21">
        <f>EXP(-LN(2)/2)*DH118+(1-EXP(-LN(2)/2))/(LN(2)/2)*DB119*DE119*VLOOKUP('Données projet'!$B$13,Paramètres!$A$1:$I$89,3,0)*0.475*44/12</f>
        <v>8.9315527184928884E-13</v>
      </c>
      <c r="DI119" s="22">
        <f t="shared" si="69"/>
        <v>0.36326328765032573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-4.1500243241898714E-13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296.376932094327</v>
      </c>
      <c r="DU119" s="59">
        <f t="shared" si="98"/>
        <v>350.93658329210882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0.49155016287557057</v>
      </c>
      <c r="EB119" s="21">
        <f>EXP(-LN(2)/25)*EB118+(1-EXP(-LN(2)/25))/(LN(2)/25)*Calculateur!DW119*Calculateur!DY119*VLOOKUP('Données projet'!$B$14,Paramètres!$A$1:$I$89,3,0)*0.475*44/12</f>
        <v>1.5640531839021343</v>
      </c>
      <c r="EC119" s="21">
        <f>EXP(-LN(2)/2)*EC118+(1-EXP(-LN(2)/2))/(LN(2)/2)*DW119*DZ119*VLOOKUP('Données projet'!$B$14,Paramètres!$A$1:$I$89,3,0)*0.475*44/12</f>
        <v>2.7865084877653844E-12</v>
      </c>
      <c r="ED119" s="22">
        <f t="shared" si="72"/>
        <v>2.0556033467804915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-5.1159076974727213E-13</v>
      </c>
      <c r="EK119" s="17">
        <f>EJ119*VLOOKUP('Données projet'!$B$15,Paramètres!$A$1:$I$89,3,0)*VLOOKUP('Données projet'!$B$15,Paramètres!$A$1:$I$89,5,0)</f>
        <v>-3.3519427233841269E-13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231.03244099494077</v>
      </c>
      <c r="EP119" s="59">
        <f t="shared" si="100"/>
        <v>280.29723026390741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0.39702128539949927</v>
      </c>
      <c r="EW119" s="21">
        <f>EXP(-LN(2)/25)*EW118+(1-EXP(-LN(2)/25))/(LN(2)/25)*Calculateur!ER119*Calculateur!ET119*VLOOKUP('Données projet'!$B$15,Paramètres!$A$1:$I$89,3,0)*0.475*44/12</f>
        <v>1.2632737254594151</v>
      </c>
      <c r="EX119" s="21">
        <f>EXP(-LN(2)/2)*EX118+(1-EXP(-LN(2)/2))/(LN(2)/2)*ER119*EU119*VLOOKUP('Données projet'!$B$15,Paramètres!$A$1:$I$89,3,0)*0.475*44/12</f>
        <v>2.2506414708874246E-12</v>
      </c>
      <c r="EY119" s="22">
        <f t="shared" si="75"/>
        <v>1.6602950108611649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5.4</v>
      </c>
      <c r="N120" s="13">
        <f>IF('Données projet'!$A$36&gt;35,N119+M120-V119,IF(A120&lt;'Données projet'!$A$36,$K$205^A120,IF(A120='Données projet'!$A$36,'Données projet'!$B$36,N119+M120-V119)))</f>
        <v>344.7999999999995</v>
      </c>
      <c r="O120" s="13">
        <f>N120*VLOOKUP('Données projet'!$B$9,Paramètres!$A$1:$I$89,3,0)*VLOOKUP('Données projet'!$B$9,Paramètres!$A$1:$I$89,5,0)</f>
        <v>311.97503999999952</v>
      </c>
      <c r="P120" s="13">
        <f t="shared" si="87"/>
        <v>73.681144552074542</v>
      </c>
      <c r="Q120" s="20">
        <f t="shared" si="107"/>
        <v>671.68452142819569</v>
      </c>
      <c r="R120" s="59">
        <f t="shared" si="55"/>
        <v>965.01785476152895</v>
      </c>
      <c r="S120" s="59">
        <f ca="1">AVERAGE(OFFSET($R$3,0,0,'Données projet'!$E$9+1,1))-AVERAGE(OFFSET($H$3,0,0,'Données projet'!$E$9+1,1))</f>
        <v>351.15781452544906</v>
      </c>
      <c r="T120" s="59">
        <f t="shared" si="88"/>
        <v>271.54361159160169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0.43001303864399038</v>
      </c>
      <c r="AA120" s="21">
        <f>EXP(-LN(2)/25)*AA119+(1-EXP(-LN(2)/25))/(LN(2)/25)*Calculateur!V120*Calculateur!X120*VLOOKUP('Données projet'!$B$9,Paramètres!$A$1:$I$89,3,0)*0.475*44/12</f>
        <v>1.0111910411137819</v>
      </c>
      <c r="AB120" s="21">
        <f>EXP(-LN(2)/2)*AB119+(1-EXP(-LN(2)/2))/(LN(2)/2)*V120*Y120*VLOOKUP('Données projet'!$B$9,Paramètres!$A$1:$I$89,3,0)*0.475*44/12</f>
        <v>1.7326454542590252E-12</v>
      </c>
      <c r="AC120" s="22">
        <f t="shared" si="57"/>
        <v>1.4412040797595049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5.8</v>
      </c>
      <c r="AI120" s="13">
        <f>IF('Données projet'!$A$62&gt;35,AI119+AH120-AQ119,IF(A120&lt;'Données projet'!$A$62,$AF$205^A120,IF(A120='Données projet'!$A$62,'Données projet'!$B$62,AI119+AH120-AQ119)))</f>
        <v>436.60000000000019</v>
      </c>
      <c r="AJ120" s="13">
        <f>AI120*VLOOKUP('Données projet'!$B$10,Paramètres!$A$1:$I$89,3,0)*VLOOKUP('Données projet'!$B$10,Paramètres!$A$1:$I$89,5,0)</f>
        <v>374.60280000000023</v>
      </c>
      <c r="AK120" s="13">
        <f t="shared" si="89"/>
        <v>86.608280728602296</v>
      </c>
      <c r="AL120" s="20">
        <f t="shared" si="58"/>
        <v>803.27596560231598</v>
      </c>
      <c r="AM120" s="59">
        <f t="shared" si="59"/>
        <v>1096.6092989356493</v>
      </c>
      <c r="AN120" s="59">
        <f ca="1">AVERAGE(OFFSET($AM$3,0,0,'Données projet'!$E$10+1,1))-AVERAGE(OFFSET($H$3,0,0,'Données projet'!$E$10+1,1))</f>
        <v>405.59933429804329</v>
      </c>
      <c r="AO120" s="59">
        <f t="shared" si="90"/>
        <v>208.64922573363776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0.3926635402024598</v>
      </c>
      <c r="AW120" s="21">
        <f>EXP(-LN(2)/2)*AW119+(1-EXP(-LN(2)/2))/(LN(2)/2)*AQ120*AT120*VLOOKUP('Données projet'!$B$10,Paramètres!$A$1:$I$89,3,0)*0.475*44/12</f>
        <v>5.6943587238922673E-13</v>
      </c>
      <c r="AX120" s="21">
        <f t="shared" si="60"/>
        <v>0.39266354020302924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291.89999999999992</v>
      </c>
      <c r="BE120" s="13">
        <f>BD120*VLOOKUP('Données projet'!$B$11,Paramètres!$A$1:$I$89,3,0)*VLOOKUP('Données projet'!$B$11,Paramètres!$A$1:$I$89,5,0)</f>
        <v>282.32567999999992</v>
      </c>
      <c r="BF120" s="13">
        <f t="shared" si="91"/>
        <v>67.458255064230045</v>
      </c>
      <c r="BG120" s="20">
        <f t="shared" si="61"/>
        <v>609.20702023686715</v>
      </c>
      <c r="BH120" s="59">
        <f t="shared" si="62"/>
        <v>902.54035357020052</v>
      </c>
      <c r="BI120" s="59">
        <f ca="1">AVERAGE(OFFSET($BH$3,0,0,'Données projet'!$E$11+1,1))-AVERAGE(OFFSET($H$3,0,0,'Données projet'!$E$11+1,1))</f>
        <v>293.19327646293601</v>
      </c>
      <c r="BJ120" s="59">
        <f t="shared" si="92"/>
        <v>200.0769581869605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0.29755833322433733</v>
      </c>
      <c r="BR120" s="21">
        <f>EXP(-LN(2)/2)*BR119+(1-EXP(-LN(2)/2))/(LN(2)/2)*BL120*BO120*VLOOKUP('Données projet'!$B$11,Paramètres!$A$1:$I$89,3,0)*0.475*44/12</f>
        <v>5.3186789535367756E-13</v>
      </c>
      <c r="BS120" s="22">
        <f t="shared" si="63"/>
        <v>0.29755833322486919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1.7053025658242404E-13</v>
      </c>
      <c r="BZ120" s="13">
        <f>BY120*VLOOKUP('Données projet'!$B$12,Paramètres!$A$1:$I$89,3,0)*VLOOKUP('Données projet'!$B$12,Paramètres!$A$1:$I$89,5,0)</f>
        <v>1.3301360013429075E-13</v>
      </c>
      <c r="CA120" s="13">
        <f t="shared" si="93"/>
        <v>1.9329766731057041E-12</v>
      </c>
      <c r="CB120" s="20">
        <f t="shared" si="64"/>
        <v>3.5982663925596575E-12</v>
      </c>
      <c r="CC120" s="59">
        <f t="shared" si="65"/>
        <v>293.3333333333369</v>
      </c>
      <c r="CD120" s="59">
        <f ca="1">AVERAGE(OFFSET($CC$3,0,0,'Données projet'!$E$12+1,1))-AVERAGE(OFFSET($H$3,0,0,'Données projet'!$E$12+1,1))</f>
        <v>295.95249585728561</v>
      </c>
      <c r="CE120" s="59">
        <f t="shared" si="94"/>
        <v>306.85862495052709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0.25816669499870121</v>
      </c>
      <c r="CL120" s="21">
        <f>EXP(-LN(2)/25)*CL119+(1-EXP(-LN(2)/25))/(LN(2)/25)*Calculateur!CG120*Calculateur!CI120*VLOOKUP('Données projet'!$B$12,Paramètres!$A$1:$I$89,3,0)*0.475*44/12</f>
        <v>0.75020259391439559</v>
      </c>
      <c r="CM120" s="21">
        <f>EXP(-LN(2)/2)*CM119+(1-EXP(-LN(2)/2))/(LN(2)/2)*CG120*CJ120*VLOOKUP('Données projet'!$B$12,Paramètres!$A$1:$I$89,3,0)*0.475*44/12</f>
        <v>1.0507755781571983E-12</v>
      </c>
      <c r="CN120" s="22">
        <f t="shared" si="66"/>
        <v>1.0083692889141476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5.8</v>
      </c>
      <c r="CT120" s="12">
        <f>IF('Données projet'!$A$140&gt;35,CT119+CS120-DB119,IF(A120&lt;'Données projet'!$A$140,$CQ$205^A120,IF(A120='Données projet'!$A$140,'Données projet'!$B$140,CT119+CS120-DB119)))</f>
        <v>436.60000000000019</v>
      </c>
      <c r="CU120" s="17">
        <f>CT120*VLOOKUP('Données projet'!$B$13,Paramètres!$A$1:$I$89,3,0)*VLOOKUP('Données projet'!$B$13,Paramètres!$A$1:$I$89,5,0)</f>
        <v>415.46856000000025</v>
      </c>
      <c r="CV120" s="13">
        <f t="shared" si="95"/>
        <v>94.905719768406456</v>
      </c>
      <c r="CW120" s="20">
        <f t="shared" si="67"/>
        <v>888.90187059664174</v>
      </c>
      <c r="CX120" s="59">
        <f t="shared" si="68"/>
        <v>1182.2352039299751</v>
      </c>
      <c r="CY120" s="59">
        <f ca="1">AVERAGE(OFFSET($CX$3,0,0,'Données projet'!$E$13+1,1))-AVERAGE(OFFSET($H$3,0,0,'Données projet'!$E$13+1,1))</f>
        <v>461.10546083340631</v>
      </c>
      <c r="CZ120" s="59">
        <f t="shared" si="96"/>
        <v>233.41883071412587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0.35332983394547279</v>
      </c>
      <c r="DH120" s="21">
        <f>EXP(-LN(2)/2)*DH119+(1-EXP(-LN(2)/2))/(LN(2)/2)*DB120*DE120*VLOOKUP('Données projet'!$B$13,Paramètres!$A$1:$I$89,3,0)*0.475*44/12</f>
        <v>6.3155614937714651E-13</v>
      </c>
      <c r="DI120" s="22">
        <f t="shared" si="69"/>
        <v>0.35332983394610434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-4.1500243241898714E-13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296.376932094327</v>
      </c>
      <c r="DU120" s="59">
        <f t="shared" si="98"/>
        <v>350.93658329210882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0.48191116399757561</v>
      </c>
      <c r="EB120" s="21">
        <f>EXP(-LN(2)/25)*EB119+(1-EXP(-LN(2)/25))/(LN(2)/25)*Calculateur!DW120*Calculateur!DY120*VLOOKUP('Données projet'!$B$14,Paramètres!$A$1:$I$89,3,0)*0.475*44/12</f>
        <v>1.5212840673383483</v>
      </c>
      <c r="EC120" s="21">
        <f>EXP(-LN(2)/2)*EC119+(1-EXP(-LN(2)/2))/(LN(2)/2)*DW120*DZ120*VLOOKUP('Données projet'!$B$14,Paramètres!$A$1:$I$89,3,0)*0.475*44/12</f>
        <v>1.970359047532775E-12</v>
      </c>
      <c r="ED120" s="22">
        <f t="shared" si="72"/>
        <v>2.0031952313378945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-5.1159076974727213E-13</v>
      </c>
      <c r="EK120" s="17">
        <f>EJ120*VLOOKUP('Données projet'!$B$15,Paramètres!$A$1:$I$89,3,0)*VLOOKUP('Données projet'!$B$15,Paramètres!$A$1:$I$89,5,0)</f>
        <v>-3.3519427233841269E-13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231.03244099494077</v>
      </c>
      <c r="EP120" s="59">
        <f t="shared" si="100"/>
        <v>280.29723026390741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0.38923594015188795</v>
      </c>
      <c r="EW120" s="21">
        <f>EXP(-LN(2)/25)*EW119+(1-EXP(-LN(2)/25))/(LN(2)/25)*Calculateur!ER120*Calculateur!ET120*VLOOKUP('Données projet'!$B$15,Paramètres!$A$1:$I$89,3,0)*0.475*44/12</f>
        <v>1.2287294390040493</v>
      </c>
      <c r="EX120" s="21">
        <f>EXP(-LN(2)/2)*EX119+(1-EXP(-LN(2)/2))/(LN(2)/2)*ER120*EU120*VLOOKUP('Données projet'!$B$15,Paramètres!$A$1:$I$89,3,0)*0.475*44/12</f>
        <v>1.5914438460841637E-12</v>
      </c>
      <c r="EY120" s="22">
        <f t="shared" si="75"/>
        <v>1.6179653791575286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5.4</v>
      </c>
      <c r="N121" s="13">
        <f>IF('Données projet'!$A$36&gt;35,N120+M121-V120,IF(A121&lt;'Données projet'!$A$36,$K$205^A121,IF(A121='Données projet'!$A$36,'Données projet'!$B$36,N120+M121-V120)))</f>
        <v>350.19999999999948</v>
      </c>
      <c r="O121" s="13">
        <f>N121*VLOOKUP('Données projet'!$B$9,Paramètres!$A$1:$I$89,3,0)*VLOOKUP('Données projet'!$B$9,Paramètres!$A$1:$I$89,5,0)</f>
        <v>316.86095999999952</v>
      </c>
      <c r="P121" s="13">
        <f t="shared" si="87"/>
        <v>74.699841090006444</v>
      </c>
      <c r="Q121" s="20">
        <f t="shared" si="107"/>
        <v>681.96839523176038</v>
      </c>
      <c r="R121" s="59">
        <f t="shared" si="55"/>
        <v>975.30172856509375</v>
      </c>
      <c r="S121" s="59">
        <f ca="1">AVERAGE(OFFSET($R$3,0,0,'Données projet'!$E$9+1,1))-AVERAGE(OFFSET($H$3,0,0,'Données projet'!$E$9+1,1))</f>
        <v>351.15781452544906</v>
      </c>
      <c r="T121" s="59">
        <f t="shared" si="88"/>
        <v>271.54361159160169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0.42158074523823708</v>
      </c>
      <c r="AA121" s="21">
        <f>EXP(-LN(2)/25)*AA120+(1-EXP(-LN(2)/25))/(LN(2)/25)*Calculateur!V121*Calculateur!X121*VLOOKUP('Données projet'!$B$9,Paramètres!$A$1:$I$89,3,0)*0.475*44/12</f>
        <v>0.98353996891829976</v>
      </c>
      <c r="AB121" s="21">
        <f>EXP(-LN(2)/2)*AB120+(1-EXP(-LN(2)/2))/(LN(2)/2)*V121*Y121*VLOOKUP('Données projet'!$B$9,Paramètres!$A$1:$I$89,3,0)*0.475*44/12</f>
        <v>1.2251653500986028E-12</v>
      </c>
      <c r="AC121" s="22">
        <f t="shared" si="57"/>
        <v>1.405120714157762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5.8</v>
      </c>
      <c r="AI121" s="13">
        <f>IF('Données projet'!$A$62&gt;35,AI120+AH121-AQ120,IF(A121&lt;'Données projet'!$A$62,$AF$205^A121,IF(A121='Données projet'!$A$62,'Données projet'!$B$62,AI120+AH121-AQ120)))</f>
        <v>442.4000000000002</v>
      </c>
      <c r="AJ121" s="13">
        <f>AI121*VLOOKUP('Données projet'!$B$10,Paramètres!$A$1:$I$89,3,0)*VLOOKUP('Données projet'!$B$10,Paramètres!$A$1:$I$89,5,0)</f>
        <v>379.57920000000024</v>
      </c>
      <c r="AK121" s="13">
        <f t="shared" si="89"/>
        <v>87.624120306204901</v>
      </c>
      <c r="AL121" s="20">
        <f t="shared" si="58"/>
        <v>813.71244953330722</v>
      </c>
      <c r="AM121" s="59">
        <f t="shared" si="59"/>
        <v>1107.0457828666406</v>
      </c>
      <c r="AN121" s="59">
        <f ca="1">AVERAGE(OFFSET($AM$3,0,0,'Données projet'!$E$10+1,1))-AVERAGE(OFFSET($H$3,0,0,'Données projet'!$E$10+1,1))</f>
        <v>405.59933429804329</v>
      </c>
      <c r="AO121" s="59">
        <f t="shared" si="90"/>
        <v>208.64922573363776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0.38192613504634543</v>
      </c>
      <c r="AW121" s="21">
        <f>EXP(-LN(2)/2)*AW120+(1-EXP(-LN(2)/2))/(LN(2)/2)*AQ121*AT121*VLOOKUP('Données projet'!$B$10,Paramètres!$A$1:$I$89,3,0)*0.475*44/12</f>
        <v>4.0265196681729975E-13</v>
      </c>
      <c r="AX121" s="21">
        <f t="shared" si="60"/>
        <v>0.38192613504674811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295.59999999999991</v>
      </c>
      <c r="BE121" s="13">
        <f>BD121*VLOOKUP('Données projet'!$B$11,Paramètres!$A$1:$I$89,3,0)*VLOOKUP('Données projet'!$B$11,Paramètres!$A$1:$I$89,5,0)</f>
        <v>285.90431999999993</v>
      </c>
      <c r="BF121" s="13">
        <f t="shared" si="91"/>
        <v>68.21324199961451</v>
      </c>
      <c r="BG121" s="20">
        <f t="shared" si="61"/>
        <v>616.75475381599517</v>
      </c>
      <c r="BH121" s="59">
        <f t="shared" si="62"/>
        <v>910.08808714932843</v>
      </c>
      <c r="BI121" s="59">
        <f ca="1">AVERAGE(OFFSET($BH$3,0,0,'Données projet'!$E$11+1,1))-AVERAGE(OFFSET($H$3,0,0,'Données projet'!$E$11+1,1))</f>
        <v>293.19327646293601</v>
      </c>
      <c r="BJ121" s="59">
        <f t="shared" si="92"/>
        <v>200.0769581869605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0.28942158495440518</v>
      </c>
      <c r="BR121" s="21">
        <f>EXP(-LN(2)/2)*BR120+(1-EXP(-LN(2)/2))/(LN(2)/2)*BL121*BO121*VLOOKUP('Données projet'!$B$11,Paramètres!$A$1:$I$89,3,0)*0.475*44/12</f>
        <v>3.7608739550000244E-13</v>
      </c>
      <c r="BS121" s="22">
        <f t="shared" si="63"/>
        <v>0.28942158495478126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1.7053025658242404E-13</v>
      </c>
      <c r="BZ121" s="13">
        <f>BY121*VLOOKUP('Données projet'!$B$12,Paramètres!$A$1:$I$89,3,0)*VLOOKUP('Données projet'!$B$12,Paramètres!$A$1:$I$89,5,0)</f>
        <v>1.3301360013429075E-13</v>
      </c>
      <c r="CA121" s="13">
        <f t="shared" si="93"/>
        <v>1.9329766731057041E-12</v>
      </c>
      <c r="CB121" s="20">
        <f t="shared" si="64"/>
        <v>3.5982663925596575E-12</v>
      </c>
      <c r="CC121" s="59">
        <f t="shared" si="65"/>
        <v>293.3333333333369</v>
      </c>
      <c r="CD121" s="59">
        <f ca="1">AVERAGE(OFFSET($CC$3,0,0,'Données projet'!$E$12+1,1))-AVERAGE(OFFSET($H$3,0,0,'Données projet'!$E$12+1,1))</f>
        <v>295.95249585728561</v>
      </c>
      <c r="CE121" s="59">
        <f t="shared" si="94"/>
        <v>306.85862495052709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0.25310420357591212</v>
      </c>
      <c r="CL121" s="21">
        <f>EXP(-LN(2)/25)*CL120+(1-EXP(-LN(2)/25))/(LN(2)/25)*Calculateur!CG121*Calculateur!CI121*VLOOKUP('Données projet'!$B$12,Paramètres!$A$1:$I$89,3,0)*0.475*44/12</f>
        <v>0.72968826453236668</v>
      </c>
      <c r="CM121" s="21">
        <f>EXP(-LN(2)/2)*CM120+(1-EXP(-LN(2)/2))/(LN(2)/2)*CG121*CJ121*VLOOKUP('Données projet'!$B$12,Paramètres!$A$1:$I$89,3,0)*0.475*44/12</f>
        <v>7.4301053682017001E-13</v>
      </c>
      <c r="CN121" s="22">
        <f t="shared" si="66"/>
        <v>0.98279246810902177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5.8</v>
      </c>
      <c r="CT121" s="12">
        <f>IF('Données projet'!$A$140&gt;35,CT120+CS121-DB120,IF(A121&lt;'Données projet'!$A$140,$CQ$205^A121,IF(A121='Données projet'!$A$140,'Données projet'!$B$140,CT120+CS121-DB120)))</f>
        <v>442.4000000000002</v>
      </c>
      <c r="CU121" s="17">
        <f>CT121*VLOOKUP('Données projet'!$B$13,Paramètres!$A$1:$I$89,3,0)*VLOOKUP('Données projet'!$B$13,Paramètres!$A$1:$I$89,5,0)</f>
        <v>420.98784000000023</v>
      </c>
      <c r="CV121" s="13">
        <f t="shared" si="95"/>
        <v>96.018881067425042</v>
      </c>
      <c r="CW121" s="20">
        <f t="shared" si="67"/>
        <v>900.45337252576564</v>
      </c>
      <c r="CX121" s="59">
        <f t="shared" si="68"/>
        <v>1193.7867058590989</v>
      </c>
      <c r="CY121" s="59">
        <f ca="1">AVERAGE(OFFSET($CX$3,0,0,'Données projet'!$E$13+1,1))-AVERAGE(OFFSET($H$3,0,0,'Données projet'!$E$13+1,1))</f>
        <v>461.10546083340631</v>
      </c>
      <c r="CZ121" s="59">
        <f t="shared" si="96"/>
        <v>233.41883071412587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0.34366801105542544</v>
      </c>
      <c r="DH121" s="21">
        <f>EXP(-LN(2)/2)*DH120+(1-EXP(-LN(2)/2))/(LN(2)/2)*DB121*DE121*VLOOKUP('Données projet'!$B$13,Paramètres!$A$1:$I$89,3,0)*0.475*44/12</f>
        <v>4.4657763592464447E-13</v>
      </c>
      <c r="DI121" s="22">
        <f t="shared" si="69"/>
        <v>0.34366801105587202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-4.1500243241898714E-13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296.376932094327</v>
      </c>
      <c r="DU121" s="59">
        <f t="shared" si="98"/>
        <v>350.93658329210882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0.47246118000836934</v>
      </c>
      <c r="EB121" s="21">
        <f>EXP(-LN(2)/25)*EB120+(1-EXP(-LN(2)/25))/(LN(2)/25)*Calculateur!DW121*Calculateur!DY121*VLOOKUP('Données projet'!$B$14,Paramètres!$A$1:$I$89,3,0)*0.475*44/12</f>
        <v>1.4796844745161291</v>
      </c>
      <c r="EC121" s="21">
        <f>EXP(-LN(2)/2)*EC120+(1-EXP(-LN(2)/2))/(LN(2)/2)*DW121*DZ121*VLOOKUP('Données projet'!$B$14,Paramètres!$A$1:$I$89,3,0)*0.475*44/12</f>
        <v>1.3932542438826922E-12</v>
      </c>
      <c r="ED121" s="22">
        <f t="shared" si="72"/>
        <v>1.9521456545258917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-5.1159076974727213E-13</v>
      </c>
      <c r="EK121" s="17">
        <f>EJ121*VLOOKUP('Données projet'!$B$15,Paramètres!$A$1:$I$89,3,0)*VLOOKUP('Données projet'!$B$15,Paramètres!$A$1:$I$89,5,0)</f>
        <v>-3.3519427233841269E-13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231.03244099494077</v>
      </c>
      <c r="EP121" s="59">
        <f t="shared" si="100"/>
        <v>280.29723026390741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0.3816032607759906</v>
      </c>
      <c r="EW121" s="21">
        <f>EXP(-LN(2)/25)*EW120+(1-EXP(-LN(2)/25))/(LN(2)/25)*Calculateur!ER121*Calculateur!ET121*VLOOKUP('Données projet'!$B$15,Paramètres!$A$1:$I$89,3,0)*0.475*44/12</f>
        <v>1.1951297678784107</v>
      </c>
      <c r="EX121" s="21">
        <f>EXP(-LN(2)/2)*EX120+(1-EXP(-LN(2)/2))/(LN(2)/2)*ER121*EU121*VLOOKUP('Données projet'!$B$15,Paramètres!$A$1:$I$89,3,0)*0.475*44/12</f>
        <v>1.1253207354437123E-12</v>
      </c>
      <c r="EY121" s="22">
        <f t="shared" si="75"/>
        <v>1.5767330286555268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5.4</v>
      </c>
      <c r="N122" s="13">
        <f>IF('Données projet'!$A$36&gt;35,N121+M122-V121,IF(A122&lt;'Données projet'!$A$36,$K$205^A122,IF(A122='Données projet'!$A$36,'Données projet'!$B$36,N121+M122-V121)))</f>
        <v>355.59999999999945</v>
      </c>
      <c r="O122" s="13">
        <f>N122*VLOOKUP('Données projet'!$B$9,Paramètres!$A$1:$I$89,3,0)*VLOOKUP('Données projet'!$B$9,Paramètres!$A$1:$I$89,5,0)</f>
        <v>321.74687999999952</v>
      </c>
      <c r="P122" s="13">
        <f t="shared" si="87"/>
        <v>75.716710773540626</v>
      </c>
      <c r="Q122" s="20">
        <f t="shared" si="107"/>
        <v>692.24908726391561</v>
      </c>
      <c r="R122" s="59">
        <f t="shared" si="55"/>
        <v>985.58242059724898</v>
      </c>
      <c r="S122" s="59">
        <f ca="1">AVERAGE(OFFSET($R$3,0,0,'Données projet'!$E$9+1,1))-AVERAGE(OFFSET($H$3,0,0,'Données projet'!$E$9+1,1))</f>
        <v>351.15781452544906</v>
      </c>
      <c r="T122" s="59">
        <f t="shared" si="88"/>
        <v>271.54361159160169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0.41331380396297951</v>
      </c>
      <c r="AA122" s="21">
        <f>EXP(-LN(2)/25)*AA121+(1-EXP(-LN(2)/25))/(LN(2)/25)*Calculateur!V122*Calculateur!X122*VLOOKUP('Données projet'!$B$9,Paramètres!$A$1:$I$89,3,0)*0.475*44/12</f>
        <v>0.9566450167461098</v>
      </c>
      <c r="AB122" s="21">
        <f>EXP(-LN(2)/2)*AB121+(1-EXP(-LN(2)/2))/(LN(2)/2)*V122*Y122*VLOOKUP('Données projet'!$B$9,Paramètres!$A$1:$I$89,3,0)*0.475*44/12</f>
        <v>8.6632272712951262E-13</v>
      </c>
      <c r="AC122" s="22">
        <f t="shared" si="57"/>
        <v>1.3699588207099558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5.8</v>
      </c>
      <c r="AI122" s="13">
        <f>IF('Données projet'!$A$62&gt;35,AI121+AH122-AQ121,IF(A122&lt;'Données projet'!$A$62,$AF$205^A122,IF(A122='Données projet'!$A$62,'Données projet'!$B$62,AI121+AH122-AQ121)))</f>
        <v>448.20000000000022</v>
      </c>
      <c r="AJ122" s="13">
        <f>AI122*VLOOKUP('Données projet'!$B$10,Paramètres!$A$1:$I$89,3,0)*VLOOKUP('Données projet'!$B$10,Paramètres!$A$1:$I$89,5,0)</f>
        <v>384.5556000000002</v>
      </c>
      <c r="AK122" s="13">
        <f t="shared" si="89"/>
        <v>88.6384108075151</v>
      </c>
      <c r="AL122" s="20">
        <f t="shared" si="58"/>
        <v>824.14623548975567</v>
      </c>
      <c r="AM122" s="59">
        <f t="shared" si="59"/>
        <v>1117.479568823089</v>
      </c>
      <c r="AN122" s="59">
        <f ca="1">AVERAGE(OFFSET($AM$3,0,0,'Données projet'!$E$10+1,1))-AVERAGE(OFFSET($H$3,0,0,'Données projet'!$E$10+1,1))</f>
        <v>405.59933429804329</v>
      </c>
      <c r="AO122" s="59">
        <f t="shared" si="90"/>
        <v>208.64922573363776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0.37148234479888059</v>
      </c>
      <c r="AW122" s="21">
        <f>EXP(-LN(2)/2)*AW121+(1-EXP(-LN(2)/2))/(LN(2)/2)*AQ122*AT122*VLOOKUP('Données projet'!$B$10,Paramètres!$A$1:$I$89,3,0)*0.475*44/12</f>
        <v>2.8471793619461336E-13</v>
      </c>
      <c r="AX122" s="21">
        <f t="shared" si="60"/>
        <v>0.37148234479916531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299.2999999999999</v>
      </c>
      <c r="BE122" s="13">
        <f>BD122*VLOOKUP('Données projet'!$B$11,Paramètres!$A$1:$I$89,3,0)*VLOOKUP('Données projet'!$B$11,Paramètres!$A$1:$I$89,5,0)</f>
        <v>289.48295999999993</v>
      </c>
      <c r="BF122" s="13">
        <f t="shared" si="91"/>
        <v>68.967129713117529</v>
      </c>
      <c r="BG122" s="20">
        <f t="shared" si="61"/>
        <v>624.3005729170128</v>
      </c>
      <c r="BH122" s="59">
        <f t="shared" si="62"/>
        <v>917.63390625034617</v>
      </c>
      <c r="BI122" s="59">
        <f ca="1">AVERAGE(OFFSET($BH$3,0,0,'Données projet'!$E$11+1,1))-AVERAGE(OFFSET($H$3,0,0,'Données projet'!$E$11+1,1))</f>
        <v>293.19327646293601</v>
      </c>
      <c r="BJ122" s="59">
        <f t="shared" si="92"/>
        <v>200.0769581869605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0.28150733649380727</v>
      </c>
      <c r="BR122" s="21">
        <f>EXP(-LN(2)/2)*BR121+(1-EXP(-LN(2)/2))/(LN(2)/2)*BL122*BO122*VLOOKUP('Données projet'!$B$11,Paramètres!$A$1:$I$89,3,0)*0.475*44/12</f>
        <v>2.6593394767683878E-13</v>
      </c>
      <c r="BS122" s="22">
        <f t="shared" si="63"/>
        <v>0.28150733649407322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1.7053025658242404E-13</v>
      </c>
      <c r="BZ122" s="13">
        <f>BY122*VLOOKUP('Données projet'!$B$12,Paramètres!$A$1:$I$89,3,0)*VLOOKUP('Données projet'!$B$12,Paramètres!$A$1:$I$89,5,0)</f>
        <v>1.3301360013429075E-13</v>
      </c>
      <c r="CA122" s="13">
        <f t="shared" si="93"/>
        <v>1.9329766731057041E-12</v>
      </c>
      <c r="CB122" s="20">
        <f t="shared" si="64"/>
        <v>3.5982663925596575E-12</v>
      </c>
      <c r="CC122" s="59">
        <f t="shared" si="65"/>
        <v>293.3333333333369</v>
      </c>
      <c r="CD122" s="59">
        <f ca="1">AVERAGE(OFFSET($CC$3,0,0,'Données projet'!$E$12+1,1))-AVERAGE(OFFSET($H$3,0,0,'Données projet'!$E$12+1,1))</f>
        <v>295.95249585728561</v>
      </c>
      <c r="CE122" s="59">
        <f t="shared" si="94"/>
        <v>306.85862495052709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0.24814098452210909</v>
      </c>
      <c r="CL122" s="21">
        <f>EXP(-LN(2)/25)*CL121+(1-EXP(-LN(2)/25))/(LN(2)/25)*Calculateur!CG122*Calculateur!CI122*VLOOKUP('Données projet'!$B$12,Paramètres!$A$1:$I$89,3,0)*0.475*44/12</f>
        <v>0.70973490056609101</v>
      </c>
      <c r="CM122" s="21">
        <f>EXP(-LN(2)/2)*CM121+(1-EXP(-LN(2)/2))/(LN(2)/2)*CG122*CJ122*VLOOKUP('Données projet'!$B$12,Paramètres!$A$1:$I$89,3,0)*0.475*44/12</f>
        <v>5.2538778907859916E-13</v>
      </c>
      <c r="CN122" s="22">
        <f t="shared" si="66"/>
        <v>0.95787588508872545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5.8</v>
      </c>
      <c r="CT122" s="12">
        <f>IF('Données projet'!$A$140&gt;35,CT121+CS122-DB121,IF(A122&lt;'Données projet'!$A$140,$CQ$205^A122,IF(A122='Données projet'!$A$140,'Données projet'!$B$140,CT121+CS122-DB121)))</f>
        <v>448.20000000000022</v>
      </c>
      <c r="CU122" s="17">
        <f>CT122*VLOOKUP('Données projet'!$B$13,Paramètres!$A$1:$I$89,3,0)*VLOOKUP('Données projet'!$B$13,Paramètres!$A$1:$I$89,5,0)</f>
        <v>426.50712000000016</v>
      </c>
      <c r="CV122" s="13">
        <f t="shared" si="95"/>
        <v>97.130344882100587</v>
      </c>
      <c r="CW122" s="20">
        <f t="shared" si="67"/>
        <v>912.00191800299206</v>
      </c>
      <c r="CX122" s="59">
        <f t="shared" si="68"/>
        <v>1205.3352513363254</v>
      </c>
      <c r="CY122" s="59">
        <f ca="1">AVERAGE(OFFSET($CX$3,0,0,'Données projet'!$E$13+1,1))-AVERAGE(OFFSET($H$3,0,0,'Données projet'!$E$13+1,1))</f>
        <v>461.10546083340631</v>
      </c>
      <c r="CZ122" s="59">
        <f t="shared" si="96"/>
        <v>233.41883071412587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0.33427039122039959</v>
      </c>
      <c r="DH122" s="21">
        <f>EXP(-LN(2)/2)*DH121+(1-EXP(-LN(2)/2))/(LN(2)/2)*DB122*DE122*VLOOKUP('Données projet'!$B$13,Paramètres!$A$1:$I$89,3,0)*0.475*44/12</f>
        <v>3.1577807468857331E-13</v>
      </c>
      <c r="DI122" s="22">
        <f t="shared" si="69"/>
        <v>0.33427039122071539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-4.1500243241898714E-13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296.376932094327</v>
      </c>
      <c r="DU122" s="59">
        <f t="shared" si="98"/>
        <v>350.93658329210882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0.46319650444127031</v>
      </c>
      <c r="EB122" s="21">
        <f>EXP(-LN(2)/25)*EB121+(1-EXP(-LN(2)/25))/(LN(2)/25)*Calculateur!DW122*Calculateur!DY122*VLOOKUP('Données projet'!$B$14,Paramètres!$A$1:$I$89,3,0)*0.475*44/12</f>
        <v>1.4392224247472609</v>
      </c>
      <c r="EC122" s="21">
        <f>EXP(-LN(2)/2)*EC121+(1-EXP(-LN(2)/2))/(LN(2)/2)*DW122*DZ122*VLOOKUP('Données projet'!$B$14,Paramètres!$A$1:$I$89,3,0)*0.475*44/12</f>
        <v>9.8517952376638752E-13</v>
      </c>
      <c r="ED122" s="22">
        <f t="shared" si="72"/>
        <v>1.9024189291895164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-5.1159076974727213E-13</v>
      </c>
      <c r="EK122" s="17">
        <f>EJ122*VLOOKUP('Données projet'!$B$15,Paramètres!$A$1:$I$89,3,0)*VLOOKUP('Données projet'!$B$15,Paramètres!$A$1:$I$89,5,0)</f>
        <v>-3.3519427233841269E-13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231.03244099494077</v>
      </c>
      <c r="EP122" s="59">
        <f t="shared" si="100"/>
        <v>280.29723026390741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0.37412025358717987</v>
      </c>
      <c r="EW122" s="21">
        <f>EXP(-LN(2)/25)*EW121+(1-EXP(-LN(2)/25))/(LN(2)/25)*Calculateur!ER122*Calculateur!ET122*VLOOKUP('Données projet'!$B$15,Paramètres!$A$1:$I$89,3,0)*0.475*44/12</f>
        <v>1.1624488815266325</v>
      </c>
      <c r="EX122" s="21">
        <f>EXP(-LN(2)/2)*EX121+(1-EXP(-LN(2)/2))/(LN(2)/2)*ER122*EU122*VLOOKUP('Données projet'!$B$15,Paramètres!$A$1:$I$89,3,0)*0.475*44/12</f>
        <v>7.9572192304208183E-13</v>
      </c>
      <c r="EY122" s="22">
        <f t="shared" si="75"/>
        <v>1.5365691351146082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361</v>
      </c>
      <c r="L123" s="12">
        <f>VLOOKUP(A123,'Données projet'!$A$35:$I$55,9,0)</f>
        <v>5.4</v>
      </c>
      <c r="M123" s="12">
        <f t="array" ref="M123">INDEX(L:L,MIN(IF(ISNUMBER(L123:L319),ROW(L123:L319),"")))</f>
        <v>5.4</v>
      </c>
      <c r="N123" s="13">
        <f>IF('Données projet'!$A$36&gt;35,N122+M123-V122,IF(A123&lt;'Données projet'!$A$36,$K$205^A123,IF(A123='Données projet'!$A$36,'Données projet'!$B$36,N122+M123-V122)))</f>
        <v>360.99999999999943</v>
      </c>
      <c r="O123" s="13">
        <f>N123*VLOOKUP('Données projet'!$B$9,Paramètres!$A$1:$I$89,3,0)*VLOOKUP('Données projet'!$B$9,Paramètres!$A$1:$I$89,5,0)</f>
        <v>326.63279999999946</v>
      </c>
      <c r="P123" s="13">
        <f t="shared" si="87"/>
        <v>76.731784548754774</v>
      </c>
      <c r="Q123" s="20">
        <f t="shared" si="107"/>
        <v>702.52665142241358</v>
      </c>
      <c r="R123" s="59">
        <f t="shared" si="55"/>
        <v>995.85998475574684</v>
      </c>
      <c r="S123" s="59">
        <f ca="1">AVERAGE(OFFSET($R$3,0,0,'Données projet'!$E$9+1,1))-AVERAGE(OFFSET($H$3,0,0,'Données projet'!$E$9+1,1))</f>
        <v>351.15781452544906</v>
      </c>
      <c r="T123" s="59">
        <f t="shared" si="88"/>
        <v>271.54361159160169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361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0.40520897236379344</v>
      </c>
      <c r="AA123" s="21">
        <f>EXP(-LN(2)/25)*AA122+(1-EXP(-LN(2)/25))/(LN(2)/25)*Calculateur!V123*Calculateur!X123*VLOOKUP('Données projet'!$B$9,Paramètres!$A$1:$I$89,3,0)*0.475*44/12</f>
        <v>0.93048550845541245</v>
      </c>
      <c r="AB123" s="21">
        <f>EXP(-LN(2)/2)*AB122+(1-EXP(-LN(2)/2))/(LN(2)/2)*V123*Y123*VLOOKUP('Données projet'!$B$9,Paramètres!$A$1:$I$89,3,0)*0.475*44/12</f>
        <v>6.1258267504930139E-13</v>
      </c>
      <c r="AC123" s="22">
        <f t="shared" si="57"/>
        <v>1.3356944808198186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454</v>
      </c>
      <c r="AG123" s="12">
        <f>VLOOKUP(A123,'Données projet'!$A$61:$I$81,9,0)</f>
        <v>5.8</v>
      </c>
      <c r="AH123" s="12">
        <f t="array" ref="AH123">INDEX(AG:AG,MIN(IF(ISNUMBER(AG123:AG319),ROW(AG123:AG319),"")))</f>
        <v>5.8</v>
      </c>
      <c r="AI123" s="13">
        <f>IF('Données projet'!$A$62&gt;35,AI122+AH123-AQ122,IF(A123&lt;'Données projet'!$A$62,$AF$205^A123,IF(A123='Données projet'!$A$62,'Données projet'!$B$62,AI122+AH123-AQ122)))</f>
        <v>454.00000000000023</v>
      </c>
      <c r="AJ123" s="13">
        <f>AI123*VLOOKUP('Données projet'!$B$10,Paramètres!$A$1:$I$89,3,0)*VLOOKUP('Données projet'!$B$10,Paramètres!$A$1:$I$89,5,0)</f>
        <v>389.53200000000027</v>
      </c>
      <c r="AK123" s="13">
        <f t="shared" si="89"/>
        <v>89.651174596359439</v>
      </c>
      <c r="AL123" s="20">
        <f t="shared" si="58"/>
        <v>834.57736242199314</v>
      </c>
      <c r="AM123" s="59">
        <f t="shared" si="59"/>
        <v>1127.9106957553265</v>
      </c>
      <c r="AN123" s="59">
        <f ca="1">AVERAGE(OFFSET($AM$3,0,0,'Données projet'!$E$10+1,1))-AVERAGE(OFFSET($H$3,0,0,'Données projet'!$E$10+1,1))</f>
        <v>405.59933429804329</v>
      </c>
      <c r="AO123" s="59">
        <f t="shared" si="90"/>
        <v>208.64922573363776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43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0.36132414054494771</v>
      </c>
      <c r="AW123" s="21">
        <f>EXP(-LN(2)/2)*AW122+(1-EXP(-LN(2)/2))/(LN(2)/2)*AQ123*AT123*VLOOKUP('Données projet'!$B$10,Paramètres!$A$1:$I$89,3,0)*0.475*44/12</f>
        <v>2.0132598340864988E-13</v>
      </c>
      <c r="AX123" s="21">
        <f t="shared" si="60"/>
        <v>0.36132414054514905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302.99999999999989</v>
      </c>
      <c r="BE123" s="13">
        <f>BD123*VLOOKUP('Données projet'!$B$11,Paramètres!$A$1:$I$89,3,0)*VLOOKUP('Données projet'!$B$11,Paramètres!$A$1:$I$89,5,0)</f>
        <v>293.06159999999988</v>
      </c>
      <c r="BF123" s="13">
        <f t="shared" si="91"/>
        <v>69.719933365116546</v>
      </c>
      <c r="BG123" s="20">
        <f t="shared" si="61"/>
        <v>631.84450394424448</v>
      </c>
      <c r="BH123" s="59">
        <f t="shared" si="62"/>
        <v>925.17783727757774</v>
      </c>
      <c r="BI123" s="59">
        <f ca="1">AVERAGE(OFFSET($BH$3,0,0,'Données projet'!$E$11+1,1))-AVERAGE(OFFSET($H$3,0,0,'Données projet'!$E$11+1,1))</f>
        <v>293.19327646293601</v>
      </c>
      <c r="BJ123" s="59">
        <f t="shared" si="92"/>
        <v>200.0769581869605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303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0.27380950357355666</v>
      </c>
      <c r="BR123" s="21">
        <f>EXP(-LN(2)/2)*BR122+(1-EXP(-LN(2)/2))/(LN(2)/2)*BL123*BO123*VLOOKUP('Données projet'!$B$11,Paramètres!$A$1:$I$89,3,0)*0.475*44/12</f>
        <v>1.8804369775000122E-13</v>
      </c>
      <c r="BS123" s="22">
        <f t="shared" si="63"/>
        <v>0.27380950357374467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1.7053025658242404E-13</v>
      </c>
      <c r="BZ123" s="13">
        <f>BY123*VLOOKUP('Données projet'!$B$12,Paramètres!$A$1:$I$89,3,0)*VLOOKUP('Données projet'!$B$12,Paramètres!$A$1:$I$89,5,0)</f>
        <v>1.3301360013429075E-13</v>
      </c>
      <c r="CA123" s="13">
        <f t="shared" si="93"/>
        <v>1.9329766731057041E-12</v>
      </c>
      <c r="CB123" s="20">
        <f t="shared" si="64"/>
        <v>3.5982663925596575E-12</v>
      </c>
      <c r="CC123" s="59">
        <f t="shared" si="65"/>
        <v>293.3333333333369</v>
      </c>
      <c r="CD123" s="59">
        <f ca="1">AVERAGE(OFFSET($CC$3,0,0,'Données projet'!$E$12+1,1))-AVERAGE(OFFSET($H$3,0,0,'Données projet'!$E$12+1,1))</f>
        <v>295.95249585728561</v>
      </c>
      <c r="CE123" s="59">
        <f t="shared" si="94"/>
        <v>306.85862495052709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0.24327509116668641</v>
      </c>
      <c r="CL123" s="21">
        <f>EXP(-LN(2)/25)*CL122+(1-EXP(-LN(2)/25))/(LN(2)/25)*Calculateur!CG123*Calculateur!CI123*VLOOKUP('Données projet'!$B$12,Paramètres!$A$1:$I$89,3,0)*0.475*44/12</f>
        <v>0.69032716238677494</v>
      </c>
      <c r="CM123" s="21">
        <f>EXP(-LN(2)/2)*CM122+(1-EXP(-LN(2)/2))/(LN(2)/2)*CG123*CJ123*VLOOKUP('Données projet'!$B$12,Paramètres!$A$1:$I$89,3,0)*0.475*44/12</f>
        <v>3.7150526841008501E-13</v>
      </c>
      <c r="CN123" s="22">
        <f t="shared" si="66"/>
        <v>0.93360225355383286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454</v>
      </c>
      <c r="CR123" s="12">
        <f>VLOOKUP(A123,'Données projet'!$A$139:$I$159,9,0)</f>
        <v>5.8</v>
      </c>
      <c r="CS123" s="12">
        <f t="array" ref="CS123">INDEX(CR:CR,MIN(IF(ISNUMBER(CR123:CR319),ROW(CR123:CR319),"")))</f>
        <v>5.8</v>
      </c>
      <c r="CT123" s="12">
        <f>IF('Données projet'!$A$140&gt;35,CT122+CS123-DB122,IF(A123&lt;'Données projet'!$A$140,$CQ$205^A123,IF(A123='Données projet'!$A$140,'Données projet'!$B$140,CT122+CS123-DB122)))</f>
        <v>454.00000000000023</v>
      </c>
      <c r="CU123" s="17">
        <f>CT123*VLOOKUP('Données projet'!$B$13,Paramètres!$A$1:$I$89,3,0)*VLOOKUP('Données projet'!$B$13,Paramètres!$A$1:$I$89,5,0)</f>
        <v>432.02640000000019</v>
      </c>
      <c r="CV123" s="13">
        <f t="shared" si="95"/>
        <v>98.240135718808659</v>
      </c>
      <c r="CW123" s="20">
        <f t="shared" si="67"/>
        <v>923.54754971025875</v>
      </c>
      <c r="CX123" s="59">
        <f t="shared" si="68"/>
        <v>1216.8808830435921</v>
      </c>
      <c r="CY123" s="59">
        <f ca="1">AVERAGE(OFFSET($CX$3,0,0,'Données projet'!$E$13+1,1))-AVERAGE(OFFSET($H$3,0,0,'Données projet'!$E$13+1,1))</f>
        <v>461.10546083340631</v>
      </c>
      <c r="CZ123" s="59">
        <f t="shared" si="96"/>
        <v>233.41883071412587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43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0.32512974979396186</v>
      </c>
      <c r="DH123" s="21">
        <f>EXP(-LN(2)/2)*DH122+(1-EXP(-LN(2)/2))/(LN(2)/2)*DB123*DE123*VLOOKUP('Données projet'!$B$13,Paramètres!$A$1:$I$89,3,0)*0.475*44/12</f>
        <v>2.2328881796232229E-13</v>
      </c>
      <c r="DI123" s="22">
        <f t="shared" si="69"/>
        <v>0.32512974979418513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-4.1500243241898714E-13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296.376932094327</v>
      </c>
      <c r="DU123" s="59">
        <f t="shared" si="98"/>
        <v>350.93658329210882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0.45411350351114799</v>
      </c>
      <c r="EB123" s="21">
        <f>EXP(-LN(2)/25)*EB122+(1-EXP(-LN(2)/25))/(LN(2)/25)*Calculateur!DW123*Calculateur!DY123*VLOOKUP('Données projet'!$B$14,Paramètres!$A$1:$I$89,3,0)*0.475*44/12</f>
        <v>1.3998668118571291</v>
      </c>
      <c r="EC123" s="21">
        <f>EXP(-LN(2)/2)*EC122+(1-EXP(-LN(2)/2))/(LN(2)/2)*DW123*DZ123*VLOOKUP('Données projet'!$B$14,Paramètres!$A$1:$I$89,3,0)*0.475*44/12</f>
        <v>6.9662712194134609E-13</v>
      </c>
      <c r="ED123" s="22">
        <f t="shared" si="72"/>
        <v>1.8539803153689738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-5.1159076974727213E-13</v>
      </c>
      <c r="EK123" s="17">
        <f>EJ123*VLOOKUP('Données projet'!$B$15,Paramètres!$A$1:$I$89,3,0)*VLOOKUP('Données projet'!$B$15,Paramètres!$A$1:$I$89,5,0)</f>
        <v>-3.3519427233841269E-13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231.03244099494077</v>
      </c>
      <c r="EP123" s="59">
        <f t="shared" si="100"/>
        <v>280.29723026390741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0.36678398360515801</v>
      </c>
      <c r="EW123" s="21">
        <f>EXP(-LN(2)/25)*EW122+(1-EXP(-LN(2)/25))/(LN(2)/25)*Calculateur!ER123*Calculateur!ET123*VLOOKUP('Données projet'!$B$15,Paramètres!$A$1:$I$89,3,0)*0.475*44/12</f>
        <v>1.1306616557307569</v>
      </c>
      <c r="EX123" s="21">
        <f>EXP(-LN(2)/2)*EX122+(1-EXP(-LN(2)/2))/(LN(2)/2)*ER123*EU123*VLOOKUP('Données projet'!$B$15,Paramètres!$A$1:$I$89,3,0)*0.475*44/12</f>
        <v>5.6266036772185616E-13</v>
      </c>
      <c r="EY123" s="22">
        <f t="shared" si="75"/>
        <v>1.4974456393364777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-5.1431925385259092E-13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351.15781452544906</v>
      </c>
      <c r="T124" s="59">
        <f t="shared" si="88"/>
        <v>271.54361159160169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0.39726307156880825</v>
      </c>
      <c r="AA124" s="21">
        <f>EXP(-LN(2)/25)*AA123+(1-EXP(-LN(2)/25))/(LN(2)/25)*Calculateur!V124*Calculateur!X124*VLOOKUP('Données projet'!$B$9,Paramètres!$A$1:$I$89,3,0)*0.475*44/12</f>
        <v>0.90504133329459291</v>
      </c>
      <c r="AB124" s="21">
        <f>EXP(-LN(2)/2)*AB123+(1-EXP(-LN(2)/2))/(LN(2)/2)*V124*Y124*VLOOKUP('Données projet'!$B$9,Paramètres!$A$1:$I$89,3,0)*0.475*44/12</f>
        <v>4.3316136356475631E-13</v>
      </c>
      <c r="AC124" s="22">
        <f t="shared" si="57"/>
        <v>1.3023044048638344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</v>
      </c>
      <c r="AI124" s="13">
        <f>IF('Données projet'!$A$62&gt;35,AI123+AH124-AQ123,IF(A124&lt;'Données projet'!$A$62,$AF$205^A124,IF(A124='Données projet'!$A$62,'Données projet'!$B$62,AI123+AH124-AQ123)))</f>
        <v>416.00000000000023</v>
      </c>
      <c r="AJ124" s="13">
        <f>AI124*VLOOKUP('Données projet'!$B$10,Paramètres!$A$1:$I$89,3,0)*VLOOKUP('Données projet'!$B$10,Paramètres!$A$1:$I$89,5,0)</f>
        <v>356.92800000000022</v>
      </c>
      <c r="AK124" s="13">
        <f t="shared" si="89"/>
        <v>82.987426947838998</v>
      </c>
      <c r="AL124" s="20">
        <f t="shared" si="58"/>
        <v>766.18603526748666</v>
      </c>
      <c r="AM124" s="59">
        <f t="shared" si="59"/>
        <v>1059.5193686008199</v>
      </c>
      <c r="AN124" s="59">
        <f ca="1">AVERAGE(OFFSET($AM$3,0,0,'Données projet'!$E$10+1,1))-AVERAGE(OFFSET($H$3,0,0,'Données projet'!$E$10+1,1))</f>
        <v>405.59933429804329</v>
      </c>
      <c r="AO124" s="59">
        <f t="shared" si="90"/>
        <v>208.64922573363776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0.35144371292053539</v>
      </c>
      <c r="AW124" s="21">
        <f>EXP(-LN(2)/2)*AW123+(1-EXP(-LN(2)/2))/(LN(2)/2)*AQ124*AT124*VLOOKUP('Données projet'!$B$10,Paramètres!$A$1:$I$89,3,0)*0.475*44/12</f>
        <v>1.4235896809730668E-13</v>
      </c>
      <c r="AX124" s="21">
        <f t="shared" si="60"/>
        <v>0.35144371292067778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-1.0995790944434703E-13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293.19327646293601</v>
      </c>
      <c r="BJ124" s="59">
        <f t="shared" si="92"/>
        <v>200.0769581869605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0.26632216829932176</v>
      </c>
      <c r="BR124" s="21">
        <f>EXP(-LN(2)/2)*BR123+(1-EXP(-LN(2)/2))/(LN(2)/2)*BL124*BO124*VLOOKUP('Données projet'!$B$11,Paramètres!$A$1:$I$89,3,0)*0.475*44/12</f>
        <v>1.3296697383841939E-13</v>
      </c>
      <c r="BS124" s="22">
        <f t="shared" si="63"/>
        <v>0.26632216829945471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1.7053025658242404E-13</v>
      </c>
      <c r="BZ124" s="13">
        <f>BY124*VLOOKUP('Données projet'!$B$12,Paramètres!$A$1:$I$89,3,0)*VLOOKUP('Données projet'!$B$12,Paramètres!$A$1:$I$89,5,0)</f>
        <v>1.3301360013429075E-13</v>
      </c>
      <c r="CA124" s="13">
        <f t="shared" si="93"/>
        <v>1.9329766731057041E-12</v>
      </c>
      <c r="CB124" s="20">
        <f t="shared" si="64"/>
        <v>3.5982663925596575E-12</v>
      </c>
      <c r="CC124" s="59">
        <f t="shared" si="65"/>
        <v>293.3333333333369</v>
      </c>
      <c r="CD124" s="59">
        <f ca="1">AVERAGE(OFFSET($CC$3,0,0,'Données projet'!$E$12+1,1))-AVERAGE(OFFSET($H$3,0,0,'Données projet'!$E$12+1,1))</f>
        <v>295.95249585728561</v>
      </c>
      <c r="CE124" s="59">
        <f t="shared" si="94"/>
        <v>306.85862495052709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0.23850461501206169</v>
      </c>
      <c r="CL124" s="21">
        <f>EXP(-LN(2)/25)*CL123+(1-EXP(-LN(2)/25))/(LN(2)/25)*Calculateur!CG124*Calculateur!CI124*VLOOKUP('Données projet'!$B$12,Paramètres!$A$1:$I$89,3,0)*0.475*44/12</f>
        <v>0.67145012982858088</v>
      </c>
      <c r="CM124" s="21">
        <f>EXP(-LN(2)/2)*CM123+(1-EXP(-LN(2)/2))/(LN(2)/2)*CG124*CJ124*VLOOKUP('Données projet'!$B$12,Paramètres!$A$1:$I$89,3,0)*0.475*44/12</f>
        <v>2.6269389453929958E-13</v>
      </c>
      <c r="CN124" s="22">
        <f t="shared" si="66"/>
        <v>0.90995474484090522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</v>
      </c>
      <c r="CT124" s="12">
        <f>IF('Données projet'!$A$140&gt;35,CT123+CS124-DB123,IF(A124&lt;'Données projet'!$A$140,$CQ$205^A124,IF(A124='Données projet'!$A$140,'Données projet'!$B$140,CT123+CS124-DB123)))</f>
        <v>416.00000000000023</v>
      </c>
      <c r="CU124" s="17">
        <f>CT124*VLOOKUP('Données projet'!$B$13,Paramètres!$A$1:$I$89,3,0)*VLOOKUP('Données projet'!$B$13,Paramètres!$A$1:$I$89,5,0)</f>
        <v>395.8656000000002</v>
      </c>
      <c r="CV124" s="13">
        <f t="shared" si="95"/>
        <v>90.937972904612522</v>
      </c>
      <c r="CW124" s="20">
        <f t="shared" si="67"/>
        <v>847.84955614220053</v>
      </c>
      <c r="CX124" s="59">
        <f t="shared" si="68"/>
        <v>1141.1828894755338</v>
      </c>
      <c r="CY124" s="59">
        <f ca="1">AVERAGE(OFFSET($CX$3,0,0,'Données projet'!$E$13+1,1))-AVERAGE(OFFSET($H$3,0,0,'Données projet'!$E$13+1,1))</f>
        <v>461.10546083340631</v>
      </c>
      <c r="CZ124" s="59">
        <f t="shared" si="96"/>
        <v>233.41883071412587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0.31623905968801552</v>
      </c>
      <c r="DH124" s="21">
        <f>EXP(-LN(2)/2)*DH123+(1-EXP(-LN(2)/2))/(LN(2)/2)*DB124*DE124*VLOOKUP('Données projet'!$B$13,Paramètres!$A$1:$I$89,3,0)*0.475*44/12</f>
        <v>1.5788903734428668E-13</v>
      </c>
      <c r="DI124" s="22">
        <f t="shared" si="69"/>
        <v>0.3162390596881734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-4.1500243241898714E-13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296.376932094327</v>
      </c>
      <c r="DU124" s="59">
        <f t="shared" si="98"/>
        <v>350.93658329210882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0.44520861468918183</v>
      </c>
      <c r="EB124" s="21">
        <f>EXP(-LN(2)/25)*EB123+(1-EXP(-LN(2)/25))/(LN(2)/25)*Calculateur!DW124*Calculateur!DY124*VLOOKUP('Données projet'!$B$14,Paramètres!$A$1:$I$89,3,0)*0.475*44/12</f>
        <v>1.3615873802710998</v>
      </c>
      <c r="EC124" s="21">
        <f>EXP(-LN(2)/2)*EC123+(1-EXP(-LN(2)/2))/(LN(2)/2)*DW124*DZ124*VLOOKUP('Données projet'!$B$14,Paramètres!$A$1:$I$89,3,0)*0.475*44/12</f>
        <v>4.9258976188319376E-13</v>
      </c>
      <c r="ED124" s="22">
        <f t="shared" si="72"/>
        <v>1.8067959949607741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-5.1159076974727213E-13</v>
      </c>
      <c r="EK124" s="17">
        <f>EJ124*VLOOKUP('Données projet'!$B$15,Paramètres!$A$1:$I$89,3,0)*VLOOKUP('Données projet'!$B$15,Paramètres!$A$1:$I$89,5,0)</f>
        <v>-3.3519427233841269E-13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231.03244099494077</v>
      </c>
      <c r="EP124" s="59">
        <f t="shared" si="100"/>
        <v>280.29723026390741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0.35959157340280073</v>
      </c>
      <c r="EW124" s="21">
        <f>EXP(-LN(2)/25)*EW123+(1-EXP(-LN(2)/25))/(LN(2)/25)*Calculateur!ER124*Calculateur!ET124*VLOOKUP('Données projet'!$B$15,Paramètres!$A$1:$I$89,3,0)*0.475*44/12</f>
        <v>1.0997436532958871</v>
      </c>
      <c r="EX124" s="21">
        <f>EXP(-LN(2)/2)*EX123+(1-EXP(-LN(2)/2))/(LN(2)/2)*ER124*EU124*VLOOKUP('Données projet'!$B$15,Paramètres!$A$1:$I$89,3,0)*0.475*44/12</f>
        <v>3.9786096152104092E-13</v>
      </c>
      <c r="EY124" s="22">
        <f t="shared" si="75"/>
        <v>1.4593352266990858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-5.1431925385259092E-13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351.15781452544906</v>
      </c>
      <c r="T125" s="59">
        <f t="shared" si="88"/>
        <v>271.54361159160169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0.38947298504189176</v>
      </c>
      <c r="AA125" s="21">
        <f>EXP(-LN(2)/25)*AA124+(1-EXP(-LN(2)/25))/(LN(2)/25)*Calculateur!V125*Calculateur!X125*VLOOKUP('Données projet'!$B$9,Paramètres!$A$1:$I$89,3,0)*0.475*44/12</f>
        <v>0.88029293044159707</v>
      </c>
      <c r="AB125" s="21">
        <f>EXP(-LN(2)/2)*AB124+(1-EXP(-LN(2)/2))/(LN(2)/2)*V125*Y125*VLOOKUP('Données projet'!$B$9,Paramètres!$A$1:$I$89,3,0)*0.475*44/12</f>
        <v>3.0629133752465069E-13</v>
      </c>
      <c r="AC125" s="22">
        <f t="shared" si="57"/>
        <v>1.269765915483795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</v>
      </c>
      <c r="AI125" s="13">
        <f>IF('Données projet'!$A$62&gt;35,AI124+AH125-AQ124,IF(A125&lt;'Données projet'!$A$62,$AF$205^A125,IF(A125='Données projet'!$A$62,'Données projet'!$B$62,AI124+AH125-AQ124)))</f>
        <v>421.00000000000023</v>
      </c>
      <c r="AJ125" s="13">
        <f>AI125*VLOOKUP('Données projet'!$B$10,Paramètres!$A$1:$I$89,3,0)*VLOOKUP('Données projet'!$B$10,Paramètres!$A$1:$I$89,5,0)</f>
        <v>361.21800000000025</v>
      </c>
      <c r="AK125" s="13">
        <f t="shared" si="89"/>
        <v>83.868155605284571</v>
      </c>
      <c r="AL125" s="20">
        <f t="shared" si="58"/>
        <v>775.19172101253764</v>
      </c>
      <c r="AM125" s="59">
        <f t="shared" si="59"/>
        <v>1068.525054345871</v>
      </c>
      <c r="AN125" s="59">
        <f ca="1">AVERAGE(OFFSET($AM$3,0,0,'Données projet'!$E$10+1,1))-AVERAGE(OFFSET($H$3,0,0,'Données projet'!$E$10+1,1))</f>
        <v>405.59933429804329</v>
      </c>
      <c r="AO125" s="59">
        <f t="shared" si="90"/>
        <v>208.64922573363776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0.3418334661091017</v>
      </c>
      <c r="AW125" s="21">
        <f>EXP(-LN(2)/2)*AW124+(1-EXP(-LN(2)/2))/(LN(2)/2)*AQ125*AT125*VLOOKUP('Données projet'!$B$10,Paramètres!$A$1:$I$89,3,0)*0.475*44/12</f>
        <v>1.0066299170432494E-13</v>
      </c>
      <c r="AX125" s="21">
        <f t="shared" si="60"/>
        <v>0.34183346610920234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-1.0995790944434703E-13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293.19327646293601</v>
      </c>
      <c r="BJ125" s="59">
        <f t="shared" si="92"/>
        <v>200.0769581869605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0.25903957460190269</v>
      </c>
      <c r="BR125" s="21">
        <f>EXP(-LN(2)/2)*BR124+(1-EXP(-LN(2)/2))/(LN(2)/2)*BL125*BO125*VLOOKUP('Données projet'!$B$11,Paramètres!$A$1:$I$89,3,0)*0.475*44/12</f>
        <v>9.4021848875000611E-14</v>
      </c>
      <c r="BS125" s="22">
        <f t="shared" si="63"/>
        <v>0.25903957460199672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1.7053025658242404E-13</v>
      </c>
      <c r="BZ125" s="13">
        <f>BY125*VLOOKUP('Données projet'!$B$12,Paramètres!$A$1:$I$89,3,0)*VLOOKUP('Données projet'!$B$12,Paramètres!$A$1:$I$89,5,0)</f>
        <v>1.3301360013429075E-13</v>
      </c>
      <c r="CA125" s="13">
        <f t="shared" si="93"/>
        <v>1.9329766731057041E-12</v>
      </c>
      <c r="CB125" s="20">
        <f t="shared" si="64"/>
        <v>3.5982663925596575E-12</v>
      </c>
      <c r="CC125" s="59">
        <f t="shared" si="65"/>
        <v>293.3333333333369</v>
      </c>
      <c r="CD125" s="59">
        <f ca="1">AVERAGE(OFFSET($CC$3,0,0,'Données projet'!$E$12+1,1))-AVERAGE(OFFSET($H$3,0,0,'Données projet'!$E$12+1,1))</f>
        <v>295.95249585728561</v>
      </c>
      <c r="CE125" s="59">
        <f t="shared" si="94"/>
        <v>306.85862495052709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0.23382768498512602</v>
      </c>
      <c r="CL125" s="21">
        <f>EXP(-LN(2)/25)*CL124+(1-EXP(-LN(2)/25))/(LN(2)/25)*Calculateur!CG125*Calculateur!CI125*VLOOKUP('Données projet'!$B$12,Paramètres!$A$1:$I$89,3,0)*0.475*44/12</f>
        <v>0.65308929071839061</v>
      </c>
      <c r="CM125" s="21">
        <f>EXP(-LN(2)/2)*CM124+(1-EXP(-LN(2)/2))/(LN(2)/2)*CG125*CJ125*VLOOKUP('Données projet'!$B$12,Paramètres!$A$1:$I$89,3,0)*0.475*44/12</f>
        <v>1.857526342050425E-13</v>
      </c>
      <c r="CN125" s="22">
        <f t="shared" si="66"/>
        <v>0.88691697570370243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</v>
      </c>
      <c r="CT125" s="12">
        <f>IF('Données projet'!$A$140&gt;35,CT124+CS125-DB124,IF(A125&lt;'Données projet'!$A$140,$CQ$205^A125,IF(A125='Données projet'!$A$140,'Données projet'!$B$140,CT124+CS125-DB124)))</f>
        <v>421.00000000000023</v>
      </c>
      <c r="CU125" s="17">
        <f>CT125*VLOOKUP('Données projet'!$B$13,Paramètres!$A$1:$I$89,3,0)*VLOOKUP('Données projet'!$B$13,Paramètres!$A$1:$I$89,5,0)</f>
        <v>400.62360000000018</v>
      </c>
      <c r="CV125" s="13">
        <f t="shared" si="95"/>
        <v>91.903079086750807</v>
      </c>
      <c r="CW125" s="20">
        <f t="shared" si="67"/>
        <v>857.81729940942466</v>
      </c>
      <c r="CX125" s="59">
        <f t="shared" si="68"/>
        <v>1151.150632742758</v>
      </c>
      <c r="CY125" s="59">
        <f ca="1">AVERAGE(OFFSET($CX$3,0,0,'Données projet'!$E$13+1,1))-AVERAGE(OFFSET($H$3,0,0,'Données projet'!$E$13+1,1))</f>
        <v>461.10546083340631</v>
      </c>
      <c r="CZ125" s="59">
        <f t="shared" si="96"/>
        <v>233.41883071412587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0.30759148597055735</v>
      </c>
      <c r="DH125" s="21">
        <f>EXP(-LN(2)/2)*DH124+(1-EXP(-LN(2)/2))/(LN(2)/2)*DB125*DE125*VLOOKUP('Données projet'!$B$13,Paramètres!$A$1:$I$89,3,0)*0.475*44/12</f>
        <v>1.1164440898116116E-13</v>
      </c>
      <c r="DI125" s="22">
        <f t="shared" si="69"/>
        <v>0.30759148597066899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-4.1500243241898714E-13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296.376932094327</v>
      </c>
      <c r="DU125" s="59">
        <f t="shared" si="98"/>
        <v>350.93658329210882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0.43647834530556856</v>
      </c>
      <c r="EB125" s="21">
        <f>EXP(-LN(2)/25)*EB124+(1-EXP(-LN(2)/25))/(LN(2)/25)*Calculateur!DW125*Calculateur!DY125*VLOOKUP('Données projet'!$B$14,Paramètres!$A$1:$I$89,3,0)*0.475*44/12</f>
        <v>1.3243547017548183</v>
      </c>
      <c r="EC125" s="21">
        <f>EXP(-LN(2)/2)*EC124+(1-EXP(-LN(2)/2))/(LN(2)/2)*DW125*DZ125*VLOOKUP('Données projet'!$B$14,Paramètres!$A$1:$I$89,3,0)*0.475*44/12</f>
        <v>3.4831356097067305E-13</v>
      </c>
      <c r="ED125" s="22">
        <f t="shared" si="72"/>
        <v>1.7608330470607352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-5.1159076974727213E-13</v>
      </c>
      <c r="EK125" s="17">
        <f>EJ125*VLOOKUP('Données projet'!$B$15,Paramètres!$A$1:$I$89,3,0)*VLOOKUP('Données projet'!$B$15,Paramètres!$A$1:$I$89,5,0)</f>
        <v>-3.3519427233841269E-13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231.03244099494077</v>
      </c>
      <c r="EP125" s="59">
        <f t="shared" si="100"/>
        <v>280.29723026390741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0.35254020197757463</v>
      </c>
      <c r="EW125" s="21">
        <f>EXP(-LN(2)/25)*EW124+(1-EXP(-LN(2)/25))/(LN(2)/25)*Calculateur!ER125*Calculateur!ET125*VLOOKUP('Données projet'!$B$15,Paramètres!$A$1:$I$89,3,0)*0.475*44/12</f>
        <v>1.0696711052635057</v>
      </c>
      <c r="EX125" s="21">
        <f>EXP(-LN(2)/2)*EX124+(1-EXP(-LN(2)/2))/(LN(2)/2)*ER125*EU125*VLOOKUP('Données projet'!$B$15,Paramètres!$A$1:$I$89,3,0)*0.475*44/12</f>
        <v>2.8133018386092808E-13</v>
      </c>
      <c r="EY125" s="22">
        <f t="shared" si="75"/>
        <v>1.4222113072413618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-5.1431925385259092E-13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351.15781452544906</v>
      </c>
      <c r="T126" s="59">
        <f t="shared" si="88"/>
        <v>271.54361159160169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0.38183565736028452</v>
      </c>
      <c r="AA126" s="21">
        <f>EXP(-LN(2)/25)*AA125+(1-EXP(-LN(2)/25))/(LN(2)/25)*Calculateur!V126*Calculateur!X126*VLOOKUP('Données projet'!$B$9,Paramètres!$A$1:$I$89,3,0)*0.475*44/12</f>
        <v>0.85622127396607828</v>
      </c>
      <c r="AB126" s="21">
        <f>EXP(-LN(2)/2)*AB125+(1-EXP(-LN(2)/2))/(LN(2)/2)*V126*Y126*VLOOKUP('Données projet'!$B$9,Paramètres!$A$1:$I$89,3,0)*0.475*44/12</f>
        <v>2.1658068178237815E-13</v>
      </c>
      <c r="AC126" s="22">
        <f t="shared" si="57"/>
        <v>1.2380569313265792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</v>
      </c>
      <c r="AI126" s="13">
        <f>IF('Données projet'!$A$62&gt;35,AI125+AH126-AQ125,IF(A126&lt;'Données projet'!$A$62,$AF$205^A126,IF(A126='Données projet'!$A$62,'Données projet'!$B$62,AI125+AH126-AQ125)))</f>
        <v>426.00000000000023</v>
      </c>
      <c r="AJ126" s="13">
        <f>AI126*VLOOKUP('Données projet'!$B$10,Paramètres!$A$1:$I$89,3,0)*VLOOKUP('Données projet'!$B$10,Paramètres!$A$1:$I$89,5,0)</f>
        <v>365.50800000000027</v>
      </c>
      <c r="AK126" s="13">
        <f t="shared" si="89"/>
        <v>84.747667534292177</v>
      </c>
      <c r="AL126" s="20">
        <f t="shared" si="58"/>
        <v>784.19528762222592</v>
      </c>
      <c r="AM126" s="59">
        <f t="shared" si="59"/>
        <v>1077.5286209555593</v>
      </c>
      <c r="AN126" s="59">
        <f ca="1">AVERAGE(OFFSET($AM$3,0,0,'Données projet'!$E$10+1,1))-AVERAGE(OFFSET($H$3,0,0,'Données projet'!$E$10+1,1))</f>
        <v>405.59933429804329</v>
      </c>
      <c r="AO126" s="59">
        <f t="shared" si="90"/>
        <v>208.64922573363776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0.33248601200210759</v>
      </c>
      <c r="AW126" s="21">
        <f>EXP(-LN(2)/2)*AW125+(1-EXP(-LN(2)/2))/(LN(2)/2)*AQ126*AT126*VLOOKUP('Données projet'!$B$10,Paramètres!$A$1:$I$89,3,0)*0.475*44/12</f>
        <v>7.1179484048653341E-14</v>
      </c>
      <c r="AX126" s="21">
        <f t="shared" si="60"/>
        <v>0.33248601200217875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-1.0995790944434703E-13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293.19327646293601</v>
      </c>
      <c r="BJ126" s="59">
        <f t="shared" si="92"/>
        <v>200.0769581869605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0.25195612381211446</v>
      </c>
      <c r="BR126" s="21">
        <f>EXP(-LN(2)/2)*BR125+(1-EXP(-LN(2)/2))/(LN(2)/2)*BL126*BO126*VLOOKUP('Données projet'!$B$11,Paramètres!$A$1:$I$89,3,0)*0.475*44/12</f>
        <v>6.6483486919209695E-14</v>
      </c>
      <c r="BS126" s="22">
        <f t="shared" si="63"/>
        <v>0.25195612381218097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1.7053025658242404E-13</v>
      </c>
      <c r="BZ126" s="13">
        <f>BY126*VLOOKUP('Données projet'!$B$12,Paramètres!$A$1:$I$89,3,0)*VLOOKUP('Données projet'!$B$12,Paramètres!$A$1:$I$89,5,0)</f>
        <v>1.3301360013429075E-13</v>
      </c>
      <c r="CA126" s="13">
        <f t="shared" si="93"/>
        <v>1.9329766731057041E-12</v>
      </c>
      <c r="CB126" s="20">
        <f t="shared" si="64"/>
        <v>3.5982663925596575E-12</v>
      </c>
      <c r="CC126" s="59">
        <f t="shared" si="65"/>
        <v>293.3333333333369</v>
      </c>
      <c r="CD126" s="59">
        <f ca="1">AVERAGE(OFFSET($CC$3,0,0,'Données projet'!$E$12+1,1))-AVERAGE(OFFSET($H$3,0,0,'Données projet'!$E$12+1,1))</f>
        <v>295.95249585728561</v>
      </c>
      <c r="CE126" s="59">
        <f t="shared" si="94"/>
        <v>306.85862495052709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0.22924246670337289</v>
      </c>
      <c r="CL126" s="21">
        <f>EXP(-LN(2)/25)*CL125+(1-EXP(-LN(2)/25))/(LN(2)/25)*Calculateur!CG126*Calculateur!CI126*VLOOKUP('Données projet'!$B$12,Paramètres!$A$1:$I$89,3,0)*0.475*44/12</f>
        <v>0.63523052971922311</v>
      </c>
      <c r="CM126" s="21">
        <f>EXP(-LN(2)/2)*CM125+(1-EXP(-LN(2)/2))/(LN(2)/2)*CG126*CJ126*VLOOKUP('Données projet'!$B$12,Paramètres!$A$1:$I$89,3,0)*0.475*44/12</f>
        <v>1.3134694726964979E-13</v>
      </c>
      <c r="CN126" s="22">
        <f t="shared" si="66"/>
        <v>0.86447299642272735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</v>
      </c>
      <c r="CT126" s="12">
        <f>IF('Données projet'!$A$140&gt;35,CT125+CS126-DB125,IF(A126&lt;'Données projet'!$A$140,$CQ$205^A126,IF(A126='Données projet'!$A$140,'Données projet'!$B$140,CT125+CS126-DB125)))</f>
        <v>426.00000000000023</v>
      </c>
      <c r="CU126" s="17">
        <f>CT126*VLOOKUP('Données projet'!$B$13,Paramètres!$A$1:$I$89,3,0)*VLOOKUP('Données projet'!$B$13,Paramètres!$A$1:$I$89,5,0)</f>
        <v>405.38160000000022</v>
      </c>
      <c r="CV126" s="13">
        <f t="shared" si="95"/>
        <v>92.866851972728369</v>
      </c>
      <c r="CW126" s="20">
        <f t="shared" si="67"/>
        <v>867.78272051916895</v>
      </c>
      <c r="CX126" s="59">
        <f t="shared" si="68"/>
        <v>1161.1160538525023</v>
      </c>
      <c r="CY126" s="59">
        <f ca="1">AVERAGE(OFFSET($CX$3,0,0,'Données projet'!$E$13+1,1))-AVERAGE(OFFSET($H$3,0,0,'Données projet'!$E$13+1,1))</f>
        <v>461.10546083340631</v>
      </c>
      <c r="CZ126" s="59">
        <f t="shared" si="96"/>
        <v>233.41883071412587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0.2991803806111592</v>
      </c>
      <c r="DH126" s="21">
        <f>EXP(-LN(2)/2)*DH125+(1-EXP(-LN(2)/2))/(LN(2)/2)*DB126*DE126*VLOOKUP('Données projet'!$B$13,Paramètres!$A$1:$I$89,3,0)*0.475*44/12</f>
        <v>7.8944518672143352E-14</v>
      </c>
      <c r="DI126" s="22">
        <f t="shared" si="69"/>
        <v>0.29918038061123814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-4.1500243241898714E-13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296.376932094327</v>
      </c>
      <c r="DU126" s="59">
        <f t="shared" si="98"/>
        <v>350.93658329210882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0.42791927117962941</v>
      </c>
      <c r="EB126" s="21">
        <f>EXP(-LN(2)/25)*EB125+(1-EXP(-LN(2)/25))/(LN(2)/25)*Calculateur!DW126*Calculateur!DY126*VLOOKUP('Données projet'!$B$14,Paramètres!$A$1:$I$89,3,0)*0.475*44/12</f>
        <v>1.2881401527905458</v>
      </c>
      <c r="EC126" s="21">
        <f>EXP(-LN(2)/2)*EC125+(1-EXP(-LN(2)/2))/(LN(2)/2)*DW126*DZ126*VLOOKUP('Données projet'!$B$14,Paramètres!$A$1:$I$89,3,0)*0.475*44/12</f>
        <v>2.4629488094159688E-13</v>
      </c>
      <c r="ED126" s="22">
        <f t="shared" si="72"/>
        <v>1.7160594239704214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-5.1159076974727213E-13</v>
      </c>
      <c r="EK126" s="17">
        <f>EJ126*VLOOKUP('Données projet'!$B$15,Paramètres!$A$1:$I$89,3,0)*VLOOKUP('Données projet'!$B$15,Paramètres!$A$1:$I$89,5,0)</f>
        <v>-3.3519427233841269E-13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231.03244099494077</v>
      </c>
      <c r="EP126" s="59">
        <f t="shared" si="100"/>
        <v>280.29723026390741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0.34562710364508531</v>
      </c>
      <c r="EW126" s="21">
        <f>EXP(-LN(2)/25)*EW125+(1-EXP(-LN(2)/25))/(LN(2)/25)*Calculateur!ER126*Calculateur!ET126*VLOOKUP('Données projet'!$B$15,Paramètres!$A$1:$I$89,3,0)*0.475*44/12</f>
        <v>1.0404208926385166</v>
      </c>
      <c r="EX126" s="21">
        <f>EXP(-LN(2)/2)*EX125+(1-EXP(-LN(2)/2))/(LN(2)/2)*ER126*EU126*VLOOKUP('Données projet'!$B$15,Paramètres!$A$1:$I$89,3,0)*0.475*44/12</f>
        <v>1.9893048076052046E-13</v>
      </c>
      <c r="EY126" s="22">
        <f t="shared" si="75"/>
        <v>1.3860479962838008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-5.1431925385259092E-13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351.15781452544906</v>
      </c>
      <c r="T127" s="59">
        <f t="shared" si="88"/>
        <v>271.54361159160169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0.3743480930162037</v>
      </c>
      <c r="AA127" s="21">
        <f>EXP(-LN(2)/25)*AA126+(1-EXP(-LN(2)/25))/(LN(2)/25)*Calculateur!V127*Calculateur!X127*VLOOKUP('Données projet'!$B$9,Paramètres!$A$1:$I$89,3,0)*0.475*44/12</f>
        <v>0.83280785820275594</v>
      </c>
      <c r="AB127" s="21">
        <f>EXP(-LN(2)/2)*AB126+(1-EXP(-LN(2)/2))/(LN(2)/2)*V127*Y127*VLOOKUP('Données projet'!$B$9,Paramètres!$A$1:$I$89,3,0)*0.475*44/12</f>
        <v>1.5314566876232535E-13</v>
      </c>
      <c r="AC127" s="22">
        <f t="shared" si="57"/>
        <v>1.2071559512191128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</v>
      </c>
      <c r="AI127" s="13">
        <f>IF('Données projet'!$A$62&gt;35,AI126+AH127-AQ126,IF(A127&lt;'Données projet'!$A$62,$AF$205^A127,IF(A127='Données projet'!$A$62,'Données projet'!$B$62,AI126+AH127-AQ126)))</f>
        <v>431.00000000000023</v>
      </c>
      <c r="AJ127" s="13">
        <f>AI127*VLOOKUP('Données projet'!$B$10,Paramètres!$A$1:$I$89,3,0)*VLOOKUP('Données projet'!$B$10,Paramètres!$A$1:$I$89,5,0)</f>
        <v>369.79800000000023</v>
      </c>
      <c r="AK127" s="13">
        <f t="shared" si="89"/>
        <v>85.625978667852593</v>
      </c>
      <c r="AL127" s="20">
        <f t="shared" si="58"/>
        <v>793.1967628465103</v>
      </c>
      <c r="AM127" s="59">
        <f t="shared" si="59"/>
        <v>1086.5300961798437</v>
      </c>
      <c r="AN127" s="59">
        <f ca="1">AVERAGE(OFFSET($AM$3,0,0,'Données projet'!$E$10+1,1))-AVERAGE(OFFSET($H$3,0,0,'Données projet'!$E$10+1,1))</f>
        <v>405.59933429804329</v>
      </c>
      <c r="AO127" s="59">
        <f t="shared" si="90"/>
        <v>208.64922573363776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0.32339416451923048</v>
      </c>
      <c r="AW127" s="21">
        <f>EXP(-LN(2)/2)*AW126+(1-EXP(-LN(2)/2))/(LN(2)/2)*AQ127*AT127*VLOOKUP('Données projet'!$B$10,Paramètres!$A$1:$I$89,3,0)*0.475*44/12</f>
        <v>5.0331495852162469E-14</v>
      </c>
      <c r="AX127" s="21">
        <f t="shared" si="60"/>
        <v>0.32339416451928082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-1.0995790944434703E-13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293.19327646293601</v>
      </c>
      <c r="BJ127" s="59">
        <f t="shared" si="92"/>
        <v>200.0769581869605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0.2450663703566755</v>
      </c>
      <c r="BR127" s="21">
        <f>EXP(-LN(2)/2)*BR126+(1-EXP(-LN(2)/2))/(LN(2)/2)*BL127*BO127*VLOOKUP('Données projet'!$B$11,Paramètres!$A$1:$I$89,3,0)*0.475*44/12</f>
        <v>4.7010924437500306E-14</v>
      </c>
      <c r="BS127" s="22">
        <f t="shared" si="63"/>
        <v>0.24506637035672252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1.7053025658242404E-13</v>
      </c>
      <c r="BZ127" s="13">
        <f>BY127*VLOOKUP('Données projet'!$B$12,Paramètres!$A$1:$I$89,3,0)*VLOOKUP('Données projet'!$B$12,Paramètres!$A$1:$I$89,5,0)</f>
        <v>1.3301360013429075E-13</v>
      </c>
      <c r="CA127" s="13">
        <f t="shared" si="93"/>
        <v>1.9329766731057041E-12</v>
      </c>
      <c r="CB127" s="20">
        <f t="shared" si="64"/>
        <v>3.5982663925596575E-12</v>
      </c>
      <c r="CC127" s="59">
        <f t="shared" si="65"/>
        <v>293.3333333333369</v>
      </c>
      <c r="CD127" s="59">
        <f ca="1">AVERAGE(OFFSET($CC$3,0,0,'Données projet'!$E$12+1,1))-AVERAGE(OFFSET($H$3,0,0,'Données projet'!$E$12+1,1))</f>
        <v>295.95249585728561</v>
      </c>
      <c r="CE127" s="59">
        <f t="shared" si="94"/>
        <v>306.85862495052709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0.22474716175541795</v>
      </c>
      <c r="CL127" s="21">
        <f>EXP(-LN(2)/25)*CL126+(1-EXP(-LN(2)/25))/(LN(2)/25)*Calculateur!CG127*Calculateur!CI127*VLOOKUP('Données projet'!$B$12,Paramètres!$A$1:$I$89,3,0)*0.475*44/12</f>
        <v>0.61786011747872926</v>
      </c>
      <c r="CM127" s="21">
        <f>EXP(-LN(2)/2)*CM126+(1-EXP(-LN(2)/2))/(LN(2)/2)*CG127*CJ127*VLOOKUP('Données projet'!$B$12,Paramètres!$A$1:$I$89,3,0)*0.475*44/12</f>
        <v>9.2876317102521251E-14</v>
      </c>
      <c r="CN127" s="22">
        <f t="shared" si="66"/>
        <v>0.84260727923424017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</v>
      </c>
      <c r="CT127" s="12">
        <f>IF('Données projet'!$A$140&gt;35,CT126+CS127-DB126,IF(A127&lt;'Données projet'!$A$140,$CQ$205^A127,IF(A127='Données projet'!$A$140,'Données projet'!$B$140,CT126+CS127-DB126)))</f>
        <v>431.00000000000023</v>
      </c>
      <c r="CU127" s="17">
        <f>CT127*VLOOKUP('Données projet'!$B$13,Paramètres!$A$1:$I$89,3,0)*VLOOKUP('Données projet'!$B$13,Paramètres!$A$1:$I$89,5,0)</f>
        <v>410.13960000000026</v>
      </c>
      <c r="CV127" s="13">
        <f t="shared" si="95"/>
        <v>93.829309021984102</v>
      </c>
      <c r="CW127" s="20">
        <f t="shared" si="67"/>
        <v>877.74584987995604</v>
      </c>
      <c r="CX127" s="59">
        <f t="shared" si="68"/>
        <v>1171.0791832132893</v>
      </c>
      <c r="CY127" s="59">
        <f ca="1">AVERAGE(OFFSET($CX$3,0,0,'Données projet'!$E$13+1,1))-AVERAGE(OFFSET($H$3,0,0,'Données projet'!$E$13+1,1))</f>
        <v>461.10546083340631</v>
      </c>
      <c r="CZ127" s="59">
        <f t="shared" si="96"/>
        <v>233.41883071412587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0.29099927737013465</v>
      </c>
      <c r="DH127" s="21">
        <f>EXP(-LN(2)/2)*DH126+(1-EXP(-LN(2)/2))/(LN(2)/2)*DB127*DE127*VLOOKUP('Données projet'!$B$13,Paramètres!$A$1:$I$89,3,0)*0.475*44/12</f>
        <v>5.582220449058059E-14</v>
      </c>
      <c r="DI127" s="22">
        <f t="shared" si="69"/>
        <v>0.29099927737019049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-4.1500243241898714E-13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296.376932094327</v>
      </c>
      <c r="DU127" s="59">
        <f t="shared" si="98"/>
        <v>350.93658329210882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0.41952803527678018</v>
      </c>
      <c r="EB127" s="21">
        <f>EXP(-LN(2)/25)*EB126+(1-EXP(-LN(2)/25))/(LN(2)/25)*Calculateur!DW127*Calculateur!DY127*VLOOKUP('Données projet'!$B$14,Paramètres!$A$1:$I$89,3,0)*0.475*44/12</f>
        <v>1.2529158925721418</v>
      </c>
      <c r="EC127" s="21">
        <f>EXP(-LN(2)/2)*EC126+(1-EXP(-LN(2)/2))/(LN(2)/2)*DW127*DZ127*VLOOKUP('Données projet'!$B$14,Paramètres!$A$1:$I$89,3,0)*0.475*44/12</f>
        <v>1.7415678048533652E-13</v>
      </c>
      <c r="ED127" s="22">
        <f t="shared" si="72"/>
        <v>1.6724439278490961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-5.1159076974727213E-13</v>
      </c>
      <c r="EK127" s="17">
        <f>EJ127*VLOOKUP('Données projet'!$B$15,Paramètres!$A$1:$I$89,3,0)*VLOOKUP('Données projet'!$B$15,Paramètres!$A$1:$I$89,5,0)</f>
        <v>-3.3519427233841269E-13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231.03244099494077</v>
      </c>
      <c r="EP127" s="59">
        <f t="shared" si="100"/>
        <v>280.29723026390741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0.3388495669543225</v>
      </c>
      <c r="EW127" s="21">
        <f>EXP(-LN(2)/25)*EW126+(1-EXP(-LN(2)/25))/(LN(2)/25)*Calculateur!ER127*Calculateur!ET127*VLOOKUP('Données projet'!$B$15,Paramètres!$A$1:$I$89,3,0)*0.475*44/12</f>
        <v>1.0119705286159595</v>
      </c>
      <c r="EX127" s="21">
        <f>EXP(-LN(2)/2)*EX126+(1-EXP(-LN(2)/2))/(LN(2)/2)*ER127*EU127*VLOOKUP('Données projet'!$B$15,Paramètres!$A$1:$I$89,3,0)*0.475*44/12</f>
        <v>1.4066509193046404E-13</v>
      </c>
      <c r="EY127" s="22">
        <f t="shared" si="75"/>
        <v>1.3508200955704226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-5.1431925385259092E-13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351.15781452544906</v>
      </c>
      <c r="T128" s="59">
        <f t="shared" si="88"/>
        <v>271.54361159160169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0.367007355241947</v>
      </c>
      <c r="AA128" s="21">
        <f>EXP(-LN(2)/25)*AA127+(1-EXP(-LN(2)/25))/(LN(2)/25)*Calculateur!V128*Calculateur!X128*VLOOKUP('Données projet'!$B$9,Paramètres!$A$1:$I$89,3,0)*0.475*44/12</f>
        <v>0.81003468352473973</v>
      </c>
      <c r="AB128" s="21">
        <f>EXP(-LN(2)/2)*AB127+(1-EXP(-LN(2)/2))/(LN(2)/2)*V128*Y128*VLOOKUP('Données projet'!$B$9,Paramètres!$A$1:$I$89,3,0)*0.475*44/12</f>
        <v>1.0829034089118908E-13</v>
      </c>
      <c r="AC128" s="22">
        <f t="shared" si="57"/>
        <v>1.177042038766795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</v>
      </c>
      <c r="AI128" s="13">
        <f>IF('Données projet'!$A$62&gt;35,AI127+AH128-AQ127,IF(A128&lt;'Données projet'!$A$62,$AF$205^A128,IF(A128='Données projet'!$A$62,'Données projet'!$B$62,AI127+AH128-AQ127)))</f>
        <v>436.00000000000023</v>
      </c>
      <c r="AJ128" s="13">
        <f>AI128*VLOOKUP('Données projet'!$B$10,Paramètres!$A$1:$I$89,3,0)*VLOOKUP('Données projet'!$B$10,Paramètres!$A$1:$I$89,5,0)</f>
        <v>374.08800000000025</v>
      </c>
      <c r="AK128" s="13">
        <f t="shared" si="89"/>
        <v>86.503104548004657</v>
      </c>
      <c r="AL128" s="20">
        <f t="shared" si="58"/>
        <v>802.19617375444193</v>
      </c>
      <c r="AM128" s="59">
        <f t="shared" si="59"/>
        <v>1095.5295070877753</v>
      </c>
      <c r="AN128" s="59">
        <f ca="1">AVERAGE(OFFSET($AM$3,0,0,'Données projet'!$E$10+1,1))-AVERAGE(OFFSET($H$3,0,0,'Données projet'!$E$10+1,1))</f>
        <v>405.59933429804329</v>
      </c>
      <c r="AO128" s="59">
        <f t="shared" si="90"/>
        <v>208.64922573363776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0.31455093408389212</v>
      </c>
      <c r="AW128" s="21">
        <f>EXP(-LN(2)/2)*AW127+(1-EXP(-LN(2)/2))/(LN(2)/2)*AQ128*AT128*VLOOKUP('Données projet'!$B$10,Paramètres!$A$1:$I$89,3,0)*0.475*44/12</f>
        <v>3.5589742024326671E-14</v>
      </c>
      <c r="AX128" s="21">
        <f t="shared" si="60"/>
        <v>0.3145509340839277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-1.0995790944434703E-13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293.19327646293601</v>
      </c>
      <c r="BJ128" s="59">
        <f t="shared" si="92"/>
        <v>200.0769581869605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0.2383650175717919</v>
      </c>
      <c r="BR128" s="21">
        <f>EXP(-LN(2)/2)*BR127+(1-EXP(-LN(2)/2))/(LN(2)/2)*BL128*BO128*VLOOKUP('Données projet'!$B$11,Paramètres!$A$1:$I$89,3,0)*0.475*44/12</f>
        <v>3.3241743459604848E-14</v>
      </c>
      <c r="BS128" s="22">
        <f t="shared" si="63"/>
        <v>0.23836501757182516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1.7053025658242404E-13</v>
      </c>
      <c r="BZ128" s="13">
        <f>BY128*VLOOKUP('Données projet'!$B$12,Paramètres!$A$1:$I$89,3,0)*VLOOKUP('Données projet'!$B$12,Paramètres!$A$1:$I$89,5,0)</f>
        <v>1.3301360013429075E-13</v>
      </c>
      <c r="CA128" s="13">
        <f t="shared" si="93"/>
        <v>1.9329766731057041E-12</v>
      </c>
      <c r="CB128" s="20">
        <f t="shared" si="64"/>
        <v>3.5982663925596575E-12</v>
      </c>
      <c r="CC128" s="59">
        <f t="shared" si="65"/>
        <v>293.3333333333369</v>
      </c>
      <c r="CD128" s="59">
        <f ca="1">AVERAGE(OFFSET($CC$3,0,0,'Données projet'!$E$12+1,1))-AVERAGE(OFFSET($H$3,0,0,'Données projet'!$E$12+1,1))</f>
        <v>295.95249585728561</v>
      </c>
      <c r="CE128" s="59">
        <f t="shared" si="94"/>
        <v>306.85862495052709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0.22034000699562714</v>
      </c>
      <c r="CL128" s="21">
        <f>EXP(-LN(2)/25)*CL127+(1-EXP(-LN(2)/25))/(LN(2)/25)*Calculateur!CG128*Calculateur!CI128*VLOOKUP('Données projet'!$B$12,Paramètres!$A$1:$I$89,3,0)*0.475*44/12</f>
        <v>0.60096470007442193</v>
      </c>
      <c r="CM128" s="21">
        <f>EXP(-LN(2)/2)*CM127+(1-EXP(-LN(2)/2))/(LN(2)/2)*CG128*CJ128*VLOOKUP('Données projet'!$B$12,Paramètres!$A$1:$I$89,3,0)*0.475*44/12</f>
        <v>6.5673473634824895E-14</v>
      </c>
      <c r="CN128" s="22">
        <f t="shared" si="66"/>
        <v>0.82130470707011483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5</v>
      </c>
      <c r="CT128" s="12">
        <f>IF('Données projet'!$A$140&gt;35,CT127+CS128-DB127,IF(A128&lt;'Données projet'!$A$140,$CQ$205^A128,IF(A128='Données projet'!$A$140,'Données projet'!$B$140,CT127+CS128-DB127)))</f>
        <v>436.00000000000023</v>
      </c>
      <c r="CU128" s="17">
        <f>CT128*VLOOKUP('Données projet'!$B$13,Paramètres!$A$1:$I$89,3,0)*VLOOKUP('Données projet'!$B$13,Paramètres!$A$1:$I$89,5,0)</f>
        <v>414.89760000000024</v>
      </c>
      <c r="CV128" s="13">
        <f t="shared" si="95"/>
        <v>94.79046726554958</v>
      </c>
      <c r="CW128" s="20">
        <f t="shared" si="67"/>
        <v>887.70671715416586</v>
      </c>
      <c r="CX128" s="59">
        <f t="shared" si="68"/>
        <v>1181.0400504874992</v>
      </c>
      <c r="CY128" s="59">
        <f ca="1">AVERAGE(OFFSET($CX$3,0,0,'Données projet'!$E$13+1,1))-AVERAGE(OFFSET($H$3,0,0,'Données projet'!$E$13+1,1))</f>
        <v>461.10546083340631</v>
      </c>
      <c r="CZ128" s="59">
        <f t="shared" si="96"/>
        <v>233.41883071412587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0.2830418868274614</v>
      </c>
      <c r="DH128" s="21">
        <f>EXP(-LN(2)/2)*DH127+(1-EXP(-LN(2)/2))/(LN(2)/2)*DB128*DE128*VLOOKUP('Données projet'!$B$13,Paramètres!$A$1:$I$89,3,0)*0.475*44/12</f>
        <v>3.9472259336071682E-14</v>
      </c>
      <c r="DI128" s="22">
        <f t="shared" si="69"/>
        <v>0.28304188682750087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-4.1500243241898714E-13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296.376932094327</v>
      </c>
      <c r="DU128" s="59">
        <f t="shared" si="98"/>
        <v>350.93658329210882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0.4113013463918373</v>
      </c>
      <c r="EB128" s="21">
        <f>EXP(-LN(2)/25)*EB127+(1-EXP(-LN(2)/25))/(LN(2)/25)*Calculateur!DW128*Calculateur!DY128*VLOOKUP('Données projet'!$B$14,Paramètres!$A$1:$I$89,3,0)*0.475*44/12</f>
        <v>1.2186548416017733</v>
      </c>
      <c r="EC128" s="21">
        <f>EXP(-LN(2)/2)*EC127+(1-EXP(-LN(2)/2))/(LN(2)/2)*DW128*DZ128*VLOOKUP('Données projet'!$B$14,Paramètres!$A$1:$I$89,3,0)*0.475*44/12</f>
        <v>1.2314744047079844E-13</v>
      </c>
      <c r="ED128" s="22">
        <f t="shared" si="72"/>
        <v>1.6299561879937339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-5.1159076974727213E-13</v>
      </c>
      <c r="EK128" s="17">
        <f>EJ128*VLOOKUP('Données projet'!$B$15,Paramètres!$A$1:$I$89,3,0)*VLOOKUP('Données projet'!$B$15,Paramètres!$A$1:$I$89,5,0)</f>
        <v>-3.3519427233841269E-13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231.03244099494077</v>
      </c>
      <c r="EP128" s="59">
        <f t="shared" si="100"/>
        <v>280.29723026390741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0.33220493362417636</v>
      </c>
      <c r="EW128" s="21">
        <f>EXP(-LN(2)/25)*EW127+(1-EXP(-LN(2)/25))/(LN(2)/25)*Calculateur!ER128*Calculateur!ET128*VLOOKUP('Données projet'!$B$15,Paramètres!$A$1:$I$89,3,0)*0.475*44/12</f>
        <v>0.98429814129373883</v>
      </c>
      <c r="EX128" s="21">
        <f>EXP(-LN(2)/2)*EX127+(1-EXP(-LN(2)/2))/(LN(2)/2)*ER128*EU128*VLOOKUP('Données projet'!$B$15,Paramètres!$A$1:$I$89,3,0)*0.475*44/12</f>
        <v>9.9465240380260229E-14</v>
      </c>
      <c r="EY128" s="22">
        <f t="shared" si="75"/>
        <v>1.3165030749180147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-5.1431925385259092E-13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351.15781452544906</v>
      </c>
      <c r="T129" s="59">
        <f t="shared" si="88"/>
        <v>271.54361159160169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0.35981056485803553</v>
      </c>
      <c r="AA129" s="21">
        <f>EXP(-LN(2)/25)*AA128+(1-EXP(-LN(2)/25))/(LN(2)/25)*Calculateur!V129*Calculateur!X129*VLOOKUP('Données projet'!$B$9,Paramètres!$A$1:$I$89,3,0)*0.475*44/12</f>
        <v>0.78788424250588307</v>
      </c>
      <c r="AB129" s="21">
        <f>EXP(-LN(2)/2)*AB128+(1-EXP(-LN(2)/2))/(LN(2)/2)*V129*Y129*VLOOKUP('Données projet'!$B$9,Paramètres!$A$1:$I$89,3,0)*0.475*44/12</f>
        <v>7.6572834381162674E-14</v>
      </c>
      <c r="AC129" s="22">
        <f t="shared" si="57"/>
        <v>1.1476948073639952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</v>
      </c>
      <c r="AI129" s="13">
        <f>IF('Données projet'!$A$62&gt;35,AI128+AH129-AQ128,IF(A129&lt;'Données projet'!$A$62,$AF$205^A129,IF(A129='Données projet'!$A$62,'Données projet'!$B$62,AI128+AH129-AQ128)))</f>
        <v>441.00000000000023</v>
      </c>
      <c r="AJ129" s="13">
        <f>AI129*VLOOKUP('Données projet'!$B$10,Paramètres!$A$1:$I$89,3,0)*VLOOKUP('Données projet'!$B$10,Paramètres!$A$1:$I$89,5,0)</f>
        <v>378.37800000000027</v>
      </c>
      <c r="AK129" s="13">
        <f t="shared" si="89"/>
        <v>87.379060339798997</v>
      </c>
      <c r="AL129" s="20">
        <f t="shared" si="58"/>
        <v>811.19354675848388</v>
      </c>
      <c r="AM129" s="59">
        <f t="shared" si="59"/>
        <v>1104.5268800918172</v>
      </c>
      <c r="AN129" s="59">
        <f ca="1">AVERAGE(OFFSET($AM$3,0,0,'Données projet'!$E$10+1,1))-AVERAGE(OFFSET($H$3,0,0,'Données projet'!$E$10+1,1))</f>
        <v>405.59933429804329</v>
      </c>
      <c r="AO129" s="59">
        <f t="shared" si="90"/>
        <v>208.64922573363776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0.30594952224985339</v>
      </c>
      <c r="AW129" s="21">
        <f>EXP(-LN(2)/2)*AW128+(1-EXP(-LN(2)/2))/(LN(2)/2)*AQ129*AT129*VLOOKUP('Données projet'!$B$10,Paramètres!$A$1:$I$89,3,0)*0.475*44/12</f>
        <v>2.5165747926081234E-14</v>
      </c>
      <c r="AX129" s="21">
        <f t="shared" si="60"/>
        <v>0.30594952224987854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-1.0995790944434703E-13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293.19327646293601</v>
      </c>
      <c r="BJ129" s="59">
        <f t="shared" si="92"/>
        <v>200.0769581869605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0.23184691363121976</v>
      </c>
      <c r="BR129" s="21">
        <f>EXP(-LN(2)/2)*BR128+(1-EXP(-LN(2)/2))/(LN(2)/2)*BL129*BO129*VLOOKUP('Données projet'!$B$11,Paramètres!$A$1:$I$89,3,0)*0.475*44/12</f>
        <v>2.3505462218750153E-14</v>
      </c>
      <c r="BS129" s="22">
        <f t="shared" si="63"/>
        <v>0.23184691363124327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1.7053025658242404E-13</v>
      </c>
      <c r="BZ129" s="13">
        <f>BY129*VLOOKUP('Données projet'!$B$12,Paramètres!$A$1:$I$89,3,0)*VLOOKUP('Données projet'!$B$12,Paramètres!$A$1:$I$89,5,0)</f>
        <v>1.3301360013429075E-13</v>
      </c>
      <c r="CA129" s="13">
        <f t="shared" si="93"/>
        <v>1.9329766731057041E-12</v>
      </c>
      <c r="CB129" s="20">
        <f t="shared" si="64"/>
        <v>3.5982663925596575E-12</v>
      </c>
      <c r="CC129" s="59">
        <f t="shared" si="65"/>
        <v>293.3333333333369</v>
      </c>
      <c r="CD129" s="59">
        <f ca="1">AVERAGE(OFFSET($CC$3,0,0,'Données projet'!$E$12+1,1))-AVERAGE(OFFSET($H$3,0,0,'Données projet'!$E$12+1,1))</f>
        <v>295.95249585728561</v>
      </c>
      <c r="CE129" s="59">
        <f t="shared" si="94"/>
        <v>306.85862495052709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0.21601927385257685</v>
      </c>
      <c r="CL129" s="21">
        <f>EXP(-LN(2)/25)*CL128+(1-EXP(-LN(2)/25))/(LN(2)/25)*Calculateur!CG129*Calculateur!CI129*VLOOKUP('Données projet'!$B$12,Paramètres!$A$1:$I$89,3,0)*0.475*44/12</f>
        <v>0.5845312887475268</v>
      </c>
      <c r="CM129" s="21">
        <f>EXP(-LN(2)/2)*CM128+(1-EXP(-LN(2)/2))/(LN(2)/2)*CG129*CJ129*VLOOKUP('Données projet'!$B$12,Paramètres!$A$1:$I$89,3,0)*0.475*44/12</f>
        <v>4.6438158551260626E-14</v>
      </c>
      <c r="CN129" s="22">
        <f t="shared" si="66"/>
        <v>0.80055056260015012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</v>
      </c>
      <c r="CT129" s="12">
        <f>IF('Données projet'!$A$140&gt;35,CT128+CS129-DB128,IF(A129&lt;'Données projet'!$A$140,$CQ$205^A129,IF(A129='Données projet'!$A$140,'Données projet'!$B$140,CT128+CS129-DB128)))</f>
        <v>441.00000000000023</v>
      </c>
      <c r="CU129" s="17">
        <f>CT129*VLOOKUP('Données projet'!$B$13,Paramètres!$A$1:$I$89,3,0)*VLOOKUP('Données projet'!$B$13,Paramètres!$A$1:$I$89,5,0)</f>
        <v>419.65560000000016</v>
      </c>
      <c r="CV129" s="13">
        <f t="shared" si="95"/>
        <v>95.750343321351295</v>
      </c>
      <c r="CW129" s="20">
        <f t="shared" si="67"/>
        <v>897.66535128468706</v>
      </c>
      <c r="CX129" s="59">
        <f t="shared" si="68"/>
        <v>1190.9986846180204</v>
      </c>
      <c r="CY129" s="59">
        <f ca="1">AVERAGE(OFFSET($CX$3,0,0,'Données projet'!$E$13+1,1))-AVERAGE(OFFSET($H$3,0,0,'Données projet'!$E$13+1,1))</f>
        <v>461.10546083340631</v>
      </c>
      <c r="CZ129" s="59">
        <f t="shared" si="96"/>
        <v>233.41883071412587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0.27530209154763852</v>
      </c>
      <c r="DH129" s="21">
        <f>EXP(-LN(2)/2)*DH128+(1-EXP(-LN(2)/2))/(LN(2)/2)*DB129*DE129*VLOOKUP('Données projet'!$B$13,Paramètres!$A$1:$I$89,3,0)*0.475*44/12</f>
        <v>2.7911102245290298E-14</v>
      </c>
      <c r="DI129" s="22">
        <f t="shared" si="69"/>
        <v>0.27530209154766644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-4.1500243241898714E-13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296.376932094327</v>
      </c>
      <c r="DU129" s="59">
        <f t="shared" si="98"/>
        <v>350.93658329210882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0.40323597785814341</v>
      </c>
      <c r="EB129" s="21">
        <f>EXP(-LN(2)/25)*EB128+(1-EXP(-LN(2)/25))/(LN(2)/25)*Calculateur!DW129*Calculateur!DY129*VLOOKUP('Données projet'!$B$14,Paramètres!$A$1:$I$89,3,0)*0.475*44/12</f>
        <v>1.1853306608718999</v>
      </c>
      <c r="EC129" s="21">
        <f>EXP(-LN(2)/2)*EC128+(1-EXP(-LN(2)/2))/(LN(2)/2)*DW129*DZ129*VLOOKUP('Données projet'!$B$14,Paramètres!$A$1:$I$89,3,0)*0.475*44/12</f>
        <v>8.7078390242668261E-14</v>
      </c>
      <c r="ED129" s="22">
        <f t="shared" si="72"/>
        <v>1.5885666387301303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-5.1159076974727213E-13</v>
      </c>
      <c r="EK129" s="17">
        <f>EJ129*VLOOKUP('Données projet'!$B$15,Paramètres!$A$1:$I$89,3,0)*VLOOKUP('Données projet'!$B$15,Paramètres!$A$1:$I$89,5,0)</f>
        <v>-3.3519427233841269E-13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231.03244099494077</v>
      </c>
      <c r="EP129" s="59">
        <f t="shared" si="100"/>
        <v>280.29723026390741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0.3256905975008082</v>
      </c>
      <c r="EW129" s="21">
        <f>EXP(-LN(2)/25)*EW128+(1-EXP(-LN(2)/25))/(LN(2)/25)*Calculateur!ER129*Calculateur!ET129*VLOOKUP('Données projet'!$B$15,Paramètres!$A$1:$I$89,3,0)*0.475*44/12</f>
        <v>0.95738245685807188</v>
      </c>
      <c r="EX129" s="21">
        <f>EXP(-LN(2)/2)*EX128+(1-EXP(-LN(2)/2))/(LN(2)/2)*ER129*EU129*VLOOKUP('Données projet'!$B$15,Paramètres!$A$1:$I$89,3,0)*0.475*44/12</f>
        <v>7.033254596523202E-14</v>
      </c>
      <c r="EY129" s="22">
        <f t="shared" si="75"/>
        <v>1.2830730543589504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-5.1431925385259092E-13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351.15781452544906</v>
      </c>
      <c r="T130" s="59">
        <f t="shared" si="88"/>
        <v>271.54361159160169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0.35275489914394387</v>
      </c>
      <c r="AA130" s="21">
        <f>EXP(-LN(2)/25)*AA129+(1-EXP(-LN(2)/25))/(LN(2)/25)*Calculateur!V130*Calculateur!X130*VLOOKUP('Données projet'!$B$9,Paramètres!$A$1:$I$89,3,0)*0.475*44/12</f>
        <v>0.76633950646152815</v>
      </c>
      <c r="AB130" s="21">
        <f>EXP(-LN(2)/2)*AB129+(1-EXP(-LN(2)/2))/(LN(2)/2)*V130*Y130*VLOOKUP('Données projet'!$B$9,Paramètres!$A$1:$I$89,3,0)*0.475*44/12</f>
        <v>5.4145170445594539E-14</v>
      </c>
      <c r="AC130" s="22">
        <f t="shared" si="57"/>
        <v>1.1190944056055261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</v>
      </c>
      <c r="AI130" s="13">
        <f>IF('Données projet'!$A$62&gt;35,AI129+AH130-AQ129,IF(A130&lt;'Données projet'!$A$62,$AF$205^A130,IF(A130='Données projet'!$A$62,'Données projet'!$B$62,AI129+AH130-AQ129)))</f>
        <v>446.00000000000023</v>
      </c>
      <c r="AJ130" s="13">
        <f>AI130*VLOOKUP('Données projet'!$B$10,Paramètres!$A$1:$I$89,3,0)*VLOOKUP('Données projet'!$B$10,Paramètres!$A$1:$I$89,5,0)</f>
        <v>382.66800000000023</v>
      </c>
      <c r="AK130" s="13">
        <f t="shared" si="89"/>
        <v>88.253860844610443</v>
      </c>
      <c r="AL130" s="20">
        <f t="shared" si="58"/>
        <v>820.18890763769696</v>
      </c>
      <c r="AM130" s="59">
        <f t="shared" si="59"/>
        <v>1113.5222409710302</v>
      </c>
      <c r="AN130" s="59">
        <f ca="1">AVERAGE(OFFSET($AM$3,0,0,'Données projet'!$E$10+1,1))-AVERAGE(OFFSET($H$3,0,0,'Données projet'!$E$10+1,1))</f>
        <v>405.59933429804329</v>
      </c>
      <c r="AO130" s="59">
        <f t="shared" si="90"/>
        <v>208.64922573363776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0.29758331647474501</v>
      </c>
      <c r="AW130" s="21">
        <f>EXP(-LN(2)/2)*AW129+(1-EXP(-LN(2)/2))/(LN(2)/2)*AQ130*AT130*VLOOKUP('Données projet'!$B$10,Paramètres!$A$1:$I$89,3,0)*0.475*44/12</f>
        <v>1.7794871012163335E-14</v>
      </c>
      <c r="AX130" s="21">
        <f t="shared" si="60"/>
        <v>0.29758331647476283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-1.0995790944434703E-13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293.19327646293601</v>
      </c>
      <c r="BJ130" s="59">
        <f t="shared" si="92"/>
        <v>200.0769581869605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0.22550704758567475</v>
      </c>
      <c r="BR130" s="21">
        <f>EXP(-LN(2)/2)*BR129+(1-EXP(-LN(2)/2))/(LN(2)/2)*BL130*BO130*VLOOKUP('Données projet'!$B$11,Paramètres!$A$1:$I$89,3,0)*0.475*44/12</f>
        <v>1.6620871729802424E-14</v>
      </c>
      <c r="BS130" s="22">
        <f t="shared" si="63"/>
        <v>0.22550704758569137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1.7053025658242404E-13</v>
      </c>
      <c r="BZ130" s="13">
        <f>BY130*VLOOKUP('Données projet'!$B$12,Paramètres!$A$1:$I$89,3,0)*VLOOKUP('Données projet'!$B$12,Paramètres!$A$1:$I$89,5,0)</f>
        <v>1.3301360013429075E-13</v>
      </c>
      <c r="CA130" s="13">
        <f t="shared" si="93"/>
        <v>1.9329766731057041E-12</v>
      </c>
      <c r="CB130" s="20">
        <f t="shared" si="64"/>
        <v>3.5982663925596575E-12</v>
      </c>
      <c r="CC130" s="59">
        <f t="shared" si="65"/>
        <v>293.3333333333369</v>
      </c>
      <c r="CD130" s="59">
        <f ca="1">AVERAGE(OFFSET($CC$3,0,0,'Données projet'!$E$12+1,1))-AVERAGE(OFFSET($H$3,0,0,'Données projet'!$E$12+1,1))</f>
        <v>295.95249585728561</v>
      </c>
      <c r="CE130" s="59">
        <f t="shared" si="94"/>
        <v>306.85862495052709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0.21178326765107477</v>
      </c>
      <c r="CL130" s="21">
        <f>EXP(-LN(2)/25)*CL129+(1-EXP(-LN(2)/25))/(LN(2)/25)*Calculateur!CG130*Calculateur!CI130*VLOOKUP('Données projet'!$B$12,Paramètres!$A$1:$I$89,3,0)*0.475*44/12</f>
        <v>0.56854724991756111</v>
      </c>
      <c r="CM130" s="21">
        <f>EXP(-LN(2)/2)*CM129+(1-EXP(-LN(2)/2))/(LN(2)/2)*CG130*CJ130*VLOOKUP('Données projet'!$B$12,Paramètres!$A$1:$I$89,3,0)*0.475*44/12</f>
        <v>3.2836736817412447E-14</v>
      </c>
      <c r="CN130" s="22">
        <f t="shared" si="66"/>
        <v>0.78033051756866878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</v>
      </c>
      <c r="CT130" s="12">
        <f>IF('Données projet'!$A$140&gt;35,CT129+CS130-DB129,IF(A130&lt;'Données projet'!$A$140,$CQ$205^A130,IF(A130='Données projet'!$A$140,'Données projet'!$B$140,CT129+CS130-DB129)))</f>
        <v>446.00000000000023</v>
      </c>
      <c r="CU130" s="17">
        <f>CT130*VLOOKUP('Données projet'!$B$13,Paramètres!$A$1:$I$89,3,0)*VLOOKUP('Données projet'!$B$13,Paramètres!$A$1:$I$89,5,0)</f>
        <v>424.4136000000002</v>
      </c>
      <c r="CV130" s="13">
        <f t="shared" si="95"/>
        <v>96.708953408798564</v>
      </c>
      <c r="CW130" s="20">
        <f t="shared" si="67"/>
        <v>907.62178052032448</v>
      </c>
      <c r="CX130" s="59">
        <f t="shared" si="68"/>
        <v>1200.9551138536578</v>
      </c>
      <c r="CY130" s="59">
        <f ca="1">AVERAGE(OFFSET($CX$3,0,0,'Données projet'!$E$13+1,1))-AVERAGE(OFFSET($H$3,0,0,'Données projet'!$E$13+1,1))</f>
        <v>461.10546083340631</v>
      </c>
      <c r="CZ130" s="59">
        <f t="shared" si="96"/>
        <v>233.41883071412587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0.26777394137676058</v>
      </c>
      <c r="DH130" s="21">
        <f>EXP(-LN(2)/2)*DH129+(1-EXP(-LN(2)/2))/(LN(2)/2)*DB130*DE130*VLOOKUP('Données projet'!$B$13,Paramètres!$A$1:$I$89,3,0)*0.475*44/12</f>
        <v>1.9736129668035844E-14</v>
      </c>
      <c r="DI130" s="22">
        <f t="shared" si="69"/>
        <v>0.26777394137678034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-4.1500243241898714E-13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296.376932094327</v>
      </c>
      <c r="DU130" s="59">
        <f t="shared" si="98"/>
        <v>350.93658329210882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0.39532876628200619</v>
      </c>
      <c r="EB130" s="21">
        <f>EXP(-LN(2)/25)*EB129+(1-EXP(-LN(2)/25))/(LN(2)/25)*Calculateur!DW130*Calculateur!DY130*VLOOKUP('Données projet'!$B$14,Paramètres!$A$1:$I$89,3,0)*0.475*44/12</f>
        <v>1.1529177316165273</v>
      </c>
      <c r="EC130" s="21">
        <f>EXP(-LN(2)/2)*EC129+(1-EXP(-LN(2)/2))/(LN(2)/2)*DW130*DZ130*VLOOKUP('Données projet'!$B$14,Paramètres!$A$1:$I$89,3,0)*0.475*44/12</f>
        <v>6.157372023539922E-14</v>
      </c>
      <c r="ED130" s="22">
        <f t="shared" si="72"/>
        <v>1.548246497898595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-5.1159076974727213E-13</v>
      </c>
      <c r="EK130" s="17">
        <f>EJ130*VLOOKUP('Données projet'!$B$15,Paramètres!$A$1:$I$89,3,0)*VLOOKUP('Données projet'!$B$15,Paramètres!$A$1:$I$89,5,0)</f>
        <v>-3.3519427233841269E-13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231.03244099494077</v>
      </c>
      <c r="EP130" s="59">
        <f t="shared" si="100"/>
        <v>280.29723026390741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0.31930400353546662</v>
      </c>
      <c r="EW130" s="21">
        <f>EXP(-LN(2)/25)*EW129+(1-EXP(-LN(2)/25))/(LN(2)/25)*Calculateur!ER130*Calculateur!ET130*VLOOKUP('Données projet'!$B$15,Paramètres!$A$1:$I$89,3,0)*0.475*44/12</f>
        <v>0.93120278322873262</v>
      </c>
      <c r="EX130" s="21">
        <f>EXP(-LN(2)/2)*EX129+(1-EXP(-LN(2)/2))/(LN(2)/2)*ER130*EU130*VLOOKUP('Données projet'!$B$15,Paramètres!$A$1:$I$89,3,0)*0.475*44/12</f>
        <v>4.9732620190130115E-14</v>
      </c>
      <c r="EY130" s="22">
        <f t="shared" si="75"/>
        <v>1.250506786764249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-5.1431925385259092E-13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351.15781452544906</v>
      </c>
      <c r="T131" s="59">
        <f t="shared" si="88"/>
        <v>271.54361159160169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0.34583759073097442</v>
      </c>
      <c r="AA131" s="21">
        <f>EXP(-LN(2)/25)*AA130+(1-EXP(-LN(2)/25))/(LN(2)/25)*Calculateur!V131*Calculateur!X131*VLOOKUP('Données projet'!$B$9,Paramètres!$A$1:$I$89,3,0)*0.475*44/12</f>
        <v>0.74538391235729451</v>
      </c>
      <c r="AB131" s="21">
        <f>EXP(-LN(2)/2)*AB130+(1-EXP(-LN(2)/2))/(LN(2)/2)*V131*Y131*VLOOKUP('Données projet'!$B$9,Paramètres!$A$1:$I$89,3,0)*0.475*44/12</f>
        <v>3.8286417190581337E-14</v>
      </c>
      <c r="AC131" s="22">
        <f t="shared" si="57"/>
        <v>1.091221503088307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</v>
      </c>
      <c r="AI131" s="13">
        <f>IF('Données projet'!$A$62&gt;35,AI130+AH131-AQ130,IF(A131&lt;'Données projet'!$A$62,$AF$205^A131,IF(A131='Données projet'!$A$62,'Données projet'!$B$62,AI130+AH131-AQ130)))</f>
        <v>451.00000000000023</v>
      </c>
      <c r="AJ131" s="13">
        <f>AI131*VLOOKUP('Données projet'!$B$10,Paramètres!$A$1:$I$89,3,0)*VLOOKUP('Données projet'!$B$10,Paramètres!$A$1:$I$89,5,0)</f>
        <v>386.95800000000025</v>
      </c>
      <c r="AK131" s="13">
        <f t="shared" si="89"/>
        <v>89.127520512837165</v>
      </c>
      <c r="AL131" s="20">
        <f t="shared" si="58"/>
        <v>829.18228155985844</v>
      </c>
      <c r="AM131" s="59">
        <f t="shared" si="59"/>
        <v>1122.5156148931917</v>
      </c>
      <c r="AN131" s="59">
        <f ca="1">AVERAGE(OFFSET($AM$3,0,0,'Données projet'!$E$10+1,1))-AVERAGE(OFFSET($H$3,0,0,'Données projet'!$E$10+1,1))</f>
        <v>405.59933429804329</v>
      </c>
      <c r="AO131" s="59">
        <f t="shared" si="90"/>
        <v>208.64922573363776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0.28944588503651664</v>
      </c>
      <c r="AW131" s="21">
        <f>EXP(-LN(2)/2)*AW130+(1-EXP(-LN(2)/2))/(LN(2)/2)*AQ131*AT131*VLOOKUP('Données projet'!$B$10,Paramètres!$A$1:$I$89,3,0)*0.475*44/12</f>
        <v>1.2582873963040617E-14</v>
      </c>
      <c r="AX131" s="21">
        <f t="shared" si="60"/>
        <v>0.28944588503652924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-1.0995790944434703E-13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293.19327646293601</v>
      </c>
      <c r="BJ131" s="59">
        <f t="shared" si="92"/>
        <v>200.0769581869605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0.21934054551054424</v>
      </c>
      <c r="BR131" s="21">
        <f>EXP(-LN(2)/2)*BR130+(1-EXP(-LN(2)/2))/(LN(2)/2)*BL131*BO131*VLOOKUP('Données projet'!$B$11,Paramètres!$A$1:$I$89,3,0)*0.475*44/12</f>
        <v>1.1752731109375076E-14</v>
      </c>
      <c r="BS131" s="22">
        <f t="shared" si="63"/>
        <v>0.21934054551055598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1.7053025658242404E-13</v>
      </c>
      <c r="BZ131" s="13">
        <f>BY131*VLOOKUP('Données projet'!$B$12,Paramètres!$A$1:$I$89,3,0)*VLOOKUP('Données projet'!$B$12,Paramètres!$A$1:$I$89,5,0)</f>
        <v>1.3301360013429075E-13</v>
      </c>
      <c r="CA131" s="13">
        <f t="shared" si="93"/>
        <v>1.9329766731057041E-12</v>
      </c>
      <c r="CB131" s="20">
        <f t="shared" si="64"/>
        <v>3.5982663925596575E-12</v>
      </c>
      <c r="CC131" s="59">
        <f t="shared" si="65"/>
        <v>293.3333333333369</v>
      </c>
      <c r="CD131" s="59">
        <f ca="1">AVERAGE(OFFSET($CC$3,0,0,'Données projet'!$E$12+1,1))-AVERAGE(OFFSET($H$3,0,0,'Données projet'!$E$12+1,1))</f>
        <v>295.95249585728561</v>
      </c>
      <c r="CE131" s="59">
        <f t="shared" si="94"/>
        <v>306.85862495052709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0.20763032694747549</v>
      </c>
      <c r="CL131" s="21">
        <f>EXP(-LN(2)/25)*CL130+(1-EXP(-LN(2)/25))/(LN(2)/25)*Calculateur!CG131*Calculateur!CI131*VLOOKUP('Données projet'!$B$12,Paramètres!$A$1:$I$89,3,0)*0.475*44/12</f>
        <v>0.55300029546996499</v>
      </c>
      <c r="CM131" s="21">
        <f>EXP(-LN(2)/2)*CM130+(1-EXP(-LN(2)/2))/(LN(2)/2)*CG131*CJ131*VLOOKUP('Données projet'!$B$12,Paramètres!$A$1:$I$89,3,0)*0.475*44/12</f>
        <v>2.3219079275630313E-14</v>
      </c>
      <c r="CN131" s="22">
        <f t="shared" si="66"/>
        <v>0.76063062241746371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</v>
      </c>
      <c r="CT131" s="12">
        <f>IF('Données projet'!$A$140&gt;35,CT130+CS131-DB130,IF(A131&lt;'Données projet'!$A$140,$CQ$205^A131,IF(A131='Données projet'!$A$140,'Données projet'!$B$140,CT130+CS131-DB130)))</f>
        <v>451.00000000000023</v>
      </c>
      <c r="CU131" s="17">
        <f>CT131*VLOOKUP('Données projet'!$B$13,Paramètres!$A$1:$I$89,3,0)*VLOOKUP('Données projet'!$B$13,Paramètres!$A$1:$I$89,5,0)</f>
        <v>429.17160000000024</v>
      </c>
      <c r="CV131" s="13">
        <f t="shared" si="95"/>
        <v>97.66631336269846</v>
      </c>
      <c r="CW131" s="20">
        <f t="shared" si="67"/>
        <v>917.57603244003349</v>
      </c>
      <c r="CX131" s="59">
        <f t="shared" si="68"/>
        <v>1210.9093657733667</v>
      </c>
      <c r="CY131" s="59">
        <f ca="1">AVERAGE(OFFSET($CX$3,0,0,'Données projet'!$E$13+1,1))-AVERAGE(OFFSET($H$3,0,0,'Données projet'!$E$13+1,1))</f>
        <v>461.10546083340631</v>
      </c>
      <c r="CZ131" s="59">
        <f t="shared" si="96"/>
        <v>233.41883071412587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0.2604516488681935</v>
      </c>
      <c r="DH131" s="21">
        <f>EXP(-LN(2)/2)*DH130+(1-EXP(-LN(2)/2))/(LN(2)/2)*DB131*DE131*VLOOKUP('Données projet'!$B$13,Paramètres!$A$1:$I$89,3,0)*0.475*44/12</f>
        <v>1.3955551122645152E-14</v>
      </c>
      <c r="DI131" s="22">
        <f t="shared" si="69"/>
        <v>0.26045164886820743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-4.1500243241898714E-13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296.376932094327</v>
      </c>
      <c r="DU131" s="59">
        <f t="shared" si="98"/>
        <v>350.93658329210882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0.38757661030195417</v>
      </c>
      <c r="EB131" s="21">
        <f>EXP(-LN(2)/25)*EB130+(1-EXP(-LN(2)/25))/(LN(2)/25)*Calculateur!DW131*Calculateur!DY131*VLOOKUP('Données projet'!$B$14,Paramètres!$A$1:$I$89,3,0)*0.475*44/12</f>
        <v>1.121391135616165</v>
      </c>
      <c r="EC131" s="21">
        <f>EXP(-LN(2)/2)*EC130+(1-EXP(-LN(2)/2))/(LN(2)/2)*DW131*DZ131*VLOOKUP('Données projet'!$B$14,Paramètres!$A$1:$I$89,3,0)*0.475*44/12</f>
        <v>4.3539195121334131E-14</v>
      </c>
      <c r="ED131" s="22">
        <f t="shared" si="72"/>
        <v>1.5089677459181627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-5.1159076974727213E-13</v>
      </c>
      <c r="EK131" s="17">
        <f>EJ131*VLOOKUP('Données projet'!$B$15,Paramètres!$A$1:$I$89,3,0)*VLOOKUP('Données projet'!$B$15,Paramètres!$A$1:$I$89,5,0)</f>
        <v>-3.3519427233841269E-13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231.03244099494077</v>
      </c>
      <c r="EP131" s="59">
        <f t="shared" si="100"/>
        <v>280.29723026390741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0.31304264678234772</v>
      </c>
      <c r="EW131" s="21">
        <f>EXP(-LN(2)/25)*EW130+(1-EXP(-LN(2)/25))/(LN(2)/25)*Calculateur!ER131*Calculateur!ET131*VLOOKUP('Données projet'!$B$15,Paramètres!$A$1:$I$89,3,0)*0.475*44/12</f>
        <v>0.90573899415151682</v>
      </c>
      <c r="EX131" s="21">
        <f>EXP(-LN(2)/2)*EX130+(1-EXP(-LN(2)/2))/(LN(2)/2)*ER131*EU131*VLOOKUP('Données projet'!$B$15,Paramètres!$A$1:$I$89,3,0)*0.475*44/12</f>
        <v>3.516627298261601E-14</v>
      </c>
      <c r="EY131" s="22">
        <f t="shared" si="75"/>
        <v>1.2187816409338996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-5.1431925385259092E-13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351.15781452544906</v>
      </c>
      <c r="T132" s="59">
        <f t="shared" si="88"/>
        <v>271.54361159160169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0.33905592651684174</v>
      </c>
      <c r="AA132" s="21">
        <f>EXP(-LN(2)/25)*AA131+(1-EXP(-LN(2)/25))/(LN(2)/25)*Calculateur!V132*Calculateur!X132*VLOOKUP('Données projet'!$B$9,Paramètres!$A$1:$I$89,3,0)*0.475*44/12</f>
        <v>0.72500135007584798</v>
      </c>
      <c r="AB132" s="21">
        <f>EXP(-LN(2)/2)*AB131+(1-EXP(-LN(2)/2))/(LN(2)/2)*V132*Y132*VLOOKUP('Données projet'!$B$9,Paramètres!$A$1:$I$89,3,0)*0.475*44/12</f>
        <v>2.7072585222797269E-14</v>
      </c>
      <c r="AC132" s="22">
        <f t="shared" ref="AC132:AC153" si="111">SUM(Z132:AB132)</f>
        <v>1.0640572765927168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</v>
      </c>
      <c r="AI132" s="13">
        <f>IF('Données projet'!$A$62&gt;35,AI131+AH132-AQ131,IF(A132&lt;'Données projet'!$A$62,$AF$205^A132,IF(A132='Données projet'!$A$62,'Données projet'!$B$62,AI131+AH132-AQ131)))</f>
        <v>456.00000000000023</v>
      </c>
      <c r="AJ132" s="13">
        <f>AI132*VLOOKUP('Données projet'!$B$10,Paramètres!$A$1:$I$89,3,0)*VLOOKUP('Données projet'!$B$10,Paramètres!$A$1:$I$89,5,0)</f>
        <v>391.24800000000027</v>
      </c>
      <c r="AK132" s="13">
        <f t="shared" si="89"/>
        <v>90.00005345601933</v>
      </c>
      <c r="AL132" s="20">
        <f t="shared" ref="AL132:AL153" si="112">(AJ132+AK132)*0.475*44/12</f>
        <v>838.17369310256743</v>
      </c>
      <c r="AM132" s="59">
        <f t="shared" ref="AM132:AM195" si="113">AL132+(AD132+AE132)*44/12</f>
        <v>1131.5070264359008</v>
      </c>
      <c r="AN132" s="59">
        <f ca="1">AVERAGE(OFFSET($AM$3,0,0,'Données projet'!$E$10+1,1))-AVERAGE(OFFSET($H$3,0,0,'Données projet'!$E$10+1,1))</f>
        <v>405.59933429804329</v>
      </c>
      <c r="AO132" s="59">
        <f t="shared" si="90"/>
        <v>208.64922573363776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0.28153097208889555</v>
      </c>
      <c r="AW132" s="21">
        <f>EXP(-LN(2)/2)*AW131+(1-EXP(-LN(2)/2))/(LN(2)/2)*AQ132*AT132*VLOOKUP('Données projet'!$B$10,Paramètres!$A$1:$I$89,3,0)*0.475*44/12</f>
        <v>8.8974355060816676E-15</v>
      </c>
      <c r="AX132" s="21">
        <f t="shared" ref="AX132:AX153" si="114">SUM(AU132:AW132)</f>
        <v>0.28153097208890443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-1.0995790944434703E-13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293.19327646293601</v>
      </c>
      <c r="BJ132" s="59">
        <f t="shared" si="92"/>
        <v>200.0769581869605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0.21334266675894042</v>
      </c>
      <c r="BR132" s="21">
        <f>EXP(-LN(2)/2)*BR131+(1-EXP(-LN(2)/2))/(LN(2)/2)*BL132*BO132*VLOOKUP('Données projet'!$B$11,Paramètres!$A$1:$I$89,3,0)*0.475*44/12</f>
        <v>8.3104358649012119E-15</v>
      </c>
      <c r="BS132" s="22">
        <f t="shared" ref="BS132:BS153" si="117">SUM(BP132:BR132)</f>
        <v>0.21334266675894872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1.7053025658242404E-13</v>
      </c>
      <c r="BZ132" s="13">
        <f>BY132*VLOOKUP('Données projet'!$B$12,Paramètres!$A$1:$I$89,3,0)*VLOOKUP('Données projet'!$B$12,Paramètres!$A$1:$I$89,5,0)</f>
        <v>1.3301360013429075E-13</v>
      </c>
      <c r="CA132" s="13">
        <f t="shared" si="93"/>
        <v>1.9329766731057041E-12</v>
      </c>
      <c r="CB132" s="20">
        <f t="shared" ref="CB132:CB153" si="118">(BZ132+CA132)*0.475*44/12</f>
        <v>3.5982663925596575E-12</v>
      </c>
      <c r="CC132" s="59">
        <f t="shared" ref="CC132:CC195" si="119">CB132+(BT132+BU132)*44/12</f>
        <v>293.3333333333369</v>
      </c>
      <c r="CD132" s="59">
        <f ca="1">AVERAGE(OFFSET($CC$3,0,0,'Données projet'!$E$12+1,1))-AVERAGE(OFFSET($H$3,0,0,'Données projet'!$E$12+1,1))</f>
        <v>295.95249585728561</v>
      </c>
      <c r="CE132" s="59">
        <f t="shared" si="94"/>
        <v>306.85862495052709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0.20355882287803007</v>
      </c>
      <c r="CL132" s="21">
        <f>EXP(-LN(2)/25)*CL131+(1-EXP(-LN(2)/25))/(LN(2)/25)*Calculateur!CG132*Calculateur!CI132*VLOOKUP('Données projet'!$B$12,Paramètres!$A$1:$I$89,3,0)*0.475*44/12</f>
        <v>0.53787847330931715</v>
      </c>
      <c r="CM132" s="21">
        <f>EXP(-LN(2)/2)*CM131+(1-EXP(-LN(2)/2))/(LN(2)/2)*CG132*CJ132*VLOOKUP('Données projet'!$B$12,Paramètres!$A$1:$I$89,3,0)*0.475*44/12</f>
        <v>1.6418368408706224E-14</v>
      </c>
      <c r="CN132" s="22">
        <f t="shared" ref="CN132:CN153" si="120">SUM(CK132:CM132)</f>
        <v>0.74143729618736365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</v>
      </c>
      <c r="CT132" s="12">
        <f>IF('Données projet'!$A$140&gt;35,CT131+CS132-DB131,IF(A132&lt;'Données projet'!$A$140,$CQ$205^A132,IF(A132='Données projet'!$A$140,'Données projet'!$B$140,CT131+CS132-DB131)))</f>
        <v>456.00000000000023</v>
      </c>
      <c r="CU132" s="17">
        <f>CT132*VLOOKUP('Données projet'!$B$13,Paramètres!$A$1:$I$89,3,0)*VLOOKUP('Données projet'!$B$13,Paramètres!$A$1:$I$89,5,0)</f>
        <v>433.92960000000022</v>
      </c>
      <c r="CV132" s="13">
        <f t="shared" si="95"/>
        <v>98.622438646536395</v>
      </c>
      <c r="CW132" s="20">
        <f t="shared" ref="CW132:CW153" si="121">(CU132+CV132)*0.475*44/12</f>
        <v>927.52813397605132</v>
      </c>
      <c r="CX132" s="59">
        <f t="shared" ref="CX132:CX195" si="122">CW132+(CO132+CP132)*44/12</f>
        <v>1220.8614673093846</v>
      </c>
      <c r="CY132" s="59">
        <f ca="1">AVERAGE(OFFSET($CX$3,0,0,'Données projet'!$E$13+1,1))-AVERAGE(OFFSET($H$3,0,0,'Données projet'!$E$13+1,1))</f>
        <v>461.10546083340631</v>
      </c>
      <c r="CZ132" s="59">
        <f t="shared" si="96"/>
        <v>233.41883071412587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0.25332958483333579</v>
      </c>
      <c r="DH132" s="21">
        <f>EXP(-LN(2)/2)*DH131+(1-EXP(-LN(2)/2))/(LN(2)/2)*DB132*DE132*VLOOKUP('Données projet'!$B$13,Paramètres!$A$1:$I$89,3,0)*0.475*44/12</f>
        <v>9.8680648340179238E-15</v>
      </c>
      <c r="DI132" s="22">
        <f t="shared" ref="DI132:DI153" si="123">SUM(DF132:DH132)</f>
        <v>0.25332958483334567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-4.1500243241898714E-13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296.376932094327</v>
      </c>
      <c r="DU132" s="59">
        <f t="shared" si="98"/>
        <v>350.93658329210882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0.37997646937232271</v>
      </c>
      <c r="EB132" s="21">
        <f>EXP(-LN(2)/25)*EB131+(1-EXP(-LN(2)/25))/(LN(2)/25)*Calculateur!DW132*Calculateur!DY132*VLOOKUP('Données projet'!$B$14,Paramètres!$A$1:$I$89,3,0)*0.475*44/12</f>
        <v>1.0907266360413441</v>
      </c>
      <c r="EC132" s="21">
        <f>EXP(-LN(2)/2)*EC131+(1-EXP(-LN(2)/2))/(LN(2)/2)*DW132*DZ132*VLOOKUP('Données projet'!$B$14,Paramètres!$A$1:$I$89,3,0)*0.475*44/12</f>
        <v>3.078686011769961E-14</v>
      </c>
      <c r="ED132" s="22">
        <f t="shared" ref="ED132:ED153" si="126">SUM(EA132:EC132)</f>
        <v>1.4707031054136976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-5.1159076974727213E-13</v>
      </c>
      <c r="EK132" s="17">
        <f>EJ132*VLOOKUP('Données projet'!$B$15,Paramètres!$A$1:$I$89,3,0)*VLOOKUP('Données projet'!$B$15,Paramètres!$A$1:$I$89,5,0)</f>
        <v>-3.3519427233841269E-13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231.03244099494077</v>
      </c>
      <c r="EP132" s="59">
        <f t="shared" si="100"/>
        <v>280.29723026390741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0.30690407141610693</v>
      </c>
      <c r="EW132" s="21">
        <f>EXP(-LN(2)/25)*EW131+(1-EXP(-LN(2)/25))/(LN(2)/25)*Calculateur!ER132*Calculateur!ET132*VLOOKUP('Données projet'!$B$15,Paramètres!$A$1:$I$89,3,0)*0.475*44/12</f>
        <v>0.88097151372569993</v>
      </c>
      <c r="EX132" s="21">
        <f>EXP(-LN(2)/2)*EX131+(1-EXP(-LN(2)/2))/(LN(2)/2)*ER132*EU132*VLOOKUP('Données projet'!$B$15,Paramètres!$A$1:$I$89,3,0)*0.475*44/12</f>
        <v>2.4866310095065057E-14</v>
      </c>
      <c r="EY132" s="22">
        <f t="shared" ref="EY132:EY153" si="129">SUM(EV132:EX132)</f>
        <v>1.1878755851418317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-5.1431925385259092E-13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351.15781452544906</v>
      </c>
      <c r="T133" s="59">
        <f t="shared" ref="T133:T196" si="142">$T$3</f>
        <v>271.54361159160169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0.33240724660154147</v>
      </c>
      <c r="AA133" s="21">
        <f>EXP(-LN(2)/25)*AA132+(1-EXP(-LN(2)/25))/(LN(2)/25)*Calculateur!V133*Calculateur!X133*VLOOKUP('Données projet'!$B$9,Paramètres!$A$1:$I$89,3,0)*0.475*44/12</f>
        <v>0.70517615003185996</v>
      </c>
      <c r="AB133" s="21">
        <f>EXP(-LN(2)/2)*AB132+(1-EXP(-LN(2)/2))/(LN(2)/2)*V133*Y133*VLOOKUP('Données projet'!$B$9,Paramètres!$A$1:$I$89,3,0)*0.475*44/12</f>
        <v>1.9143208595290668E-14</v>
      </c>
      <c r="AC133" s="22">
        <f t="shared" si="111"/>
        <v>1.0375833966334205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461</v>
      </c>
      <c r="AG133" s="12">
        <f>VLOOKUP(A133,'Données projet'!$A$61:$I$81,9,0)</f>
        <v>5</v>
      </c>
      <c r="AH133" s="12">
        <f t="array" ref="AH133">INDEX(AG:AG,MIN(IF(ISNUMBER(AG133:AG329),ROW(AG133:AG329),"")))</f>
        <v>5</v>
      </c>
      <c r="AI133" s="13">
        <f>IF('Données projet'!$A$62&gt;35,AI132+AH133-AQ132,IF(A133&lt;'Données projet'!$A$62,$AF$205^A133,IF(A133='Données projet'!$A$62,'Données projet'!$B$62,AI132+AH133-AQ132)))</f>
        <v>461.00000000000023</v>
      </c>
      <c r="AJ133" s="13">
        <f>AI133*VLOOKUP('Données projet'!$B$10,Paramètres!$A$1:$I$89,3,0)*VLOOKUP('Données projet'!$B$10,Paramètres!$A$1:$I$89,5,0)</f>
        <v>395.53800000000024</v>
      </c>
      <c r="AK133" s="13">
        <f t="shared" ref="AK133:AK153" si="143">EXP(-1.0587+0.8836*LN(AJ133)+0.284)</f>
        <v>90.871473458412396</v>
      </c>
      <c r="AL133" s="20">
        <f t="shared" si="112"/>
        <v>847.16316627340211</v>
      </c>
      <c r="AM133" s="59">
        <f t="shared" si="113"/>
        <v>1140.4964996067354</v>
      </c>
      <c r="AN133" s="59">
        <f ca="1">AVERAGE(OFFSET($AM$3,0,0,'Données projet'!$E$10+1,1))-AVERAGE(OFFSET($H$3,0,0,'Données projet'!$E$10+1,1))</f>
        <v>405.59933429804329</v>
      </c>
      <c r="AO133" s="59">
        <f t="shared" ref="AO133:AO196" si="144">$AO$3</f>
        <v>208.64922573363776</v>
      </c>
      <c r="AP133" s="15">
        <f>IF(ISNA(VLOOKUP(A133,'Données projet'!$A$61:$I$81,3,0)),0,VLOOKUP(A133,'Données projet'!$A$61:$I$81,3,0))</f>
        <v>11</v>
      </c>
      <c r="AQ133" s="15">
        <f>IF(ISNA(VLOOKUP(A133,'Données projet'!$A$61:$I$81,4,0)),0,VLOOKUP(A133,'Données projet'!$A$61:$I$81,4,0))</f>
        <v>41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0.2738324928520543</v>
      </c>
      <c r="AW133" s="21">
        <f>EXP(-LN(2)/2)*AW132+(1-EXP(-LN(2)/2))/(LN(2)/2)*AQ133*AT133*VLOOKUP('Données projet'!$B$10,Paramètres!$A$1:$I$89,3,0)*0.475*44/12</f>
        <v>6.2914369815203086E-15</v>
      </c>
      <c r="AX133" s="21">
        <f t="shared" si="114"/>
        <v>0.27383249285206057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-1.0995790944434703E-13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293.19327646293601</v>
      </c>
      <c r="BJ133" s="59">
        <f t="shared" ref="BJ133:BJ196" si="146">$BJ$3</f>
        <v>200.0769581869605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0.20750880031721394</v>
      </c>
      <c r="BR133" s="21">
        <f>EXP(-LN(2)/2)*BR132+(1-EXP(-LN(2)/2))/(LN(2)/2)*BL133*BO133*VLOOKUP('Données projet'!$B$11,Paramètres!$A$1:$I$89,3,0)*0.475*44/12</f>
        <v>5.8763655546875382E-15</v>
      </c>
      <c r="BS133" s="22">
        <f t="shared" si="117"/>
        <v>0.20750880031721983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1.7053025658242404E-13</v>
      </c>
      <c r="BZ133" s="13">
        <f>BY133*VLOOKUP('Données projet'!$B$12,Paramètres!$A$1:$I$89,3,0)*VLOOKUP('Données projet'!$B$12,Paramètres!$A$1:$I$89,5,0)</f>
        <v>1.3301360013429075E-13</v>
      </c>
      <c r="CA133" s="13">
        <f t="shared" ref="CA133:CA153" si="147">EXP(-1.0587+0.8836*LN(BZ133)+0.284)</f>
        <v>1.9329766731057041E-12</v>
      </c>
      <c r="CB133" s="20">
        <f t="shared" si="118"/>
        <v>3.5982663925596575E-12</v>
      </c>
      <c r="CC133" s="59">
        <f t="shared" si="119"/>
        <v>293.3333333333369</v>
      </c>
      <c r="CD133" s="59">
        <f ca="1">AVERAGE(OFFSET($CC$3,0,0,'Données projet'!$E$12+1,1))-AVERAGE(OFFSET($H$3,0,0,'Données projet'!$E$12+1,1))</f>
        <v>295.95249585728561</v>
      </c>
      <c r="CE133" s="59">
        <f t="shared" ref="CE133:CE196" si="148">$CE$3</f>
        <v>306.85862495052709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0.19956715852001419</v>
      </c>
      <c r="CL133" s="21">
        <f>EXP(-LN(2)/25)*CL132+(1-EXP(-LN(2)/25))/(LN(2)/25)*Calculateur!CG133*Calculateur!CI133*VLOOKUP('Données projet'!$B$12,Paramètres!$A$1:$I$89,3,0)*0.475*44/12</f>
        <v>0.52317015817087431</v>
      </c>
      <c r="CM133" s="21">
        <f>EXP(-LN(2)/2)*CM132+(1-EXP(-LN(2)/2))/(LN(2)/2)*CG133*CJ133*VLOOKUP('Données projet'!$B$12,Paramètres!$A$1:$I$89,3,0)*0.475*44/12</f>
        <v>1.1609539637815156E-14</v>
      </c>
      <c r="CN133" s="22">
        <f t="shared" si="120"/>
        <v>0.72273731669090013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461</v>
      </c>
      <c r="CR133" s="12">
        <f>VLOOKUP(A133,'Données projet'!$A$139:$I$159,9,0)</f>
        <v>5</v>
      </c>
      <c r="CS133" s="12">
        <f t="array" ref="CS133">INDEX(CR:CR,MIN(IF(ISNUMBER(CR133:CR329),ROW(CR133:CR329),"")))</f>
        <v>5</v>
      </c>
      <c r="CT133" s="12">
        <f>IF('Données projet'!$A$140&gt;35,CT132+CS133-DB132,IF(A133&lt;'Données projet'!$A$140,$CQ$205^A133,IF(A133='Données projet'!$A$140,'Données projet'!$B$140,CT132+CS133-DB132)))</f>
        <v>461.00000000000023</v>
      </c>
      <c r="CU133" s="17">
        <f>CT133*VLOOKUP('Données projet'!$B$13,Paramètres!$A$1:$I$89,3,0)*VLOOKUP('Données projet'!$B$13,Paramètres!$A$1:$I$89,5,0)</f>
        <v>438.68760000000026</v>
      </c>
      <c r="CV133" s="13">
        <f t="shared" ref="CV133:CV153" si="149">EXP(-1.0587+0.8836*LN(CU133)+0.284)</f>
        <v>99.5773443651576</v>
      </c>
      <c r="CW133" s="20">
        <f t="shared" si="121"/>
        <v>937.47811143598312</v>
      </c>
      <c r="CX133" s="59">
        <f t="shared" si="122"/>
        <v>1230.8114447693165</v>
      </c>
      <c r="CY133" s="59">
        <f ca="1">AVERAGE(OFFSET($CX$3,0,0,'Données projet'!$E$13+1,1))-AVERAGE(OFFSET($H$3,0,0,'Données projet'!$E$13+1,1))</f>
        <v>461.10546083340631</v>
      </c>
      <c r="CZ133" s="59">
        <f t="shared" ref="CZ133:CZ196" si="150">$CZ$3</f>
        <v>233.41883071412587</v>
      </c>
      <c r="DA133" s="15">
        <f>IF(ISNA(VLOOKUP(A133,'Données projet'!$A$139:$I$159,3,0)),0,VLOOKUP(A133,'Données projet'!$A$139:$I$159,3,0))</f>
        <v>11</v>
      </c>
      <c r="DB133" s="15">
        <f>IF(ISNA(VLOOKUP(A133,'Données projet'!$A$139:$I$159,4,0)),0,VLOOKUP(A133,'Données projet'!$A$139:$I$159,4,0))</f>
        <v>41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0.24640227401404435</v>
      </c>
      <c r="DH133" s="21">
        <f>EXP(-LN(2)/2)*DH132+(1-EXP(-LN(2)/2))/(LN(2)/2)*DB133*DE133*VLOOKUP('Données projet'!$B$13,Paramètres!$A$1:$I$89,3,0)*0.475*44/12</f>
        <v>6.9777755613225769E-15</v>
      </c>
      <c r="DI133" s="22">
        <f t="shared" si="123"/>
        <v>0.24640227401405132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-4.1500243241898714E-13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296.376932094327</v>
      </c>
      <c r="DU133" s="59">
        <f t="shared" ref="DU133:DU196" si="152">$DU$3</f>
        <v>350.93658329210882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0.37252536257069313</v>
      </c>
      <c r="EB133" s="21">
        <f>EXP(-LN(2)/25)*EB132+(1-EXP(-LN(2)/25))/(LN(2)/25)*Calculateur!DW133*Calculateur!DY133*VLOOKUP('Données projet'!$B$14,Paramètres!$A$1:$I$89,3,0)*0.475*44/12</f>
        <v>1.0609006588199728</v>
      </c>
      <c r="EC133" s="21">
        <f>EXP(-LN(2)/2)*EC132+(1-EXP(-LN(2)/2))/(LN(2)/2)*DW133*DZ133*VLOOKUP('Données projet'!$B$14,Paramètres!$A$1:$I$89,3,0)*0.475*44/12</f>
        <v>2.1769597560667065E-14</v>
      </c>
      <c r="ED133" s="22">
        <f t="shared" si="126"/>
        <v>1.4334260213906878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-5.1159076974727213E-13</v>
      </c>
      <c r="EK133" s="17">
        <f>EJ133*VLOOKUP('Données projet'!$B$15,Paramètres!$A$1:$I$89,3,0)*VLOOKUP('Données projet'!$B$15,Paramètres!$A$1:$I$89,5,0)</f>
        <v>-3.3519427233841269E-13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231.03244099494077</v>
      </c>
      <c r="EP133" s="59">
        <f t="shared" ref="EP133:EP196" si="154">$EP$3</f>
        <v>280.29723026390741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0.30088586976863685</v>
      </c>
      <c r="EW133" s="21">
        <f>EXP(-LN(2)/25)*EW132+(1-EXP(-LN(2)/25))/(LN(2)/25)*Calculateur!ER133*Calculateur!ET133*VLOOKUP('Données projet'!$B$15,Paramètres!$A$1:$I$89,3,0)*0.475*44/12</f>
        <v>0.85688130135459228</v>
      </c>
      <c r="EX133" s="21">
        <f>EXP(-LN(2)/2)*EX132+(1-EXP(-LN(2)/2))/(LN(2)/2)*ER133*EU133*VLOOKUP('Données projet'!$B$15,Paramètres!$A$1:$I$89,3,0)*0.475*44/12</f>
        <v>1.7583136491308005E-14</v>
      </c>
      <c r="EY133" s="22">
        <f t="shared" si="129"/>
        <v>1.1577671711232467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-5.1431925385259092E-13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351.15781452544906</v>
      </c>
      <c r="T134" s="59">
        <f t="shared" si="142"/>
        <v>271.54361159160169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0.3258889432440859</v>
      </c>
      <c r="AA134" s="21">
        <f>EXP(-LN(2)/25)*AA133+(1-EXP(-LN(2)/25))/(LN(2)/25)*Calculateur!V134*Calculateur!X134*VLOOKUP('Données projet'!$B$9,Paramètres!$A$1:$I$89,3,0)*0.475*44/12</f>
        <v>0.68589307112563669</v>
      </c>
      <c r="AB134" s="21">
        <f>EXP(-LN(2)/2)*AB133+(1-EXP(-LN(2)/2))/(LN(2)/2)*V134*Y134*VLOOKUP('Données projet'!$B$9,Paramètres!$A$1:$I$89,3,0)*0.475*44/12</f>
        <v>1.3536292611398635E-14</v>
      </c>
      <c r="AC134" s="22">
        <f t="shared" si="111"/>
        <v>1.011782014369736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3.7</v>
      </c>
      <c r="AI134" s="13">
        <f>IF('Données projet'!$A$62&gt;35,AI133+AH134-AQ133,IF(A134&lt;'Données projet'!$A$62,$AF$205^A134,IF(A134='Données projet'!$A$62,'Données projet'!$B$62,AI133+AH134-AQ133)))</f>
        <v>423.70000000000022</v>
      </c>
      <c r="AJ134" s="13">
        <f>AI134*VLOOKUP('Données projet'!$B$10,Paramètres!$A$1:$I$89,3,0)*VLOOKUP('Données projet'!$B$10,Paramètres!$A$1:$I$89,5,0)</f>
        <v>363.53460000000024</v>
      </c>
      <c r="AK134" s="13">
        <f t="shared" si="143"/>
        <v>84.343242139534738</v>
      </c>
      <c r="AL134" s="20">
        <f t="shared" si="112"/>
        <v>780.05390839302345</v>
      </c>
      <c r="AM134" s="59">
        <f t="shared" si="113"/>
        <v>1073.3872417263567</v>
      </c>
      <c r="AN134" s="59">
        <f ca="1">AVERAGE(OFFSET($AM$3,0,0,'Données projet'!$E$10+1,1))-AVERAGE(OFFSET($H$3,0,0,'Données projet'!$E$10+1,1))</f>
        <v>405.59933429804329</v>
      </c>
      <c r="AO134" s="59">
        <f t="shared" si="144"/>
        <v>208.64922573363776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0.26634452893478994</v>
      </c>
      <c r="AW134" s="21">
        <f>EXP(-LN(2)/2)*AW133+(1-EXP(-LN(2)/2))/(LN(2)/2)*AQ134*AT134*VLOOKUP('Données projet'!$B$10,Paramètres!$A$1:$I$89,3,0)*0.475*44/12</f>
        <v>4.4487177530408338E-15</v>
      </c>
      <c r="AX134" s="21">
        <f t="shared" si="114"/>
        <v>0.26634452893479438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-1.0995790944434703E-13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293.19327646293601</v>
      </c>
      <c r="BJ134" s="59">
        <f t="shared" si="146"/>
        <v>200.0769581869605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0.20183446126012619</v>
      </c>
      <c r="BR134" s="21">
        <f>EXP(-LN(2)/2)*BR133+(1-EXP(-LN(2)/2))/(LN(2)/2)*BL134*BO134*VLOOKUP('Données projet'!$B$11,Paramètres!$A$1:$I$89,3,0)*0.475*44/12</f>
        <v>4.1552179324506059E-15</v>
      </c>
      <c r="BS134" s="22">
        <f t="shared" si="117"/>
        <v>0.20183446126013035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1.7053025658242404E-13</v>
      </c>
      <c r="BZ134" s="13">
        <f>BY134*VLOOKUP('Données projet'!$B$12,Paramètres!$A$1:$I$89,3,0)*VLOOKUP('Données projet'!$B$12,Paramètres!$A$1:$I$89,5,0)</f>
        <v>1.3301360013429075E-13</v>
      </c>
      <c r="CA134" s="13">
        <f t="shared" si="147"/>
        <v>1.9329766731057041E-12</v>
      </c>
      <c r="CB134" s="20">
        <f t="shared" si="118"/>
        <v>3.5982663925596575E-12</v>
      </c>
      <c r="CC134" s="59">
        <f t="shared" si="119"/>
        <v>293.3333333333369</v>
      </c>
      <c r="CD134" s="59">
        <f ca="1">AVERAGE(OFFSET($CC$3,0,0,'Données projet'!$E$12+1,1))-AVERAGE(OFFSET($H$3,0,0,'Données projet'!$E$12+1,1))</f>
        <v>295.95249585728561</v>
      </c>
      <c r="CE134" s="59">
        <f t="shared" si="148"/>
        <v>306.85862495052709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0.19565376826538416</v>
      </c>
      <c r="CL134" s="21">
        <f>EXP(-LN(2)/25)*CL133+(1-EXP(-LN(2)/25))/(LN(2)/25)*Calculateur!CG134*Calculateur!CI134*VLOOKUP('Données projet'!$B$12,Paramètres!$A$1:$I$89,3,0)*0.475*44/12</f>
        <v>0.50886404268336882</v>
      </c>
      <c r="CM134" s="21">
        <f>EXP(-LN(2)/2)*CM133+(1-EXP(-LN(2)/2))/(LN(2)/2)*CG134*CJ134*VLOOKUP('Données projet'!$B$12,Paramètres!$A$1:$I$89,3,0)*0.475*44/12</f>
        <v>8.2091842043531118E-15</v>
      </c>
      <c r="CN134" s="22">
        <f t="shared" si="120"/>
        <v>0.7045178109487612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3.7</v>
      </c>
      <c r="CT134" s="12">
        <f>IF('Données projet'!$A$140&gt;35,CT133+CS134-DB133,IF(A134&lt;'Données projet'!$A$140,$CQ$205^A134,IF(A134='Données projet'!$A$140,'Données projet'!$B$140,CT133+CS134-DB133)))</f>
        <v>423.70000000000022</v>
      </c>
      <c r="CU134" s="17">
        <f>CT134*VLOOKUP('Données projet'!$B$13,Paramètres!$A$1:$I$89,3,0)*VLOOKUP('Données projet'!$B$13,Paramètres!$A$1:$I$89,5,0)</f>
        <v>403.19292000000019</v>
      </c>
      <c r="CV134" s="13">
        <f t="shared" si="149"/>
        <v>92.423680917268371</v>
      </c>
      <c r="CW134" s="20">
        <f t="shared" si="121"/>
        <v>863.19891326424261</v>
      </c>
      <c r="CX134" s="59">
        <f t="shared" si="122"/>
        <v>1156.532246597576</v>
      </c>
      <c r="CY134" s="59">
        <f ca="1">AVERAGE(OFFSET($CX$3,0,0,'Données projet'!$E$13+1,1))-AVERAGE(OFFSET($H$3,0,0,'Données projet'!$E$13+1,1))</f>
        <v>461.10546083340631</v>
      </c>
      <c r="CZ134" s="59">
        <f t="shared" si="150"/>
        <v>233.41883071412587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0.23966439087339789</v>
      </c>
      <c r="DH134" s="21">
        <f>EXP(-LN(2)/2)*DH133+(1-EXP(-LN(2)/2))/(LN(2)/2)*DB134*DE134*VLOOKUP('Données projet'!$B$13,Paramètres!$A$1:$I$89,3,0)*0.475*44/12</f>
        <v>4.9340324170089627E-15</v>
      </c>
      <c r="DI134" s="22">
        <f t="shared" si="123"/>
        <v>0.23966439087340283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-4.1500243241898714E-13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296.376932094327</v>
      </c>
      <c r="DU134" s="59">
        <f t="shared" si="152"/>
        <v>350.93658329210882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0.36522036742871711</v>
      </c>
      <c r="EB134" s="21">
        <f>EXP(-LN(2)/25)*EB133+(1-EXP(-LN(2)/25))/(LN(2)/25)*Calculateur!DW134*Calculateur!DY134*VLOOKUP('Données projet'!$B$14,Paramètres!$A$1:$I$89,3,0)*0.475*44/12</f>
        <v>1.0318902745141996</v>
      </c>
      <c r="EC134" s="21">
        <f>EXP(-LN(2)/2)*EC133+(1-EXP(-LN(2)/2))/(LN(2)/2)*DW134*DZ134*VLOOKUP('Données projet'!$B$14,Paramètres!$A$1:$I$89,3,0)*0.475*44/12</f>
        <v>1.5393430058849805E-14</v>
      </c>
      <c r="ED134" s="22">
        <f t="shared" si="126"/>
        <v>1.397110641942932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-5.1159076974727213E-13</v>
      </c>
      <c r="EK134" s="17">
        <f>EJ134*VLOOKUP('Données projet'!$B$15,Paramètres!$A$1:$I$89,3,0)*VLOOKUP('Données projet'!$B$15,Paramètres!$A$1:$I$89,5,0)</f>
        <v>-3.3519427233841269E-13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231.03244099494077</v>
      </c>
      <c r="EP134" s="59">
        <f t="shared" si="154"/>
        <v>280.29723026390741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0.29498568138473313</v>
      </c>
      <c r="EW134" s="21">
        <f>EXP(-LN(2)/25)*EW133+(1-EXP(-LN(2)/25))/(LN(2)/25)*Calculateur!ER134*Calculateur!ET134*VLOOKUP('Données projet'!$B$15,Paramètres!$A$1:$I$89,3,0)*0.475*44/12</f>
        <v>0.83344983710762177</v>
      </c>
      <c r="EX134" s="21">
        <f>EXP(-LN(2)/2)*EX133+(1-EXP(-LN(2)/2))/(LN(2)/2)*ER134*EU134*VLOOKUP('Données projet'!$B$15,Paramètres!$A$1:$I$89,3,0)*0.475*44/12</f>
        <v>1.2433155047532529E-14</v>
      </c>
      <c r="EY134" s="22">
        <f t="shared" si="129"/>
        <v>1.1284355184923673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-5.1431925385259092E-13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351.15781452544906</v>
      </c>
      <c r="T135" s="59">
        <f t="shared" si="142"/>
        <v>271.54361159160169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0.3194984598396976</v>
      </c>
      <c r="AA135" s="21">
        <f>EXP(-LN(2)/25)*AA134+(1-EXP(-LN(2)/25))/(LN(2)/25)*Calculateur!V135*Calculateur!X135*VLOOKUP('Données projet'!$B$9,Paramètres!$A$1:$I$89,3,0)*0.475*44/12</f>
        <v>0.66713728902615721</v>
      </c>
      <c r="AB135" s="21">
        <f>EXP(-LN(2)/2)*AB134+(1-EXP(-LN(2)/2))/(LN(2)/2)*V135*Y135*VLOOKUP('Données projet'!$B$9,Paramètres!$A$1:$I$89,3,0)*0.475*44/12</f>
        <v>9.5716042976453342E-15</v>
      </c>
      <c r="AC135" s="22">
        <f t="shared" si="111"/>
        <v>0.98663574886586436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3.7</v>
      </c>
      <c r="AI135" s="13">
        <f>IF('Données projet'!$A$62&gt;35,AI134+AH135-AQ134,IF(A135&lt;'Données projet'!$A$62,$AF$205^A135,IF(A135='Données projet'!$A$62,'Données projet'!$B$62,AI134+AH135-AQ134)))</f>
        <v>427.4000000000002</v>
      </c>
      <c r="AJ135" s="13">
        <f>AI135*VLOOKUP('Données projet'!$B$10,Paramètres!$A$1:$I$89,3,0)*VLOOKUP('Données projet'!$B$10,Paramètres!$A$1:$I$89,5,0)</f>
        <v>366.70920000000024</v>
      </c>
      <c r="AK135" s="13">
        <f t="shared" si="143"/>
        <v>84.993715016328395</v>
      </c>
      <c r="AL135" s="20">
        <f t="shared" si="112"/>
        <v>786.71591032010565</v>
      </c>
      <c r="AM135" s="59">
        <f t="shared" si="113"/>
        <v>1080.0492436534389</v>
      </c>
      <c r="AN135" s="59">
        <f ca="1">AVERAGE(OFFSET($AM$3,0,0,'Données projet'!$E$10+1,1))-AVERAGE(OFFSET($H$3,0,0,'Données projet'!$E$10+1,1))</f>
        <v>405.59933429804329</v>
      </c>
      <c r="AO135" s="59">
        <f t="shared" si="144"/>
        <v>208.64922573363776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0.25906132378461805</v>
      </c>
      <c r="AW135" s="21">
        <f>EXP(-LN(2)/2)*AW134+(1-EXP(-LN(2)/2))/(LN(2)/2)*AQ135*AT135*VLOOKUP('Données projet'!$B$10,Paramètres!$A$1:$I$89,3,0)*0.475*44/12</f>
        <v>3.1457184907601543E-15</v>
      </c>
      <c r="AX135" s="21">
        <f t="shared" si="114"/>
        <v>0.25906132378462121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-1.0995790944434703E-13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293.19327646293601</v>
      </c>
      <c r="BJ135" s="59">
        <f t="shared" si="146"/>
        <v>200.0769581869605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0.19631528730295503</v>
      </c>
      <c r="BR135" s="21">
        <f>EXP(-LN(2)/2)*BR134+(1-EXP(-LN(2)/2))/(LN(2)/2)*BL135*BO135*VLOOKUP('Données projet'!$B$11,Paramètres!$A$1:$I$89,3,0)*0.475*44/12</f>
        <v>2.9381827773437691E-15</v>
      </c>
      <c r="BS135" s="22">
        <f t="shared" si="117"/>
        <v>0.19631528730295797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1.3301360013429075E-13</v>
      </c>
      <c r="CA135" s="13">
        <f t="shared" si="147"/>
        <v>1.9329766731057041E-12</v>
      </c>
      <c r="CB135" s="20">
        <f t="shared" si="118"/>
        <v>3.5982663925596575E-12</v>
      </c>
      <c r="CC135" s="59">
        <f t="shared" si="119"/>
        <v>293.3333333333369</v>
      </c>
      <c r="CD135" s="59">
        <f ca="1">AVERAGE(OFFSET($CC$3,0,0,'Données projet'!$E$12+1,1))-AVERAGE(OFFSET($H$3,0,0,'Données projet'!$E$12+1,1))</f>
        <v>295.95249585728561</v>
      </c>
      <c r="CE135" s="59">
        <f t="shared" si="148"/>
        <v>306.85862495052709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0.19181711720671507</v>
      </c>
      <c r="CL135" s="21">
        <f>EXP(-LN(2)/25)*CL134+(1-EXP(-LN(2)/25))/(LN(2)/25)*Calculateur!CG135*Calculateur!CI135*VLOOKUP('Données projet'!$B$12,Paramètres!$A$1:$I$89,3,0)*0.475*44/12</f>
        <v>0.49494912867619512</v>
      </c>
      <c r="CM135" s="21">
        <f>EXP(-LN(2)/2)*CM134+(1-EXP(-LN(2)/2))/(LN(2)/2)*CG135*CJ135*VLOOKUP('Données projet'!$B$12,Paramètres!$A$1:$I$89,3,0)*0.475*44/12</f>
        <v>5.8047698189075782E-15</v>
      </c>
      <c r="CN135" s="22">
        <f t="shared" si="120"/>
        <v>0.68676624588291602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3.7</v>
      </c>
      <c r="CT135" s="12">
        <f>IF('Données projet'!$A$140&gt;35,CT134+CS135-DB134,IF(A135&lt;'Données projet'!$A$140,$CQ$205^A135,IF(A135='Données projet'!$A$140,'Données projet'!$B$140,CT134+CS135-DB134)))</f>
        <v>427.4000000000002</v>
      </c>
      <c r="CU135" s="17">
        <f>CT135*VLOOKUP('Données projet'!$B$13,Paramètres!$A$1:$I$89,3,0)*VLOOKUP('Données projet'!$B$13,Paramètres!$A$1:$I$89,5,0)</f>
        <v>406.71384000000018</v>
      </c>
      <c r="CV135" s="13">
        <f t="shared" si="149"/>
        <v>93.136471842599988</v>
      </c>
      <c r="CW135" s="20">
        <f t="shared" si="121"/>
        <v>870.57262645919525</v>
      </c>
      <c r="CX135" s="59">
        <f t="shared" si="122"/>
        <v>1163.9059597925286</v>
      </c>
      <c r="CY135" s="59">
        <f ca="1">AVERAGE(OFFSET($CX$3,0,0,'Données projet'!$E$13+1,1))-AVERAGE(OFFSET($H$3,0,0,'Données projet'!$E$13+1,1))</f>
        <v>461.10546083340631</v>
      </c>
      <c r="CZ135" s="59">
        <f t="shared" si="150"/>
        <v>233.41883071412587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0.23311075550156227</v>
      </c>
      <c r="DH135" s="21">
        <f>EXP(-LN(2)/2)*DH134+(1-EXP(-LN(2)/2))/(LN(2)/2)*DB135*DE135*VLOOKUP('Données projet'!$B$13,Paramètres!$A$1:$I$89,3,0)*0.475*44/12</f>
        <v>3.4888877806612889E-15</v>
      </c>
      <c r="DI135" s="22">
        <f t="shared" si="123"/>
        <v>0.23311075550156576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-4.1500243241898714E-13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296.376932094327</v>
      </c>
      <c r="DU135" s="59">
        <f t="shared" si="152"/>
        <v>350.93658329210882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0.35805861878586814</v>
      </c>
      <c r="EB135" s="21">
        <f>EXP(-LN(2)/25)*EB134+(1-EXP(-LN(2)/25))/(LN(2)/25)*Calculateur!DW135*Calculateur!DY135*VLOOKUP('Données projet'!$B$14,Paramètres!$A$1:$I$89,3,0)*0.475*44/12</f>
        <v>1.0036731806928576</v>
      </c>
      <c r="EC135" s="21">
        <f>EXP(-LN(2)/2)*EC134+(1-EXP(-LN(2)/2))/(LN(2)/2)*DW135*DZ135*VLOOKUP('Données projet'!$B$14,Paramètres!$A$1:$I$89,3,0)*0.475*44/12</f>
        <v>1.0884798780333533E-14</v>
      </c>
      <c r="ED135" s="22">
        <f t="shared" si="126"/>
        <v>1.3617317994787366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-5.1159076974727213E-13</v>
      </c>
      <c r="EK135" s="17">
        <f>EJ135*VLOOKUP('Données projet'!$B$15,Paramètres!$A$1:$I$89,3,0)*VLOOKUP('Données projet'!$B$15,Paramètres!$A$1:$I$89,5,0)</f>
        <v>-3.3519427233841269E-13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231.03244099494077</v>
      </c>
      <c r="EP135" s="59">
        <f t="shared" si="154"/>
        <v>280.29723026390741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0.2892011920962782</v>
      </c>
      <c r="EW135" s="21">
        <f>EXP(-LN(2)/25)*EW134+(1-EXP(-LN(2)/25))/(LN(2)/25)*Calculateur!ER135*Calculateur!ET135*VLOOKUP('Données projet'!$B$15,Paramètres!$A$1:$I$89,3,0)*0.475*44/12</f>
        <v>0.81065910748269177</v>
      </c>
      <c r="EX135" s="21">
        <f>EXP(-LN(2)/2)*EX134+(1-EXP(-LN(2)/2))/(LN(2)/2)*ER135*EU135*VLOOKUP('Données projet'!$B$15,Paramètres!$A$1:$I$89,3,0)*0.475*44/12</f>
        <v>8.7915682456540025E-15</v>
      </c>
      <c r="EY135" s="22">
        <f t="shared" si="129"/>
        <v>1.0998602995789788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-5.1431925385259092E-13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351.15781452544906</v>
      </c>
      <c r="T136" s="59">
        <f t="shared" si="142"/>
        <v>271.54361159160169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0.31323328991705934</v>
      </c>
      <c r="AA136" s="21">
        <f>EXP(-LN(2)/25)*AA135+(1-EXP(-LN(2)/25))/(LN(2)/25)*Calculateur!V136*Calculateur!X136*VLOOKUP('Données projet'!$B$9,Paramètres!$A$1:$I$89,3,0)*0.475*44/12</f>
        <v>0.64889438477451167</v>
      </c>
      <c r="AB136" s="21">
        <f>EXP(-LN(2)/2)*AB135+(1-EXP(-LN(2)/2))/(LN(2)/2)*V136*Y136*VLOOKUP('Données projet'!$B$9,Paramètres!$A$1:$I$89,3,0)*0.475*44/12</f>
        <v>6.7681463056993173E-15</v>
      </c>
      <c r="AC136" s="22">
        <f t="shared" si="111"/>
        <v>0.96212767469157778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3.7</v>
      </c>
      <c r="AI136" s="13">
        <f>IF('Données projet'!$A$62&gt;35,AI135+AH136-AQ135,IF(A136&lt;'Données projet'!$A$62,$AF$205^A136,IF(A136='Données projet'!$A$62,'Données projet'!$B$62,AI135+AH136-AQ135)))</f>
        <v>431.10000000000019</v>
      </c>
      <c r="AJ136" s="13">
        <f>AI136*VLOOKUP('Données projet'!$B$10,Paramètres!$A$1:$I$89,3,0)*VLOOKUP('Données projet'!$B$10,Paramètres!$A$1:$I$89,5,0)</f>
        <v>369.88380000000024</v>
      </c>
      <c r="AK136" s="13">
        <f t="shared" si="143"/>
        <v>85.643532749796336</v>
      </c>
      <c r="AL136" s="20">
        <f t="shared" si="112"/>
        <v>793.37677120589569</v>
      </c>
      <c r="AM136" s="59">
        <f t="shared" si="113"/>
        <v>1086.710104539229</v>
      </c>
      <c r="AN136" s="59">
        <f ca="1">AVERAGE(OFFSET($AM$3,0,0,'Données projet'!$E$10+1,1))-AVERAGE(OFFSET($H$3,0,0,'Données projet'!$E$10+1,1))</f>
        <v>405.59933429804329</v>
      </c>
      <c r="AO136" s="59">
        <f t="shared" si="144"/>
        <v>208.64922573363776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0.25197727826228472</v>
      </c>
      <c r="AW136" s="21">
        <f>EXP(-LN(2)/2)*AW135+(1-EXP(-LN(2)/2))/(LN(2)/2)*AQ136*AT136*VLOOKUP('Données projet'!$B$10,Paramètres!$A$1:$I$89,3,0)*0.475*44/12</f>
        <v>2.2243588765204169E-15</v>
      </c>
      <c r="AX136" s="21">
        <f t="shared" si="114"/>
        <v>0.25197727826228694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-1.0995790944434703E-13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293.19327646293601</v>
      </c>
      <c r="BJ136" s="59">
        <f t="shared" si="146"/>
        <v>200.0769581869605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0.19094703544788344</v>
      </c>
      <c r="BR136" s="21">
        <f>EXP(-LN(2)/2)*BR135+(1-EXP(-LN(2)/2))/(LN(2)/2)*BL136*BO136*VLOOKUP('Données projet'!$B$11,Paramètres!$A$1:$I$89,3,0)*0.475*44/12</f>
        <v>2.077608966225303E-15</v>
      </c>
      <c r="BS136" s="22">
        <f t="shared" si="117"/>
        <v>0.19094703544788552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1.3301360013429075E-13</v>
      </c>
      <c r="CA136" s="13">
        <f t="shared" si="147"/>
        <v>1.9329766731057041E-12</v>
      </c>
      <c r="CB136" s="20">
        <f t="shared" si="118"/>
        <v>3.5982663925596575E-12</v>
      </c>
      <c r="CC136" s="59">
        <f t="shared" si="119"/>
        <v>293.3333333333369</v>
      </c>
      <c r="CD136" s="59">
        <f ca="1">AVERAGE(OFFSET($CC$3,0,0,'Données projet'!$E$12+1,1))-AVERAGE(OFFSET($H$3,0,0,'Données projet'!$E$12+1,1))</f>
        <v>295.95249585728561</v>
      </c>
      <c r="CE136" s="59">
        <f t="shared" si="148"/>
        <v>306.85862495052709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0.18805570053518039</v>
      </c>
      <c r="CL136" s="21">
        <f>EXP(-LN(2)/25)*CL135+(1-EXP(-LN(2)/25))/(LN(2)/25)*Calculateur!CG136*Calculateur!CI136*VLOOKUP('Données projet'!$B$12,Paramètres!$A$1:$I$89,3,0)*0.475*44/12</f>
        <v>0.48141471872430108</v>
      </c>
      <c r="CM136" s="21">
        <f>EXP(-LN(2)/2)*CM135+(1-EXP(-LN(2)/2))/(LN(2)/2)*CG136*CJ136*VLOOKUP('Données projet'!$B$12,Paramètres!$A$1:$I$89,3,0)*0.475*44/12</f>
        <v>4.1045921021765559E-15</v>
      </c>
      <c r="CN136" s="22">
        <f t="shared" si="120"/>
        <v>0.66947041925948558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3.7</v>
      </c>
      <c r="CT136" s="12">
        <f>IF('Données projet'!$A$140&gt;35,CT135+CS136-DB135,IF(A136&lt;'Données projet'!$A$140,$CQ$205^A136,IF(A136='Données projet'!$A$140,'Données projet'!$B$140,CT135+CS136-DB135)))</f>
        <v>431.10000000000019</v>
      </c>
      <c r="CU136" s="17">
        <f>CT136*VLOOKUP('Données projet'!$B$13,Paramètres!$A$1:$I$89,3,0)*VLOOKUP('Données projet'!$B$13,Paramètres!$A$1:$I$89,5,0)</f>
        <v>410.23476000000022</v>
      </c>
      <c r="CV136" s="13">
        <f t="shared" si="149"/>
        <v>93.848544859108785</v>
      </c>
      <c r="CW136" s="20">
        <f t="shared" si="121"/>
        <v>877.94508929628148</v>
      </c>
      <c r="CX136" s="59">
        <f t="shared" si="122"/>
        <v>1171.2784226296149</v>
      </c>
      <c r="CY136" s="59">
        <f ca="1">AVERAGE(OFFSET($CX$3,0,0,'Données projet'!$E$13+1,1))-AVERAGE(OFFSET($H$3,0,0,'Données projet'!$E$13+1,1))</f>
        <v>461.10546083340631</v>
      </c>
      <c r="CZ136" s="59">
        <f t="shared" si="150"/>
        <v>233.41883071412587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0.22673632963361021</v>
      </c>
      <c r="DH136" s="21">
        <f>EXP(-LN(2)/2)*DH135+(1-EXP(-LN(2)/2))/(LN(2)/2)*DB136*DE136*VLOOKUP('Données projet'!$B$13,Paramètres!$A$1:$I$89,3,0)*0.475*44/12</f>
        <v>2.4670162085044817E-15</v>
      </c>
      <c r="DI136" s="22">
        <f t="shared" si="123"/>
        <v>0.22673632963361268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-4.1500243241898714E-13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296.376932094327</v>
      </c>
      <c r="DU136" s="59">
        <f t="shared" si="152"/>
        <v>350.93658329210882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0.3510373076656701</v>
      </c>
      <c r="EB136" s="21">
        <f>EXP(-LN(2)/25)*EB135+(1-EXP(-LN(2)/25))/(LN(2)/25)*Calculateur!DW136*Calculateur!DY136*VLOOKUP('Données projet'!$B$14,Paramètres!$A$1:$I$89,3,0)*0.475*44/12</f>
        <v>0.9762276847859328</v>
      </c>
      <c r="EC136" s="21">
        <f>EXP(-LN(2)/2)*EC135+(1-EXP(-LN(2)/2))/(LN(2)/2)*DW136*DZ136*VLOOKUP('Données projet'!$B$14,Paramètres!$A$1:$I$89,3,0)*0.475*44/12</f>
        <v>7.6967150294249025E-15</v>
      </c>
      <c r="ED136" s="22">
        <f t="shared" si="126"/>
        <v>1.3272649924516107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-5.1159076974727213E-13</v>
      </c>
      <c r="EK136" s="17">
        <f>EJ136*VLOOKUP('Données projet'!$B$15,Paramètres!$A$1:$I$89,3,0)*VLOOKUP('Données projet'!$B$15,Paramètres!$A$1:$I$89,5,0)</f>
        <v>-3.3519427233841269E-13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231.03244099494077</v>
      </c>
      <c r="EP136" s="59">
        <f t="shared" si="154"/>
        <v>280.29723026390741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0.28353013311457975</v>
      </c>
      <c r="EW136" s="21">
        <f>EXP(-LN(2)/25)*EW135+(1-EXP(-LN(2)/25))/(LN(2)/25)*Calculateur!ER136*Calculateur!ET136*VLOOKUP('Données projet'!$B$15,Paramètres!$A$1:$I$89,3,0)*0.475*44/12</f>
        <v>0.78849159155786785</v>
      </c>
      <c r="EX136" s="21">
        <f>EXP(-LN(2)/2)*EX135+(1-EXP(-LN(2)/2))/(LN(2)/2)*ER136*EU136*VLOOKUP('Données projet'!$B$15,Paramètres!$A$1:$I$89,3,0)*0.475*44/12</f>
        <v>6.2165775237662643E-15</v>
      </c>
      <c r="EY136" s="22">
        <f t="shared" si="129"/>
        <v>1.0720217246724539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-5.1431925385259092E-13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351.15781452544906</v>
      </c>
      <c r="T137" s="59">
        <f t="shared" si="142"/>
        <v>271.54361159160169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0.30709097615522768</v>
      </c>
      <c r="AA137" s="21">
        <f>EXP(-LN(2)/25)*AA136+(1-EXP(-LN(2)/25))/(LN(2)/25)*Calculateur!V137*Calculateur!X137*VLOOKUP('Données projet'!$B$9,Paramètres!$A$1:$I$89,3,0)*0.475*44/12</f>
        <v>0.63115033369897999</v>
      </c>
      <c r="AB137" s="21">
        <f>EXP(-LN(2)/2)*AB136+(1-EXP(-LN(2)/2))/(LN(2)/2)*V137*Y137*VLOOKUP('Données projet'!$B$9,Paramètres!$A$1:$I$89,3,0)*0.475*44/12</f>
        <v>4.7858021488226671E-15</v>
      </c>
      <c r="AC137" s="22">
        <f t="shared" si="111"/>
        <v>0.9382413098542125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3.7</v>
      </c>
      <c r="AI137" s="13">
        <f>IF('Données projet'!$A$62&gt;35,AI136+AH137-AQ136,IF(A137&lt;'Données projet'!$A$62,$AF$205^A137,IF(A137='Données projet'!$A$62,'Données projet'!$B$62,AI136+AH137-AQ136)))</f>
        <v>434.80000000000018</v>
      </c>
      <c r="AJ137" s="13">
        <f>AI137*VLOOKUP('Données projet'!$B$10,Paramètres!$A$1:$I$89,3,0)*VLOOKUP('Données projet'!$B$10,Paramètres!$A$1:$I$89,5,0)</f>
        <v>373.05840000000023</v>
      </c>
      <c r="AK137" s="13">
        <f t="shared" si="143"/>
        <v>86.292701614359373</v>
      </c>
      <c r="AL137" s="20">
        <f t="shared" si="112"/>
        <v>800.03650197834293</v>
      </c>
      <c r="AM137" s="59">
        <f t="shared" si="113"/>
        <v>1093.3698353116763</v>
      </c>
      <c r="AN137" s="59">
        <f ca="1">AVERAGE(OFFSET($AM$3,0,0,'Données projet'!$E$10+1,1))-AVERAGE(OFFSET($H$3,0,0,'Données projet'!$E$10+1,1))</f>
        <v>405.59933429804329</v>
      </c>
      <c r="AO137" s="59">
        <f t="shared" si="144"/>
        <v>208.64922573363776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0.24508694633729339</v>
      </c>
      <c r="AW137" s="21">
        <f>EXP(-LN(2)/2)*AW136+(1-EXP(-LN(2)/2))/(LN(2)/2)*AQ137*AT137*VLOOKUP('Données projet'!$B$10,Paramètres!$A$1:$I$89,3,0)*0.475*44/12</f>
        <v>1.5728592453800771E-15</v>
      </c>
      <c r="AX137" s="21">
        <f t="shared" si="114"/>
        <v>0.24508694633729497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-1.0995790944434703E-13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293.19327646293601</v>
      </c>
      <c r="BJ137" s="59">
        <f t="shared" si="146"/>
        <v>200.0769581869605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0.18572557872209289</v>
      </c>
      <c r="BR137" s="21">
        <f>EXP(-LN(2)/2)*BR136+(1-EXP(-LN(2)/2))/(LN(2)/2)*BL137*BO137*VLOOKUP('Données projet'!$B$11,Paramètres!$A$1:$I$89,3,0)*0.475*44/12</f>
        <v>1.4690913886718845E-15</v>
      </c>
      <c r="BS137" s="22">
        <f t="shared" si="117"/>
        <v>0.18572557872209436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1.3301360013429075E-13</v>
      </c>
      <c r="CA137" s="13">
        <f t="shared" si="147"/>
        <v>1.9329766731057041E-12</v>
      </c>
      <c r="CB137" s="20">
        <f t="shared" si="118"/>
        <v>3.5982663925596575E-12</v>
      </c>
      <c r="CC137" s="59">
        <f t="shared" si="119"/>
        <v>293.3333333333369</v>
      </c>
      <c r="CD137" s="59">
        <f ca="1">AVERAGE(OFFSET($CC$3,0,0,'Données projet'!$E$12+1,1))-AVERAGE(OFFSET($H$3,0,0,'Données projet'!$E$12+1,1))</f>
        <v>295.95249585728561</v>
      </c>
      <c r="CE137" s="59">
        <f t="shared" si="148"/>
        <v>306.85862495052709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0.18436804295033687</v>
      </c>
      <c r="CL137" s="21">
        <f>EXP(-LN(2)/25)*CL136+(1-EXP(-LN(2)/25))/(LN(2)/25)*Calculateur!CG137*Calculateur!CI137*VLOOKUP('Données projet'!$B$12,Paramètres!$A$1:$I$89,3,0)*0.475*44/12</f>
        <v>0.46825040792428529</v>
      </c>
      <c r="CM137" s="21">
        <f>EXP(-LN(2)/2)*CM136+(1-EXP(-LN(2)/2))/(LN(2)/2)*CG137*CJ137*VLOOKUP('Données projet'!$B$12,Paramètres!$A$1:$I$89,3,0)*0.475*44/12</f>
        <v>2.9023849094537891E-15</v>
      </c>
      <c r="CN137" s="22">
        <f t="shared" si="120"/>
        <v>0.65261845087462511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3.7</v>
      </c>
      <c r="CT137" s="12">
        <f>IF('Données projet'!$A$140&gt;35,CT136+CS137-DB136,IF(A137&lt;'Données projet'!$A$140,$CQ$205^A137,IF(A137='Données projet'!$A$140,'Données projet'!$B$140,CT136+CS137-DB136)))</f>
        <v>434.80000000000018</v>
      </c>
      <c r="CU137" s="17">
        <f>CT137*VLOOKUP('Données projet'!$B$13,Paramètres!$A$1:$I$89,3,0)*VLOOKUP('Données projet'!$B$13,Paramètres!$A$1:$I$89,5,0)</f>
        <v>413.75568000000021</v>
      </c>
      <c r="CV137" s="13">
        <f t="shared" si="149"/>
        <v>94.559906842331259</v>
      </c>
      <c r="CW137" s="20">
        <f t="shared" si="121"/>
        <v>885.31631375039387</v>
      </c>
      <c r="CX137" s="59">
        <f t="shared" si="122"/>
        <v>1178.6496470837271</v>
      </c>
      <c r="CY137" s="59">
        <f ca="1">AVERAGE(OFFSET($CX$3,0,0,'Données projet'!$E$13+1,1))-AVERAGE(OFFSET($H$3,0,0,'Données projet'!$E$13+1,1))</f>
        <v>461.10546083340631</v>
      </c>
      <c r="CZ137" s="59">
        <f t="shared" si="150"/>
        <v>233.41883071412587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0.22053621277623378</v>
      </c>
      <c r="DH137" s="21">
        <f>EXP(-LN(2)/2)*DH136+(1-EXP(-LN(2)/2))/(LN(2)/2)*DB137*DE137*VLOOKUP('Données projet'!$B$13,Paramètres!$A$1:$I$89,3,0)*0.475*44/12</f>
        <v>1.7444438903306448E-15</v>
      </c>
      <c r="DI137" s="22">
        <f t="shared" si="123"/>
        <v>0.22053621277623553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-4.1500243241898714E-13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296.376932094327</v>
      </c>
      <c r="DU137" s="59">
        <f t="shared" si="152"/>
        <v>350.93658329210882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0.3441536801739622</v>
      </c>
      <c r="EB137" s="21">
        <f>EXP(-LN(2)/25)*EB136+(1-EXP(-LN(2)/25))/(LN(2)/25)*Calculateur!DW137*Calculateur!DY137*VLOOKUP('Données projet'!$B$14,Paramètres!$A$1:$I$89,3,0)*0.475*44/12</f>
        <v>0.94953268740787877</v>
      </c>
      <c r="EC137" s="21">
        <f>EXP(-LN(2)/2)*EC136+(1-EXP(-LN(2)/2))/(LN(2)/2)*DW137*DZ137*VLOOKUP('Données projet'!$B$14,Paramètres!$A$1:$I$89,3,0)*0.475*44/12</f>
        <v>5.4423993901667663E-15</v>
      </c>
      <c r="ED137" s="22">
        <f t="shared" si="126"/>
        <v>1.2936863675818466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-5.1159076974727213E-13</v>
      </c>
      <c r="EK137" s="17">
        <f>EJ137*VLOOKUP('Données projet'!$B$15,Paramètres!$A$1:$I$89,3,0)*VLOOKUP('Données projet'!$B$15,Paramètres!$A$1:$I$89,5,0)</f>
        <v>-3.3519427233841269E-13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231.03244099494077</v>
      </c>
      <c r="EP137" s="59">
        <f t="shared" si="154"/>
        <v>280.29723026390741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0.27797028014050801</v>
      </c>
      <c r="EW137" s="21">
        <f>EXP(-LN(2)/25)*EW136+(1-EXP(-LN(2)/25))/(LN(2)/25)*Calculateur!ER137*Calculateur!ET137*VLOOKUP('Données projet'!$B$15,Paramètres!$A$1:$I$89,3,0)*0.475*44/12</f>
        <v>0.76693024752174732</v>
      </c>
      <c r="EX137" s="21">
        <f>EXP(-LN(2)/2)*EX136+(1-EXP(-LN(2)/2))/(LN(2)/2)*ER137*EU137*VLOOKUP('Données projet'!$B$15,Paramètres!$A$1:$I$89,3,0)*0.475*44/12</f>
        <v>4.3957841228270012E-15</v>
      </c>
      <c r="EY137" s="22">
        <f t="shared" si="129"/>
        <v>1.0449005276622598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-5.1431925385259092E-13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351.15781452544906</v>
      </c>
      <c r="T138" s="59">
        <f t="shared" si="142"/>
        <v>271.54361159160169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0.30106910941982407</v>
      </c>
      <c r="AA138" s="21">
        <f>EXP(-LN(2)/25)*AA137+(1-EXP(-LN(2)/25))/(LN(2)/25)*Calculateur!V138*Calculateur!X138*VLOOKUP('Données projet'!$B$9,Paramètres!$A$1:$I$89,3,0)*0.475*44/12</f>
        <v>0.6138914946332279</v>
      </c>
      <c r="AB138" s="21">
        <f>EXP(-LN(2)/2)*AB137+(1-EXP(-LN(2)/2))/(LN(2)/2)*V138*Y138*VLOOKUP('Données projet'!$B$9,Paramètres!$A$1:$I$89,3,0)*0.475*44/12</f>
        <v>3.3840731528496587E-15</v>
      </c>
      <c r="AC138" s="22">
        <f t="shared" si="111"/>
        <v>0.91496060405305535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3.7</v>
      </c>
      <c r="AI138" s="13">
        <f>IF('Données projet'!$A$62&gt;35,AI137+AH138-AQ137,IF(A138&lt;'Données projet'!$A$62,$AF$205^A138,IF(A138='Données projet'!$A$62,'Données projet'!$B$62,AI137+AH138-AQ137)))</f>
        <v>438.50000000000017</v>
      </c>
      <c r="AJ138" s="13">
        <f>AI138*VLOOKUP('Données projet'!$B$10,Paramètres!$A$1:$I$89,3,0)*VLOOKUP('Données projet'!$B$10,Paramètres!$A$1:$I$89,5,0)</f>
        <v>376.23300000000023</v>
      </c>
      <c r="AK138" s="13">
        <f t="shared" si="143"/>
        <v>86.94122777148867</v>
      </c>
      <c r="AL138" s="20">
        <f t="shared" si="112"/>
        <v>806.69511336867652</v>
      </c>
      <c r="AM138" s="59">
        <f t="shared" si="113"/>
        <v>1100.0284467020099</v>
      </c>
      <c r="AN138" s="59">
        <f ca="1">AVERAGE(OFFSET($AM$3,0,0,'Données projet'!$E$10+1,1))-AVERAGE(OFFSET($H$3,0,0,'Données projet'!$E$10+1,1))</f>
        <v>405.59933429804329</v>
      </c>
      <c r="AO138" s="59">
        <f t="shared" si="144"/>
        <v>208.64922573363776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0.23838503090113775</v>
      </c>
      <c r="AW138" s="21">
        <f>EXP(-LN(2)/2)*AW137+(1-EXP(-LN(2)/2))/(LN(2)/2)*AQ138*AT138*VLOOKUP('Données projet'!$B$10,Paramètres!$A$1:$I$89,3,0)*0.475*44/12</f>
        <v>1.1121794382602085E-15</v>
      </c>
      <c r="AX138" s="21">
        <f t="shared" si="114"/>
        <v>0.23838503090113886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-1.0995790944434703E-13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293.19327646293601</v>
      </c>
      <c r="BJ138" s="59">
        <f t="shared" si="146"/>
        <v>200.0769581869605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0.18064690300505357</v>
      </c>
      <c r="BR138" s="21">
        <f>EXP(-LN(2)/2)*BR137+(1-EXP(-LN(2)/2))/(LN(2)/2)*BL138*BO138*VLOOKUP('Données projet'!$B$11,Paramètres!$A$1:$I$89,3,0)*0.475*44/12</f>
        <v>1.0388044831126515E-15</v>
      </c>
      <c r="BS138" s="22">
        <f t="shared" si="117"/>
        <v>0.18064690300505459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1.3301360013429075E-13</v>
      </c>
      <c r="CA138" s="13">
        <f t="shared" si="147"/>
        <v>1.9329766731057041E-12</v>
      </c>
      <c r="CB138" s="20">
        <f t="shared" si="118"/>
        <v>3.5982663925596575E-12</v>
      </c>
      <c r="CC138" s="59">
        <f t="shared" si="119"/>
        <v>293.3333333333369</v>
      </c>
      <c r="CD138" s="59">
        <f ca="1">AVERAGE(OFFSET($CC$3,0,0,'Données projet'!$E$12+1,1))-AVERAGE(OFFSET($H$3,0,0,'Données projet'!$E$12+1,1))</f>
        <v>295.95249585728561</v>
      </c>
      <c r="CE138" s="59">
        <f t="shared" si="148"/>
        <v>306.85862495052709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0.18075269808148312</v>
      </c>
      <c r="CL138" s="21">
        <f>EXP(-LN(2)/25)*CL137+(1-EXP(-LN(2)/25))/(LN(2)/25)*Calculateur!CG138*Calculateur!CI138*VLOOKUP('Données projet'!$B$12,Paramètres!$A$1:$I$89,3,0)*0.475*44/12</f>
        <v>0.45544607589537695</v>
      </c>
      <c r="CM138" s="21">
        <f>EXP(-LN(2)/2)*CM137+(1-EXP(-LN(2)/2))/(LN(2)/2)*CG138*CJ138*VLOOKUP('Données projet'!$B$12,Paramètres!$A$1:$I$89,3,0)*0.475*44/12</f>
        <v>2.052296051088278E-15</v>
      </c>
      <c r="CN138" s="22">
        <f t="shared" si="120"/>
        <v>0.63619877397686209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3.7</v>
      </c>
      <c r="CT138" s="12">
        <f>IF('Données projet'!$A$140&gt;35,CT137+CS138-DB137,IF(A138&lt;'Données projet'!$A$140,$CQ$205^A138,IF(A138='Données projet'!$A$140,'Données projet'!$B$140,CT137+CS138-DB137)))</f>
        <v>438.50000000000017</v>
      </c>
      <c r="CU138" s="17">
        <f>CT138*VLOOKUP('Données projet'!$B$13,Paramètres!$A$1:$I$89,3,0)*VLOOKUP('Données projet'!$B$13,Paramètres!$A$1:$I$89,5,0)</f>
        <v>417.27660000000014</v>
      </c>
      <c r="CV138" s="13">
        <f t="shared" si="149"/>
        <v>95.270564544033775</v>
      </c>
      <c r="CW138" s="20">
        <f t="shared" si="121"/>
        <v>892.68631158085884</v>
      </c>
      <c r="CX138" s="59">
        <f t="shared" si="122"/>
        <v>1186.0196449141922</v>
      </c>
      <c r="CY138" s="59">
        <f ca="1">AVERAGE(OFFSET($CX$3,0,0,'Données projet'!$E$13+1,1))-AVERAGE(OFFSET($H$3,0,0,'Données projet'!$E$13+1,1))</f>
        <v>461.10546083340631</v>
      </c>
      <c r="CZ138" s="59">
        <f t="shared" si="150"/>
        <v>233.41883071412587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0.21450563844037229</v>
      </c>
      <c r="DH138" s="21">
        <f>EXP(-LN(2)/2)*DH137+(1-EXP(-LN(2)/2))/(LN(2)/2)*DB138*DE138*VLOOKUP('Données projet'!$B$13,Paramètres!$A$1:$I$89,3,0)*0.475*44/12</f>
        <v>1.2335081042522411E-15</v>
      </c>
      <c r="DI138" s="22">
        <f t="shared" si="123"/>
        <v>0.21450563844037351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-4.1500243241898714E-13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296.376932094327</v>
      </c>
      <c r="DU138" s="59">
        <f t="shared" si="152"/>
        <v>350.93658329210882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0.33740503641876851</v>
      </c>
      <c r="EB138" s="21">
        <f>EXP(-LN(2)/25)*EB137+(1-EXP(-LN(2)/25))/(LN(2)/25)*Calculateur!DW138*Calculateur!DY138*VLOOKUP('Données projet'!$B$14,Paramètres!$A$1:$I$89,3,0)*0.475*44/12</f>
        <v>0.92356766613695651</v>
      </c>
      <c r="EC138" s="21">
        <f>EXP(-LN(2)/2)*EC137+(1-EXP(-LN(2)/2))/(LN(2)/2)*DW138*DZ138*VLOOKUP('Données projet'!$B$14,Paramètres!$A$1:$I$89,3,0)*0.475*44/12</f>
        <v>3.8483575147124513E-15</v>
      </c>
      <c r="ED138" s="22">
        <f t="shared" si="126"/>
        <v>1.2609727025557287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-5.1159076974727213E-13</v>
      </c>
      <c r="EK138" s="17">
        <f>EJ138*VLOOKUP('Données projet'!$B$15,Paramètres!$A$1:$I$89,3,0)*VLOOKUP('Données projet'!$B$15,Paramètres!$A$1:$I$89,5,0)</f>
        <v>-3.3519427233841269E-13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231.03244099494077</v>
      </c>
      <c r="EP138" s="59">
        <f t="shared" si="154"/>
        <v>280.29723026390741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0.27251945249208231</v>
      </c>
      <c r="EW138" s="21">
        <f>EXP(-LN(2)/25)*EW137+(1-EXP(-LN(2)/25))/(LN(2)/25)*Calculateur!ER138*Calculateur!ET138*VLOOKUP('Données projet'!$B$15,Paramètres!$A$1:$I$89,3,0)*0.475*44/12</f>
        <v>0.74595849957215632</v>
      </c>
      <c r="EX138" s="21">
        <f>EXP(-LN(2)/2)*EX137+(1-EXP(-LN(2)/2))/(LN(2)/2)*ER138*EU138*VLOOKUP('Données projet'!$B$15,Paramètres!$A$1:$I$89,3,0)*0.475*44/12</f>
        <v>3.1082887618831322E-15</v>
      </c>
      <c r="EY138" s="22">
        <f t="shared" si="129"/>
        <v>1.0184779520642417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-5.1431925385259092E-13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351.15781452544906</v>
      </c>
      <c r="T139" s="59">
        <f t="shared" si="142"/>
        <v>271.54361159160169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0.29516532781812571</v>
      </c>
      <c r="AA139" s="21">
        <f>EXP(-LN(2)/25)*AA138+(1-EXP(-LN(2)/25))/(LN(2)/25)*Calculateur!V139*Calculateur!X139*VLOOKUP('Données projet'!$B$9,Paramètres!$A$1:$I$89,3,0)*0.475*44/12</f>
        <v>0.59710459942933169</v>
      </c>
      <c r="AB139" s="21">
        <f>EXP(-LN(2)/2)*AB138+(1-EXP(-LN(2)/2))/(LN(2)/2)*V139*Y139*VLOOKUP('Données projet'!$B$9,Paramètres!$A$1:$I$89,3,0)*0.475*44/12</f>
        <v>2.3929010744113335E-15</v>
      </c>
      <c r="AC139" s="22">
        <f t="shared" si="111"/>
        <v>0.8922699272474599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3.7</v>
      </c>
      <c r="AI139" s="13">
        <f>IF('Données projet'!$A$62&gt;35,AI138+AH139-AQ138,IF(A139&lt;'Données projet'!$A$62,$AF$205^A139,IF(A139='Données projet'!$A$62,'Données projet'!$B$62,AI138+AH139-AQ138)))</f>
        <v>442.20000000000016</v>
      </c>
      <c r="AJ139" s="13">
        <f>AI139*VLOOKUP('Données projet'!$B$10,Paramètres!$A$1:$I$89,3,0)*VLOOKUP('Données projet'!$B$10,Paramètres!$A$1:$I$89,5,0)</f>
        <v>379.40760000000017</v>
      </c>
      <c r="AK139" s="13">
        <f t="shared" si="143"/>
        <v>87.589117272674955</v>
      </c>
      <c r="AL139" s="20">
        <f t="shared" si="112"/>
        <v>813.35261591657581</v>
      </c>
      <c r="AM139" s="59">
        <f t="shared" si="113"/>
        <v>1106.6859492499091</v>
      </c>
      <c r="AN139" s="59">
        <f ca="1">AVERAGE(OFFSET($AM$3,0,0,'Données projet'!$E$10+1,1))-AVERAGE(OFFSET($H$3,0,0,'Données projet'!$E$10+1,1))</f>
        <v>405.59933429804329</v>
      </c>
      <c r="AO139" s="59">
        <f t="shared" si="144"/>
        <v>208.64922573363776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0.23186637969502219</v>
      </c>
      <c r="AW139" s="21">
        <f>EXP(-LN(2)/2)*AW138+(1-EXP(-LN(2)/2))/(LN(2)/2)*AQ139*AT139*VLOOKUP('Données projet'!$B$10,Paramètres!$A$1:$I$89,3,0)*0.475*44/12</f>
        <v>7.8642962269003857E-16</v>
      </c>
      <c r="AX139" s="21">
        <f t="shared" si="114"/>
        <v>0.23186637969502297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-1.0995790944434703E-13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293.19327646293601</v>
      </c>
      <c r="BJ139" s="59">
        <f t="shared" si="146"/>
        <v>200.0769581869605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0.17570710394257263</v>
      </c>
      <c r="BR139" s="21">
        <f>EXP(-LN(2)/2)*BR138+(1-EXP(-LN(2)/2))/(LN(2)/2)*BL139*BO139*VLOOKUP('Données projet'!$B$11,Paramètres!$A$1:$I$89,3,0)*0.475*44/12</f>
        <v>7.3454569433594227E-16</v>
      </c>
      <c r="BS139" s="22">
        <f t="shared" si="117"/>
        <v>0.17570710394257336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1.3301360013429075E-13</v>
      </c>
      <c r="CA139" s="13">
        <f t="shared" si="147"/>
        <v>1.9329766731057041E-12</v>
      </c>
      <c r="CB139" s="20">
        <f t="shared" si="118"/>
        <v>3.5982663925596575E-12</v>
      </c>
      <c r="CC139" s="59">
        <f t="shared" si="119"/>
        <v>293.3333333333369</v>
      </c>
      <c r="CD139" s="59">
        <f ca="1">AVERAGE(OFFSET($CC$3,0,0,'Données projet'!$E$12+1,1))-AVERAGE(OFFSET($H$3,0,0,'Données projet'!$E$12+1,1))</f>
        <v>295.95249585728561</v>
      </c>
      <c r="CE139" s="59">
        <f t="shared" si="148"/>
        <v>306.85862495052709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0.17720824792036494</v>
      </c>
      <c r="CL139" s="21">
        <f>EXP(-LN(2)/25)*CL138+(1-EXP(-LN(2)/25))/(LN(2)/25)*Calculateur!CG139*Calculateur!CI139*VLOOKUP('Données projet'!$B$12,Paramètres!$A$1:$I$89,3,0)*0.475*44/12</f>
        <v>0.44299187899914966</v>
      </c>
      <c r="CM139" s="21">
        <f>EXP(-LN(2)/2)*CM138+(1-EXP(-LN(2)/2))/(LN(2)/2)*CG139*CJ139*VLOOKUP('Données projet'!$B$12,Paramètres!$A$1:$I$89,3,0)*0.475*44/12</f>
        <v>1.4511924547268946E-15</v>
      </c>
      <c r="CN139" s="22">
        <f t="shared" si="120"/>
        <v>0.62020012691951598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3.7</v>
      </c>
      <c r="CT139" s="12">
        <f>IF('Données projet'!$A$140&gt;35,CT138+CS139-DB138,IF(A139&lt;'Données projet'!$A$140,$CQ$205^A139,IF(A139='Données projet'!$A$140,'Données projet'!$B$140,CT138+CS139-DB138)))</f>
        <v>442.20000000000016</v>
      </c>
      <c r="CU139" s="17">
        <f>CT139*VLOOKUP('Données projet'!$B$13,Paramètres!$A$1:$I$89,3,0)*VLOOKUP('Données projet'!$B$13,Paramètres!$A$1:$I$89,5,0)</f>
        <v>420.79752000000013</v>
      </c>
      <c r="CV139" s="13">
        <f t="shared" si="149"/>
        <v>95.98052459546534</v>
      </c>
      <c r="CW139" s="20">
        <f t="shared" si="121"/>
        <v>900.05509433710222</v>
      </c>
      <c r="CX139" s="59">
        <f t="shared" si="122"/>
        <v>1193.3884276704355</v>
      </c>
      <c r="CY139" s="59">
        <f ca="1">AVERAGE(OFFSET($CX$3,0,0,'Données projet'!$E$13+1,1))-AVERAGE(OFFSET($H$3,0,0,'Données projet'!$E$13+1,1))</f>
        <v>461.10546083340631</v>
      </c>
      <c r="CZ139" s="59">
        <f t="shared" si="150"/>
        <v>233.41883071412587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0.20863997047685903</v>
      </c>
      <c r="DH139" s="21">
        <f>EXP(-LN(2)/2)*DH138+(1-EXP(-LN(2)/2))/(LN(2)/2)*DB139*DE139*VLOOKUP('Données projet'!$B$13,Paramètres!$A$1:$I$89,3,0)*0.475*44/12</f>
        <v>8.7222194516532251E-16</v>
      </c>
      <c r="DI139" s="22">
        <f t="shared" si="123"/>
        <v>0.20863997047685989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-4.1500243241898714E-13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296.376932094327</v>
      </c>
      <c r="DU139" s="59">
        <f t="shared" si="152"/>
        <v>350.93658329210882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0.33078872945134796</v>
      </c>
      <c r="EB139" s="21">
        <f>EXP(-LN(2)/25)*EB138+(1-EXP(-LN(2)/25))/(LN(2)/25)*Calculateur!DW139*Calculateur!DY139*VLOOKUP('Données projet'!$B$14,Paramètres!$A$1:$I$89,3,0)*0.475*44/12</f>
        <v>0.89831265973812868</v>
      </c>
      <c r="EC139" s="21">
        <f>EXP(-LN(2)/2)*EC138+(1-EXP(-LN(2)/2))/(LN(2)/2)*DW139*DZ139*VLOOKUP('Données projet'!$B$14,Paramètres!$A$1:$I$89,3,0)*0.475*44/12</f>
        <v>2.7211996950833832E-15</v>
      </c>
      <c r="ED139" s="22">
        <f t="shared" si="126"/>
        <v>1.2291013891894793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-5.1159076974727213E-13</v>
      </c>
      <c r="EK139" s="17">
        <f>EJ139*VLOOKUP('Données projet'!$B$15,Paramètres!$A$1:$I$89,3,0)*VLOOKUP('Données projet'!$B$15,Paramètres!$A$1:$I$89,5,0)</f>
        <v>-3.3519427233841269E-13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231.03244099494077</v>
      </c>
      <c r="EP139" s="59">
        <f t="shared" si="154"/>
        <v>280.29723026390741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0.26717551224916569</v>
      </c>
      <c r="EW139" s="21">
        <f>EXP(-LN(2)/25)*EW138+(1-EXP(-LN(2)/25))/(LN(2)/25)*Calculateur!ER139*Calculateur!ET139*VLOOKUP('Données projet'!$B$15,Paramètres!$A$1:$I$89,3,0)*0.475*44/12</f>
        <v>0.72556022517310315</v>
      </c>
      <c r="EX139" s="21">
        <f>EXP(-LN(2)/2)*EX138+(1-EXP(-LN(2)/2))/(LN(2)/2)*ER139*EU139*VLOOKUP('Données projet'!$B$15,Paramètres!$A$1:$I$89,3,0)*0.475*44/12</f>
        <v>2.1978920614135006E-15</v>
      </c>
      <c r="EY139" s="22">
        <f t="shared" si="129"/>
        <v>0.99273573742227106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-5.1431925385259092E-13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351.15781452544906</v>
      </c>
      <c r="T140" s="59">
        <f t="shared" si="142"/>
        <v>271.54361159160169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0.28937731577268544</v>
      </c>
      <c r="AA140" s="21">
        <f>EXP(-LN(2)/25)*AA139+(1-EXP(-LN(2)/25))/(LN(2)/25)*Calculateur!V140*Calculateur!X140*VLOOKUP('Données projet'!$B$9,Paramètres!$A$1:$I$89,3,0)*0.475*44/12</f>
        <v>0.58077674275757041</v>
      </c>
      <c r="AB140" s="21">
        <f>EXP(-LN(2)/2)*AB139+(1-EXP(-LN(2)/2))/(LN(2)/2)*V140*Y140*VLOOKUP('Données projet'!$B$9,Paramètres!$A$1:$I$89,3,0)*0.475*44/12</f>
        <v>1.6920365764248293E-15</v>
      </c>
      <c r="AC140" s="22">
        <f t="shared" si="111"/>
        <v>0.87015405853025751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3.7</v>
      </c>
      <c r="AI140" s="13">
        <f>IF('Données projet'!$A$62&gt;35,AI139+AH140-AQ139,IF(A140&lt;'Données projet'!$A$62,$AF$205^A140,IF(A140='Données projet'!$A$62,'Données projet'!$B$62,AI139+AH140-AQ139)))</f>
        <v>445.90000000000015</v>
      </c>
      <c r="AJ140" s="13">
        <f>AI140*VLOOKUP('Données projet'!$B$10,Paramètres!$A$1:$I$89,3,0)*VLOOKUP('Données projet'!$B$10,Paramètres!$A$1:$I$89,5,0)</f>
        <v>382.58220000000017</v>
      </c>
      <c r="AK140" s="13">
        <f t="shared" si="143"/>
        <v>88.236376062294653</v>
      </c>
      <c r="AL140" s="20">
        <f t="shared" si="112"/>
        <v>820.00901997516348</v>
      </c>
      <c r="AM140" s="59">
        <f t="shared" si="113"/>
        <v>1113.3423533084967</v>
      </c>
      <c r="AN140" s="59">
        <f ca="1">AVERAGE(OFFSET($AM$3,0,0,'Données projet'!$E$10+1,1))-AVERAGE(OFFSET($H$3,0,0,'Données projet'!$E$10+1,1))</f>
        <v>405.59933429804329</v>
      </c>
      <c r="AO140" s="59">
        <f t="shared" si="144"/>
        <v>208.64922573363776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0.22552598134893884</v>
      </c>
      <c r="AW140" s="21">
        <f>EXP(-LN(2)/2)*AW139+(1-EXP(-LN(2)/2))/(LN(2)/2)*AQ140*AT140*VLOOKUP('Données projet'!$B$10,Paramètres!$A$1:$I$89,3,0)*0.475*44/12</f>
        <v>5.5608971913010423E-16</v>
      </c>
      <c r="AX140" s="21">
        <f t="shared" si="114"/>
        <v>0.22552598134893939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-1.0995790944434703E-13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293.19327646293601</v>
      </c>
      <c r="BJ140" s="59">
        <f t="shared" si="146"/>
        <v>200.0769581869605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0.17090238394522797</v>
      </c>
      <c r="BR140" s="21">
        <f>EXP(-LN(2)/2)*BR139+(1-EXP(-LN(2)/2))/(LN(2)/2)*BL140*BO140*VLOOKUP('Données projet'!$B$11,Paramètres!$A$1:$I$89,3,0)*0.475*44/12</f>
        <v>5.1940224155632574E-16</v>
      </c>
      <c r="BS140" s="22">
        <f t="shared" si="117"/>
        <v>0.1709023839452285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1.3301360013429075E-13</v>
      </c>
      <c r="CA140" s="13">
        <f t="shared" si="147"/>
        <v>1.9329766731057041E-12</v>
      </c>
      <c r="CB140" s="20">
        <f t="shared" si="118"/>
        <v>3.5982663925596575E-12</v>
      </c>
      <c r="CC140" s="59">
        <f t="shared" si="119"/>
        <v>293.3333333333369</v>
      </c>
      <c r="CD140" s="59">
        <f ca="1">AVERAGE(OFFSET($CC$3,0,0,'Données projet'!$E$12+1,1))-AVERAGE(OFFSET($H$3,0,0,'Données projet'!$E$12+1,1))</f>
        <v>295.95249585728561</v>
      </c>
      <c r="CE140" s="59">
        <f t="shared" si="148"/>
        <v>306.85862495052709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0.17373330226500516</v>
      </c>
      <c r="CL140" s="21">
        <f>EXP(-LN(2)/25)*CL139+(1-EXP(-LN(2)/25))/(LN(2)/25)*Calculateur!CG140*Calculateur!CI140*VLOOKUP('Données projet'!$B$12,Paramètres!$A$1:$I$89,3,0)*0.475*44/12</f>
        <v>0.43087824277198744</v>
      </c>
      <c r="CM140" s="21">
        <f>EXP(-LN(2)/2)*CM139+(1-EXP(-LN(2)/2))/(LN(2)/2)*CG140*CJ140*VLOOKUP('Données projet'!$B$12,Paramètres!$A$1:$I$89,3,0)*0.475*44/12</f>
        <v>1.026148025544139E-15</v>
      </c>
      <c r="CN140" s="22">
        <f t="shared" si="120"/>
        <v>0.60461154503699366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3.7</v>
      </c>
      <c r="CT140" s="12">
        <f>IF('Données projet'!$A$140&gt;35,CT139+CS140-DB139,IF(A140&lt;'Données projet'!$A$140,$CQ$205^A140,IF(A140='Données projet'!$A$140,'Données projet'!$B$140,CT139+CS140-DB139)))</f>
        <v>445.90000000000015</v>
      </c>
      <c r="CU140" s="17">
        <f>CT140*VLOOKUP('Données projet'!$B$13,Paramètres!$A$1:$I$89,3,0)*VLOOKUP('Données projet'!$B$13,Paramètres!$A$1:$I$89,5,0)</f>
        <v>424.31844000000012</v>
      </c>
      <c r="CV140" s="13">
        <f t="shared" si="149"/>
        <v>96.689793510498845</v>
      </c>
      <c r="CW140" s="20">
        <f t="shared" si="121"/>
        <v>907.42267336411896</v>
      </c>
      <c r="CX140" s="59">
        <f t="shared" si="122"/>
        <v>1200.7560066974522</v>
      </c>
      <c r="CY140" s="59">
        <f ca="1">AVERAGE(OFFSET($CX$3,0,0,'Données projet'!$E$13+1,1))-AVERAGE(OFFSET($H$3,0,0,'Données projet'!$E$13+1,1))</f>
        <v>461.10546083340631</v>
      </c>
      <c r="CZ140" s="59">
        <f t="shared" si="150"/>
        <v>233.41883071412587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0.20293469951227014</v>
      </c>
      <c r="DH140" s="21">
        <f>EXP(-LN(2)/2)*DH139+(1-EXP(-LN(2)/2))/(LN(2)/2)*DB140*DE140*VLOOKUP('Données projet'!$B$13,Paramètres!$A$1:$I$89,3,0)*0.475*44/12</f>
        <v>6.1675405212612063E-16</v>
      </c>
      <c r="DI140" s="22">
        <f t="shared" si="123"/>
        <v>0.20293469951227075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-4.1500243241898714E-13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296.376932094327</v>
      </c>
      <c r="DU140" s="59">
        <f t="shared" si="152"/>
        <v>350.93658329210882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0.32430216422800973</v>
      </c>
      <c r="EB140" s="21">
        <f>EXP(-LN(2)/25)*EB139+(1-EXP(-LN(2)/25))/(LN(2)/25)*Calculateur!DW140*Calculateur!DY140*VLOOKUP('Données projet'!$B$14,Paramètres!$A$1:$I$89,3,0)*0.475*44/12</f>
        <v>0.87374825281737989</v>
      </c>
      <c r="EC140" s="21">
        <f>EXP(-LN(2)/2)*EC139+(1-EXP(-LN(2)/2))/(LN(2)/2)*DW140*DZ140*VLOOKUP('Données projet'!$B$14,Paramètres!$A$1:$I$89,3,0)*0.475*44/12</f>
        <v>1.9241787573562256E-15</v>
      </c>
      <c r="ED140" s="22">
        <f t="shared" si="126"/>
        <v>1.1980504170453916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-5.1159076974727213E-13</v>
      </c>
      <c r="EK140" s="17">
        <f>EJ140*VLOOKUP('Données projet'!$B$15,Paramètres!$A$1:$I$89,3,0)*VLOOKUP('Données projet'!$B$15,Paramètres!$A$1:$I$89,5,0)</f>
        <v>-3.3519427233841269E-13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231.03244099494077</v>
      </c>
      <c r="EP140" s="59">
        <f t="shared" si="154"/>
        <v>280.29723026390741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0.26193636341493098</v>
      </c>
      <c r="EW140" s="21">
        <f>EXP(-LN(2)/25)*EW139+(1-EXP(-LN(2)/25))/(LN(2)/25)*Calculateur!ER140*Calculateur!ET140*VLOOKUP('Données projet'!$B$15,Paramètres!$A$1:$I$89,3,0)*0.475*44/12</f>
        <v>0.70571974266019066</v>
      </c>
      <c r="EX140" s="21">
        <f>EXP(-LN(2)/2)*EX139+(1-EXP(-LN(2)/2))/(LN(2)/2)*ER140*EU140*VLOOKUP('Données projet'!$B$15,Paramètres!$A$1:$I$89,3,0)*0.475*44/12</f>
        <v>1.5541443809415661E-15</v>
      </c>
      <c r="EY140" s="22">
        <f t="shared" si="129"/>
        <v>0.9676561060751232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-5.1431925385259092E-13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351.15781452544906</v>
      </c>
      <c r="T141" s="59">
        <f t="shared" si="142"/>
        <v>271.54361159160169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0.28370280311311752</v>
      </c>
      <c r="AA141" s="21">
        <f>EXP(-LN(2)/25)*AA140+(1-EXP(-LN(2)/25))/(LN(2)/25)*Calculateur!V141*Calculateur!X141*VLOOKUP('Données projet'!$B$9,Paramètres!$A$1:$I$89,3,0)*0.475*44/12</f>
        <v>0.56489537218514307</v>
      </c>
      <c r="AB141" s="21">
        <f>EXP(-LN(2)/2)*AB140+(1-EXP(-LN(2)/2))/(LN(2)/2)*V141*Y141*VLOOKUP('Données projet'!$B$9,Paramètres!$A$1:$I$89,3,0)*0.475*44/12</f>
        <v>1.1964505372056668E-15</v>
      </c>
      <c r="AC141" s="22">
        <f t="shared" si="111"/>
        <v>0.84859817529826176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3.7</v>
      </c>
      <c r="AI141" s="13">
        <f>IF('Données projet'!$A$62&gt;35,AI140+AH141-AQ140,IF(A141&lt;'Données projet'!$A$62,$AF$205^A141,IF(A141='Données projet'!$A$62,'Données projet'!$B$62,AI140+AH141-AQ140)))</f>
        <v>449.60000000000014</v>
      </c>
      <c r="AJ141" s="13">
        <f>AI141*VLOOKUP('Données projet'!$B$10,Paramètres!$A$1:$I$89,3,0)*VLOOKUP('Données projet'!$B$10,Paramètres!$A$1:$I$89,5,0)</f>
        <v>385.75680000000017</v>
      </c>
      <c r="AK141" s="13">
        <f t="shared" si="143"/>
        <v>88.883009980379086</v>
      </c>
      <c r="AL141" s="20">
        <f t="shared" si="112"/>
        <v>826.66433571582718</v>
      </c>
      <c r="AM141" s="59">
        <f t="shared" si="113"/>
        <v>1119.9976690491605</v>
      </c>
      <c r="AN141" s="59">
        <f ca="1">AVERAGE(OFFSET($AM$3,0,0,'Données projet'!$E$10+1,1))-AVERAGE(OFFSET($H$3,0,0,'Données projet'!$E$10+1,1))</f>
        <v>405.59933429804329</v>
      </c>
      <c r="AO141" s="59">
        <f t="shared" si="144"/>
        <v>208.64922573363776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0.21935896152905618</v>
      </c>
      <c r="AW141" s="21">
        <f>EXP(-LN(2)/2)*AW140+(1-EXP(-LN(2)/2))/(LN(2)/2)*AQ141*AT141*VLOOKUP('Données projet'!$B$10,Paramètres!$A$1:$I$89,3,0)*0.475*44/12</f>
        <v>3.9321481134501929E-16</v>
      </c>
      <c r="AX141" s="21">
        <f t="shared" si="114"/>
        <v>0.21935896152905657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-1.0995790944434703E-13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293.19327646293601</v>
      </c>
      <c r="BJ141" s="59">
        <f t="shared" si="146"/>
        <v>200.0769581869605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0.16622904926887994</v>
      </c>
      <c r="BR141" s="21">
        <f>EXP(-LN(2)/2)*BR140+(1-EXP(-LN(2)/2))/(LN(2)/2)*BL141*BO141*VLOOKUP('Données projet'!$B$11,Paramètres!$A$1:$I$89,3,0)*0.475*44/12</f>
        <v>3.6727284716797114E-16</v>
      </c>
      <c r="BS141" s="22">
        <f t="shared" si="117"/>
        <v>0.1662290492688803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1.3301360013429075E-13</v>
      </c>
      <c r="CA141" s="13">
        <f t="shared" si="147"/>
        <v>1.9329766731057041E-12</v>
      </c>
      <c r="CB141" s="20">
        <f t="shared" si="118"/>
        <v>3.5982663925596575E-12</v>
      </c>
      <c r="CC141" s="59">
        <f t="shared" si="119"/>
        <v>293.3333333333369</v>
      </c>
      <c r="CD141" s="59">
        <f ca="1">AVERAGE(OFFSET($CC$3,0,0,'Données projet'!$E$12+1,1))-AVERAGE(OFFSET($H$3,0,0,'Données projet'!$E$12+1,1))</f>
        <v>295.95249585728561</v>
      </c>
      <c r="CE141" s="59">
        <f t="shared" si="148"/>
        <v>306.85862495052709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0.17032649817443943</v>
      </c>
      <c r="CL141" s="21">
        <f>EXP(-LN(2)/25)*CL140+(1-EXP(-LN(2)/25))/(LN(2)/25)*Calculateur!CG141*Calculateur!CI141*VLOOKUP('Données projet'!$B$12,Paramètres!$A$1:$I$89,3,0)*0.475*44/12</f>
        <v>0.41909585456448545</v>
      </c>
      <c r="CM141" s="21">
        <f>EXP(-LN(2)/2)*CM140+(1-EXP(-LN(2)/2))/(LN(2)/2)*CG141*CJ141*VLOOKUP('Données projet'!$B$12,Paramètres!$A$1:$I$89,3,0)*0.475*44/12</f>
        <v>7.2559622736344728E-16</v>
      </c>
      <c r="CN141" s="22">
        <f t="shared" si="120"/>
        <v>0.58942235273892563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3.7</v>
      </c>
      <c r="CT141" s="12">
        <f>IF('Données projet'!$A$140&gt;35,CT140+CS141-DB140,IF(A141&lt;'Données projet'!$A$140,$CQ$205^A141,IF(A141='Données projet'!$A$140,'Données projet'!$B$140,CT140+CS141-DB140)))</f>
        <v>449.60000000000014</v>
      </c>
      <c r="CU141" s="17">
        <f>CT141*VLOOKUP('Données projet'!$B$13,Paramètres!$A$1:$I$89,3,0)*VLOOKUP('Données projet'!$B$13,Paramètres!$A$1:$I$89,5,0)</f>
        <v>427.83936000000017</v>
      </c>
      <c r="CV141" s="13">
        <f t="shared" si="149"/>
        <v>97.398377688665079</v>
      </c>
      <c r="CW141" s="20">
        <f t="shared" si="121"/>
        <v>914.78905980775846</v>
      </c>
      <c r="CX141" s="59">
        <f t="shared" si="122"/>
        <v>1208.1223931410918</v>
      </c>
      <c r="CY141" s="59">
        <f ca="1">AVERAGE(OFFSET($CX$3,0,0,'Données projet'!$E$13+1,1))-AVERAGE(OFFSET($H$3,0,0,'Données projet'!$E$13+1,1))</f>
        <v>461.10546083340631</v>
      </c>
      <c r="CZ141" s="59">
        <f t="shared" si="150"/>
        <v>233.41883071412587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0.19738543948223508</v>
      </c>
      <c r="DH141" s="21">
        <f>EXP(-LN(2)/2)*DH140+(1-EXP(-LN(2)/2))/(LN(2)/2)*DB141*DE141*VLOOKUP('Données projet'!$B$13,Paramètres!$A$1:$I$89,3,0)*0.475*44/12</f>
        <v>4.3611097258266135E-16</v>
      </c>
      <c r="DI141" s="22">
        <f t="shared" si="123"/>
        <v>0.19738543948223553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-4.1500243241898714E-13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296.376932094327</v>
      </c>
      <c r="DU141" s="59">
        <f t="shared" si="152"/>
        <v>350.93658329210882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0.31794279659228702</v>
      </c>
      <c r="EB141" s="21">
        <f>EXP(-LN(2)/25)*EB140+(1-EXP(-LN(2)/25))/(LN(2)/25)*Calculateur!DW141*Calculateur!DY141*VLOOKUP('Données projet'!$B$14,Paramètres!$A$1:$I$89,3,0)*0.475*44/12</f>
        <v>0.84985556089566505</v>
      </c>
      <c r="EC141" s="21">
        <f>EXP(-LN(2)/2)*EC140+(1-EXP(-LN(2)/2))/(LN(2)/2)*DW141*DZ141*VLOOKUP('Données projet'!$B$14,Paramètres!$A$1:$I$89,3,0)*0.475*44/12</f>
        <v>1.3605998475416916E-15</v>
      </c>
      <c r="ED141" s="22">
        <f t="shared" si="126"/>
        <v>1.1677983574879534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-5.1159076974727213E-13</v>
      </c>
      <c r="EK141" s="17">
        <f>EJ141*VLOOKUP('Données projet'!$B$15,Paramètres!$A$1:$I$89,3,0)*VLOOKUP('Données projet'!$B$15,Paramètres!$A$1:$I$89,5,0)</f>
        <v>-3.3519427233841269E-13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231.03244099494077</v>
      </c>
      <c r="EP141" s="59">
        <f t="shared" si="154"/>
        <v>280.29723026390741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0.25679995109377035</v>
      </c>
      <c r="EW141" s="21">
        <f>EXP(-LN(2)/25)*EW140+(1-EXP(-LN(2)/25))/(LN(2)/25)*Calculateur!ER141*Calculateur!ET141*VLOOKUP('Données projet'!$B$15,Paramètres!$A$1:$I$89,3,0)*0.475*44/12</f>
        <v>0.68642179918495938</v>
      </c>
      <c r="EX141" s="21">
        <f>EXP(-LN(2)/2)*EX140+(1-EXP(-LN(2)/2))/(LN(2)/2)*ER141*EU141*VLOOKUP('Données projet'!$B$15,Paramètres!$A$1:$I$89,3,0)*0.475*44/12</f>
        <v>1.0989460307067503E-15</v>
      </c>
      <c r="EY141" s="22">
        <f t="shared" si="129"/>
        <v>0.94322175027873079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-5.1431925385259092E-13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351.15781452544906</v>
      </c>
      <c r="T142" s="59">
        <f t="shared" si="142"/>
        <v>271.54361159160169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0.27813956418569274</v>
      </c>
      <c r="AA142" s="21">
        <f>EXP(-LN(2)/25)*AA141+(1-EXP(-LN(2)/25))/(LN(2)/25)*Calculateur!V142*Calculateur!X142*VLOOKUP('Données projet'!$B$9,Paramètres!$A$1:$I$89,3,0)*0.475*44/12</f>
        <v>0.54944827852618383</v>
      </c>
      <c r="AB142" s="21">
        <f>EXP(-LN(2)/2)*AB141+(1-EXP(-LN(2)/2))/(LN(2)/2)*V142*Y142*VLOOKUP('Données projet'!$B$9,Paramètres!$A$1:$I$89,3,0)*0.475*44/12</f>
        <v>8.4601828821241466E-16</v>
      </c>
      <c r="AC142" s="22">
        <f t="shared" si="111"/>
        <v>0.82758784271187746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3.7</v>
      </c>
      <c r="AI142" s="13">
        <f>IF('Données projet'!$A$62&gt;35,AI141+AH142-AQ141,IF(A142&lt;'Données projet'!$A$62,$AF$205^A142,IF(A142='Données projet'!$A$62,'Données projet'!$B$62,AI141+AH142-AQ141)))</f>
        <v>453.30000000000013</v>
      </c>
      <c r="AJ142" s="13">
        <f>AI142*VLOOKUP('Données projet'!$B$10,Paramètres!$A$1:$I$89,3,0)*VLOOKUP('Données projet'!$B$10,Paramètres!$A$1:$I$89,5,0)</f>
        <v>388.93140000000017</v>
      </c>
      <c r="AK142" s="13">
        <f t="shared" si="143"/>
        <v>89.529024765288796</v>
      </c>
      <c r="AL142" s="20">
        <f t="shared" si="112"/>
        <v>833.31857313287821</v>
      </c>
      <c r="AM142" s="59">
        <f t="shared" si="113"/>
        <v>1126.6519064662116</v>
      </c>
      <c r="AN142" s="59">
        <f ca="1">AVERAGE(OFFSET($AM$3,0,0,'Données projet'!$E$10+1,1))-AVERAGE(OFFSET($H$3,0,0,'Données projet'!$E$10+1,1))</f>
        <v>405.59933429804329</v>
      </c>
      <c r="AO142" s="59">
        <f t="shared" si="144"/>
        <v>208.64922573363776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0.2133605791904577</v>
      </c>
      <c r="AW142" s="21">
        <f>EXP(-LN(2)/2)*AW141+(1-EXP(-LN(2)/2))/(LN(2)/2)*AQ142*AT142*VLOOKUP('Données projet'!$B$10,Paramètres!$A$1:$I$89,3,0)*0.475*44/12</f>
        <v>2.7804485956505211E-16</v>
      </c>
      <c r="AX142" s="21">
        <f t="shared" si="114"/>
        <v>0.21336057919045798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-1.0995790944434703E-13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293.19327646293601</v>
      </c>
      <c r="BJ142" s="59">
        <f t="shared" si="146"/>
        <v>200.0769581869605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0.16168350717501664</v>
      </c>
      <c r="BR142" s="21">
        <f>EXP(-LN(2)/2)*BR141+(1-EXP(-LN(2)/2))/(LN(2)/2)*BL142*BO142*VLOOKUP('Données projet'!$B$11,Paramètres!$A$1:$I$89,3,0)*0.475*44/12</f>
        <v>2.5970112077816287E-16</v>
      </c>
      <c r="BS142" s="22">
        <f t="shared" si="117"/>
        <v>0.16168350717501689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1.3301360013429075E-13</v>
      </c>
      <c r="CA142" s="13">
        <f t="shared" si="147"/>
        <v>1.9329766731057041E-12</v>
      </c>
      <c r="CB142" s="20">
        <f t="shared" si="118"/>
        <v>3.5982663925596575E-12</v>
      </c>
      <c r="CC142" s="59">
        <f t="shared" si="119"/>
        <v>293.3333333333369</v>
      </c>
      <c r="CD142" s="59">
        <f ca="1">AVERAGE(OFFSET($CC$3,0,0,'Données projet'!$E$12+1,1))-AVERAGE(OFFSET($H$3,0,0,'Données projet'!$E$12+1,1))</f>
        <v>295.95249585728561</v>
      </c>
      <c r="CE142" s="59">
        <f t="shared" si="148"/>
        <v>306.85862495052709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0.16698649943414437</v>
      </c>
      <c r="CL142" s="21">
        <f>EXP(-LN(2)/25)*CL141+(1-EXP(-LN(2)/25))/(LN(2)/25)*Calculateur!CG142*Calculateur!CI142*VLOOKUP('Données projet'!$B$12,Paramètres!$A$1:$I$89,3,0)*0.475*44/12</f>
        <v>0.40763565638212645</v>
      </c>
      <c r="CM142" s="21">
        <f>EXP(-LN(2)/2)*CM141+(1-EXP(-LN(2)/2))/(LN(2)/2)*CG142*CJ142*VLOOKUP('Données projet'!$B$12,Paramètres!$A$1:$I$89,3,0)*0.475*44/12</f>
        <v>5.1307401277206949E-16</v>
      </c>
      <c r="CN142" s="22">
        <f t="shared" si="120"/>
        <v>0.57462215581627141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3.7</v>
      </c>
      <c r="CT142" s="12">
        <f>IF('Données projet'!$A$140&gt;35,CT141+CS142-DB141,IF(A142&lt;'Données projet'!$A$140,$CQ$205^A142,IF(A142='Données projet'!$A$140,'Données projet'!$B$140,CT141+CS142-DB141)))</f>
        <v>453.30000000000013</v>
      </c>
      <c r="CU142" s="17">
        <f>CT142*VLOOKUP('Données projet'!$B$13,Paramètres!$A$1:$I$89,3,0)*VLOOKUP('Données projet'!$B$13,Paramètres!$A$1:$I$89,5,0)</f>
        <v>431.36028000000016</v>
      </c>
      <c r="CV142" s="13">
        <f t="shared" si="149"/>
        <v>98.106283418083777</v>
      </c>
      <c r="CW142" s="20">
        <f t="shared" si="121"/>
        <v>922.15426461982952</v>
      </c>
      <c r="CX142" s="59">
        <f t="shared" si="122"/>
        <v>1215.4875979531628</v>
      </c>
      <c r="CY142" s="59">
        <f ca="1">AVERAGE(OFFSET($CX$3,0,0,'Données projet'!$E$13+1,1))-AVERAGE(OFFSET($H$3,0,0,'Données projet'!$E$13+1,1))</f>
        <v>461.10546083340631</v>
      </c>
      <c r="CZ142" s="59">
        <f t="shared" si="150"/>
        <v>233.41883071412587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0.19198792425954422</v>
      </c>
      <c r="DH142" s="21">
        <f>EXP(-LN(2)/2)*DH141+(1-EXP(-LN(2)/2))/(LN(2)/2)*DB142*DE142*VLOOKUP('Données projet'!$B$13,Paramètres!$A$1:$I$89,3,0)*0.475*44/12</f>
        <v>3.0837702606306036E-16</v>
      </c>
      <c r="DI142" s="22">
        <f t="shared" si="123"/>
        <v>0.19198792425954453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-4.1500243241898714E-13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296.376932094327</v>
      </c>
      <c r="DU142" s="59">
        <f t="shared" si="152"/>
        <v>350.93658329210882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0.31170813227706962</v>
      </c>
      <c r="EB142" s="21">
        <f>EXP(-LN(2)/25)*EB141+(1-EXP(-LN(2)/25))/(LN(2)/25)*Calculateur!DW142*Calculateur!DY142*VLOOKUP('Données projet'!$B$14,Paramètres!$A$1:$I$89,3,0)*0.475*44/12</f>
        <v>0.82661621589101153</v>
      </c>
      <c r="EC142" s="21">
        <f>EXP(-LN(2)/2)*EC141+(1-EXP(-LN(2)/2))/(LN(2)/2)*DW142*DZ142*VLOOKUP('Données projet'!$B$14,Paramètres!$A$1:$I$89,3,0)*0.475*44/12</f>
        <v>9.6208937867811282E-16</v>
      </c>
      <c r="ED142" s="22">
        <f t="shared" si="126"/>
        <v>1.138324348168082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-5.1159076974727213E-13</v>
      </c>
      <c r="EK142" s="17">
        <f>EJ142*VLOOKUP('Données projet'!$B$15,Paramètres!$A$1:$I$89,3,0)*VLOOKUP('Données projet'!$B$15,Paramètres!$A$1:$I$89,5,0)</f>
        <v>-3.3519427233841269E-13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231.03244099494077</v>
      </c>
      <c r="EP142" s="59">
        <f t="shared" si="154"/>
        <v>280.29723026390741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0.25176426068532548</v>
      </c>
      <c r="EW142" s="21">
        <f>EXP(-LN(2)/25)*EW141+(1-EXP(-LN(2)/25))/(LN(2)/25)*Calculateur!ER142*Calculateur!ET142*VLOOKUP('Données projet'!$B$15,Paramètres!$A$1:$I$89,3,0)*0.475*44/12</f>
        <v>0.66765155898889306</v>
      </c>
      <c r="EX142" s="21">
        <f>EXP(-LN(2)/2)*EX141+(1-EXP(-LN(2)/2))/(LN(2)/2)*ER142*EU142*VLOOKUP('Données projet'!$B$15,Paramètres!$A$1:$I$89,3,0)*0.475*44/12</f>
        <v>7.7707219047078304E-16</v>
      </c>
      <c r="EY142" s="22">
        <f t="shared" si="129"/>
        <v>0.91941581967421937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-5.1431925385259092E-13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351.15781452544906</v>
      </c>
      <c r="T143" s="59">
        <f t="shared" si="142"/>
        <v>271.54361159160169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0.27268541698039406</v>
      </c>
      <c r="AA143" s="21">
        <f>EXP(-LN(2)/25)*AA142+(1-EXP(-LN(2)/25))/(LN(2)/25)*Calculateur!V143*Calculateur!X143*VLOOKUP('Données projet'!$B$9,Paramètres!$A$1:$I$89,3,0)*0.475*44/12</f>
        <v>0.53442358645565613</v>
      </c>
      <c r="AB143" s="21">
        <f>EXP(-LN(2)/2)*AB142+(1-EXP(-LN(2)/2))/(LN(2)/2)*V143*Y143*VLOOKUP('Données projet'!$B$9,Paramètres!$A$1:$I$89,3,0)*0.475*44/12</f>
        <v>5.9822526860283339E-16</v>
      </c>
      <c r="AC143" s="22">
        <f t="shared" si="111"/>
        <v>0.80710900343605074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457</v>
      </c>
      <c r="AG143" s="12">
        <f>VLOOKUP(A143,'Données projet'!$A$61:$I$81,9,0)</f>
        <v>3.7</v>
      </c>
      <c r="AH143" s="12">
        <f t="array" ref="AH143">INDEX(AG:AG,MIN(IF(ISNUMBER(AG143:AG339),ROW(AG143:AG339),"")))</f>
        <v>3.7</v>
      </c>
      <c r="AI143" s="13">
        <f>IF('Données projet'!$A$62&gt;35,AI142+AH143-AQ142,IF(A143&lt;'Données projet'!$A$62,$AF$205^A143,IF(A143='Données projet'!$A$62,'Données projet'!$B$62,AI142+AH143-AQ142)))</f>
        <v>457.00000000000011</v>
      </c>
      <c r="AJ143" s="13">
        <f>AI143*VLOOKUP('Données projet'!$B$10,Paramètres!$A$1:$I$89,3,0)*VLOOKUP('Données projet'!$B$10,Paramètres!$A$1:$I$89,5,0)</f>
        <v>392.10600000000017</v>
      </c>
      <c r="AK143" s="13">
        <f t="shared" si="143"/>
        <v>90.174426056298898</v>
      </c>
      <c r="AL143" s="20">
        <f t="shared" si="112"/>
        <v>839.97174204805413</v>
      </c>
      <c r="AM143" s="59">
        <f t="shared" si="113"/>
        <v>1133.3050753813875</v>
      </c>
      <c r="AN143" s="59">
        <f ca="1">AVERAGE(OFFSET($AM$3,0,0,'Données projet'!$E$10+1,1))-AVERAGE(OFFSET($H$3,0,0,'Données projet'!$E$10+1,1))</f>
        <v>405.59933429804329</v>
      </c>
      <c r="AO143" s="59">
        <f t="shared" si="144"/>
        <v>208.64922573363776</v>
      </c>
      <c r="AP143" s="15">
        <f>IF(ISNA(VLOOKUP(A143,'Données projet'!$A$61:$I$81,3,0)),0,VLOOKUP(A143,'Données projet'!$A$61:$I$81,3,0))</f>
        <v>12</v>
      </c>
      <c r="AQ143" s="15">
        <f>IF(ISNA(VLOOKUP(A143,'Données projet'!$A$61:$I$81,4,0)),0,VLOOKUP(A143,'Données projet'!$A$61:$I$81,4,0))</f>
        <v>30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0.20752622293234943</v>
      </c>
      <c r="AW143" s="21">
        <f>EXP(-LN(2)/2)*AW142+(1-EXP(-LN(2)/2))/(LN(2)/2)*AQ143*AT143*VLOOKUP('Données projet'!$B$10,Paramètres!$A$1:$I$89,3,0)*0.475*44/12</f>
        <v>1.9660740567250964E-16</v>
      </c>
      <c r="AX143" s="21">
        <f t="shared" si="114"/>
        <v>0.20752622293234962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-1.0995790944434703E-13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293.19327646293601</v>
      </c>
      <c r="BJ143" s="59">
        <f t="shared" si="146"/>
        <v>200.0769581869605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0.15726226316874969</v>
      </c>
      <c r="BR143" s="21">
        <f>EXP(-LN(2)/2)*BR142+(1-EXP(-LN(2)/2))/(LN(2)/2)*BL143*BO143*VLOOKUP('Données projet'!$B$11,Paramètres!$A$1:$I$89,3,0)*0.475*44/12</f>
        <v>1.8363642358398557E-16</v>
      </c>
      <c r="BS143" s="22">
        <f t="shared" si="117"/>
        <v>0.15726226316874989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1.3301360013429075E-13</v>
      </c>
      <c r="CA143" s="13">
        <f t="shared" si="147"/>
        <v>1.9329766731057041E-12</v>
      </c>
      <c r="CB143" s="20">
        <f t="shared" si="118"/>
        <v>3.5982663925596575E-12</v>
      </c>
      <c r="CC143" s="59">
        <f t="shared" si="119"/>
        <v>293.3333333333369</v>
      </c>
      <c r="CD143" s="59">
        <f ca="1">AVERAGE(OFFSET($CC$3,0,0,'Données projet'!$E$12+1,1))-AVERAGE(OFFSET($H$3,0,0,'Données projet'!$E$12+1,1))</f>
        <v>295.95249585728561</v>
      </c>
      <c r="CE143" s="59">
        <f t="shared" si="148"/>
        <v>306.85862495052709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0.16371199603194844</v>
      </c>
      <c r="CL143" s="21">
        <f>EXP(-LN(2)/25)*CL142+(1-EXP(-LN(2)/25))/(LN(2)/25)*Calculateur!CG143*Calculateur!CI143*VLOOKUP('Données projet'!$B$12,Paramètres!$A$1:$I$89,3,0)*0.475*44/12</f>
        <v>0.39648883792172968</v>
      </c>
      <c r="CM143" s="21">
        <f>EXP(-LN(2)/2)*CM142+(1-EXP(-LN(2)/2))/(LN(2)/2)*CG143*CJ143*VLOOKUP('Données projet'!$B$12,Paramètres!$A$1:$I$89,3,0)*0.475*44/12</f>
        <v>3.6279811368172364E-16</v>
      </c>
      <c r="CN143" s="22">
        <f t="shared" si="120"/>
        <v>0.56020083395367848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457</v>
      </c>
      <c r="CR143" s="12">
        <f>VLOOKUP(A143,'Données projet'!$A$139:$I$159,9,0)</f>
        <v>3.7</v>
      </c>
      <c r="CS143" s="12">
        <f t="array" ref="CS143">INDEX(CR:CR,MIN(IF(ISNUMBER(CR143:CR339),ROW(CR143:CR339),"")))</f>
        <v>3.7</v>
      </c>
      <c r="CT143" s="12">
        <f>IF('Données projet'!$A$140&gt;35,CT142+CS143-DB142,IF(A143&lt;'Données projet'!$A$140,$CQ$205^A143,IF(A143='Données projet'!$A$140,'Données projet'!$B$140,CT142+CS143-DB142)))</f>
        <v>457.00000000000011</v>
      </c>
      <c r="CU143" s="17">
        <f>CT143*VLOOKUP('Données projet'!$B$13,Paramètres!$A$1:$I$89,3,0)*VLOOKUP('Données projet'!$B$13,Paramètres!$A$1:$I$89,5,0)</f>
        <v>434.88120000000009</v>
      </c>
      <c r="CV143" s="13">
        <f t="shared" si="149"/>
        <v>98.813516878296696</v>
      </c>
      <c r="CW143" s="20">
        <f t="shared" si="121"/>
        <v>929.51829856303345</v>
      </c>
      <c r="CX143" s="59">
        <f t="shared" si="122"/>
        <v>1222.8516318963668</v>
      </c>
      <c r="CY143" s="59">
        <f ca="1">AVERAGE(OFFSET($CX$3,0,0,'Données projet'!$E$13+1,1))-AVERAGE(OFFSET($H$3,0,0,'Données projet'!$E$13+1,1))</f>
        <v>461.10546083340631</v>
      </c>
      <c r="CZ143" s="59">
        <f t="shared" si="150"/>
        <v>233.41883071412587</v>
      </c>
      <c r="DA143" s="15">
        <f>IF(ISNA(VLOOKUP(A143,'Données projet'!$A$139:$I$159,3,0)),0,VLOOKUP(A143,'Données projet'!$A$139:$I$159,3,0))</f>
        <v>12</v>
      </c>
      <c r="DB143" s="15">
        <f>IF(ISNA(VLOOKUP(A143,'Données projet'!$A$139:$I$159,4,0)),0,VLOOKUP(A143,'Données projet'!$A$139:$I$159,4,0))</f>
        <v>30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0.18673800437446084</v>
      </c>
      <c r="DH143" s="21">
        <f>EXP(-LN(2)/2)*DH142+(1-EXP(-LN(2)/2))/(LN(2)/2)*DB143*DE143*VLOOKUP('Données projet'!$B$13,Paramètres!$A$1:$I$89,3,0)*0.475*44/12</f>
        <v>2.180554862913307E-16</v>
      </c>
      <c r="DI143" s="22">
        <f t="shared" si="123"/>
        <v>0.18673800437446106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-4.1500243241898714E-13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296.376932094327</v>
      </c>
      <c r="DU143" s="59">
        <f t="shared" si="152"/>
        <v>350.93658329210882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0.30559572592630385</v>
      </c>
      <c r="EB143" s="21">
        <f>EXP(-LN(2)/25)*EB142+(1-EXP(-LN(2)/25))/(LN(2)/25)*Calculateur!DW143*Calculateur!DY143*VLOOKUP('Données projet'!$B$14,Paramètres!$A$1:$I$89,3,0)*0.475*44/12</f>
        <v>0.80401235199761423</v>
      </c>
      <c r="EC143" s="21">
        <f>EXP(-LN(2)/2)*EC142+(1-EXP(-LN(2)/2))/(LN(2)/2)*DW143*DZ143*VLOOKUP('Données projet'!$B$14,Paramètres!$A$1:$I$89,3,0)*0.475*44/12</f>
        <v>6.8029992377084579E-16</v>
      </c>
      <c r="ED143" s="22">
        <f t="shared" si="126"/>
        <v>1.1096080779239188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-5.1159076974727213E-13</v>
      </c>
      <c r="EK143" s="17">
        <f>EJ143*VLOOKUP('Données projet'!$B$15,Paramètres!$A$1:$I$89,3,0)*VLOOKUP('Données projet'!$B$15,Paramètres!$A$1:$I$89,5,0)</f>
        <v>-3.3519427233841269E-13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231.03244099494077</v>
      </c>
      <c r="EP143" s="59">
        <f t="shared" si="154"/>
        <v>280.29723026390741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0.24682731709432237</v>
      </c>
      <c r="EW143" s="21">
        <f>EXP(-LN(2)/25)*EW142+(1-EXP(-LN(2)/25))/(LN(2)/25)*Calculateur!ER143*Calculateur!ET143*VLOOKUP('Données projet'!$B$15,Paramètres!$A$1:$I$89,3,0)*0.475*44/12</f>
        <v>0.64939459199807226</v>
      </c>
      <c r="EX143" s="21">
        <f>EXP(-LN(2)/2)*EX142+(1-EXP(-LN(2)/2))/(LN(2)/2)*ER143*EU143*VLOOKUP('Données projet'!$B$15,Paramètres!$A$1:$I$89,3,0)*0.475*44/12</f>
        <v>5.4947301535337516E-16</v>
      </c>
      <c r="EY143" s="22">
        <f t="shared" si="129"/>
        <v>0.89622190909239519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-5.1431925385259092E-13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351.15781452544906</v>
      </c>
      <c r="T144" s="59">
        <f t="shared" si="142"/>
        <v>271.54361159160169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0.26733822227508997</v>
      </c>
      <c r="AA144" s="21">
        <f>EXP(-LN(2)/25)*AA143+(1-EXP(-LN(2)/25))/(LN(2)/25)*Calculateur!V144*Calculateur!X144*VLOOKUP('Données projet'!$B$9,Paramètres!$A$1:$I$89,3,0)*0.475*44/12</f>
        <v>0.5198097453799112</v>
      </c>
      <c r="AB144" s="21">
        <f>EXP(-LN(2)/2)*AB143+(1-EXP(-LN(2)/2))/(LN(2)/2)*V144*Y144*VLOOKUP('Données projet'!$B$9,Paramètres!$A$1:$I$89,3,0)*0.475*44/12</f>
        <v>4.2300914410620733E-16</v>
      </c>
      <c r="AC144" s="22">
        <f t="shared" si="111"/>
        <v>0.78714796765500161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4</v>
      </c>
      <c r="AI144" s="13">
        <f>IF('Données projet'!$A$62&gt;35,AI143+AH144-AQ143,IF(A144&lt;'Données projet'!$A$62,$AF$205^A144,IF(A144='Données projet'!$A$62,'Données projet'!$B$62,AI143+AH144-AQ143)))</f>
        <v>431.00000000000011</v>
      </c>
      <c r="AJ144" s="13">
        <f>AI144*VLOOKUP('Données projet'!$B$10,Paramètres!$A$1:$I$89,3,0)*VLOOKUP('Données projet'!$B$10,Paramètres!$A$1:$I$89,5,0)</f>
        <v>369.79800000000012</v>
      </c>
      <c r="AK144" s="13">
        <f t="shared" si="143"/>
        <v>85.625978667852522</v>
      </c>
      <c r="AL144" s="20">
        <f t="shared" si="112"/>
        <v>793.19676284650996</v>
      </c>
      <c r="AM144" s="59">
        <f t="shared" si="113"/>
        <v>1086.5300961798432</v>
      </c>
      <c r="AN144" s="59">
        <f ca="1">AVERAGE(OFFSET($AM$3,0,0,'Données projet'!$E$10+1,1))-AVERAGE(OFFSET($H$3,0,0,'Données projet'!$E$10+1,1))</f>
        <v>405.59933429804329</v>
      </c>
      <c r="AO144" s="59">
        <f t="shared" si="144"/>
        <v>208.64922573363776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0.20185140745293459</v>
      </c>
      <c r="AW144" s="21">
        <f>EXP(-LN(2)/2)*AW143+(1-EXP(-LN(2)/2))/(LN(2)/2)*AQ144*AT144*VLOOKUP('Données projet'!$B$10,Paramètres!$A$1:$I$89,3,0)*0.475*44/12</f>
        <v>1.3902242978252606E-16</v>
      </c>
      <c r="AX144" s="21">
        <f t="shared" si="114"/>
        <v>0.20185140745293473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-1.0995790944434703E-13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293.19327646293601</v>
      </c>
      <c r="BJ144" s="59">
        <f t="shared" si="146"/>
        <v>200.0769581869605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0.15296191831233724</v>
      </c>
      <c r="BR144" s="21">
        <f>EXP(-LN(2)/2)*BR143+(1-EXP(-LN(2)/2))/(LN(2)/2)*BL144*BO144*VLOOKUP('Données projet'!$B$11,Paramètres!$A$1:$I$89,3,0)*0.475*44/12</f>
        <v>1.2985056038908144E-16</v>
      </c>
      <c r="BS144" s="22">
        <f t="shared" si="117"/>
        <v>0.15296191831233738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1.3301360013429075E-13</v>
      </c>
      <c r="CA144" s="13">
        <f t="shared" si="147"/>
        <v>1.9329766731057041E-12</v>
      </c>
      <c r="CB144" s="20">
        <f t="shared" si="118"/>
        <v>3.5982663925596575E-12</v>
      </c>
      <c r="CC144" s="59">
        <f t="shared" si="119"/>
        <v>293.3333333333369</v>
      </c>
      <c r="CD144" s="59">
        <f ca="1">AVERAGE(OFFSET($CC$3,0,0,'Données projet'!$E$12+1,1))-AVERAGE(OFFSET($H$3,0,0,'Données projet'!$E$12+1,1))</f>
        <v>295.95249585728561</v>
      </c>
      <c r="CE144" s="59">
        <f t="shared" si="148"/>
        <v>306.85862495052709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0.1605017036442197</v>
      </c>
      <c r="CL144" s="21">
        <f>EXP(-LN(2)/25)*CL143+(1-EXP(-LN(2)/25))/(LN(2)/25)*Calculateur!CG144*Calculateur!CI144*VLOOKUP('Données projet'!$B$12,Paramètres!$A$1:$I$89,3,0)*0.475*44/12</f>
        <v>0.38564682979831816</v>
      </c>
      <c r="CM144" s="21">
        <f>EXP(-LN(2)/2)*CM143+(1-EXP(-LN(2)/2))/(LN(2)/2)*CG144*CJ144*VLOOKUP('Données projet'!$B$12,Paramètres!$A$1:$I$89,3,0)*0.475*44/12</f>
        <v>2.5653700638603474E-16</v>
      </c>
      <c r="CN144" s="22">
        <f t="shared" si="120"/>
        <v>0.54614853344253811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4</v>
      </c>
      <c r="CT144" s="12">
        <f>IF('Données projet'!$A$140&gt;35,CT143+CS144-DB143,IF(A144&lt;'Données projet'!$A$140,$CQ$205^A144,IF(A144='Données projet'!$A$140,'Données projet'!$B$140,CT143+CS144-DB143)))</f>
        <v>431.00000000000011</v>
      </c>
      <c r="CU144" s="17">
        <f>CT144*VLOOKUP('Données projet'!$B$13,Paramètres!$A$1:$I$89,3,0)*VLOOKUP('Données projet'!$B$13,Paramètres!$A$1:$I$89,5,0)</f>
        <v>410.13960000000014</v>
      </c>
      <c r="CV144" s="13">
        <f t="shared" si="149"/>
        <v>93.829309021984102</v>
      </c>
      <c r="CW144" s="20">
        <f t="shared" si="121"/>
        <v>877.74584987995593</v>
      </c>
      <c r="CX144" s="59">
        <f t="shared" si="122"/>
        <v>1171.0791832132893</v>
      </c>
      <c r="CY144" s="59">
        <f ca="1">AVERAGE(OFFSET($CX$3,0,0,'Données projet'!$E$13+1,1))-AVERAGE(OFFSET($H$3,0,0,'Données projet'!$E$13+1,1))</f>
        <v>461.10546083340631</v>
      </c>
      <c r="CZ144" s="59">
        <f t="shared" si="150"/>
        <v>233.41883071412587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0.18163164382471636</v>
      </c>
      <c r="DH144" s="21">
        <f>EXP(-LN(2)/2)*DH143+(1-EXP(-LN(2)/2))/(LN(2)/2)*DB144*DE144*VLOOKUP('Données projet'!$B$13,Paramètres!$A$1:$I$89,3,0)*0.475*44/12</f>
        <v>1.5418851303153021E-16</v>
      </c>
      <c r="DI144" s="22">
        <f t="shared" si="123"/>
        <v>0.18163164382471653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-4.1500243241898714E-13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296.376932094327</v>
      </c>
      <c r="DU144" s="59">
        <f t="shared" si="152"/>
        <v>350.93658329210882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0.29960318013587689</v>
      </c>
      <c r="EB144" s="21">
        <f>EXP(-LN(2)/25)*EB143+(1-EXP(-LN(2)/25))/(LN(2)/25)*Calculateur!DW144*Calculateur!DY144*VLOOKUP('Données projet'!$B$14,Paramètres!$A$1:$I$89,3,0)*0.475*44/12</f>
        <v>0.7820265919510675</v>
      </c>
      <c r="EC144" s="21">
        <f>EXP(-LN(2)/2)*EC143+(1-EXP(-LN(2)/2))/(LN(2)/2)*DW144*DZ144*VLOOKUP('Données projet'!$B$14,Paramètres!$A$1:$I$89,3,0)*0.475*44/12</f>
        <v>4.8104468933905641E-16</v>
      </c>
      <c r="ED144" s="22">
        <f t="shared" si="126"/>
        <v>1.0816297720869448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-5.1159076974727213E-13</v>
      </c>
      <c r="EK144" s="17">
        <f>EJ144*VLOOKUP('Données projet'!$B$15,Paramètres!$A$1:$I$89,3,0)*VLOOKUP('Données projet'!$B$15,Paramètres!$A$1:$I$89,5,0)</f>
        <v>-3.3519427233841269E-13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231.03244099494077</v>
      </c>
      <c r="EP144" s="59">
        <f t="shared" si="154"/>
        <v>280.29723026390741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0.24198718395590058</v>
      </c>
      <c r="EW144" s="21">
        <f>EXP(-LN(2)/25)*EW143+(1-EXP(-LN(2)/25))/(LN(2)/25)*Calculateur!ER144*Calculateur!ET144*VLOOKUP('Données projet'!$B$15,Paramètres!$A$1:$I$89,3,0)*0.475*44/12</f>
        <v>0.63163686272970754</v>
      </c>
      <c r="EX144" s="21">
        <f>EXP(-LN(2)/2)*EX143+(1-EXP(-LN(2)/2))/(LN(2)/2)*ER144*EU144*VLOOKUP('Données projet'!$B$15,Paramètres!$A$1:$I$89,3,0)*0.475*44/12</f>
        <v>3.8853609523539152E-16</v>
      </c>
      <c r="EY144" s="22">
        <f t="shared" si="129"/>
        <v>0.87362404668560845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-5.1431925385259092E-13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351.15781452544906</v>
      </c>
      <c r="T145" s="59">
        <f t="shared" si="142"/>
        <v>271.54361159160169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0.26209588279649015</v>
      </c>
      <c r="AA145" s="21">
        <f>EXP(-LN(2)/25)*AA144+(1-EXP(-LN(2)/25))/(LN(2)/25)*Calculateur!V145*Calculateur!X145*VLOOKUP('Données projet'!$B$9,Paramètres!$A$1:$I$89,3,0)*0.475*44/12</f>
        <v>0.50559552055689105</v>
      </c>
      <c r="AB145" s="21">
        <f>EXP(-LN(2)/2)*AB144+(1-EXP(-LN(2)/2))/(LN(2)/2)*V145*Y145*VLOOKUP('Données projet'!$B$9,Paramètres!$A$1:$I$89,3,0)*0.475*44/12</f>
        <v>2.9911263430141669E-16</v>
      </c>
      <c r="AC145" s="22">
        <f t="shared" si="111"/>
        <v>0.7676914033533816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4</v>
      </c>
      <c r="AI145" s="13">
        <f>IF('Données projet'!$A$62&gt;35,AI144+AH145-AQ144,IF(A145&lt;'Données projet'!$A$62,$AF$205^A145,IF(A145='Données projet'!$A$62,'Données projet'!$B$62,AI144+AH145-AQ144)))</f>
        <v>435.00000000000011</v>
      </c>
      <c r="AJ145" s="13">
        <f>AI145*VLOOKUP('Données projet'!$B$10,Paramètres!$A$1:$I$89,3,0)*VLOOKUP('Données projet'!$B$10,Paramètres!$A$1:$I$89,5,0)</f>
        <v>373.23000000000013</v>
      </c>
      <c r="AK145" s="13">
        <f t="shared" si="143"/>
        <v>86.327773459005058</v>
      </c>
      <c r="AL145" s="20">
        <f t="shared" si="112"/>
        <v>800.39645544110078</v>
      </c>
      <c r="AM145" s="59">
        <f t="shared" si="113"/>
        <v>1093.7297887744342</v>
      </c>
      <c r="AN145" s="59">
        <f ca="1">AVERAGE(OFFSET($AM$3,0,0,'Données projet'!$E$10+1,1))-AVERAGE(OFFSET($H$3,0,0,'Données projet'!$E$10+1,1))</f>
        <v>405.59933429804329</v>
      </c>
      <c r="AO145" s="59">
        <f t="shared" si="144"/>
        <v>208.64922573363776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0.1963317701012299</v>
      </c>
      <c r="AW145" s="21">
        <f>EXP(-LN(2)/2)*AW144+(1-EXP(-LN(2)/2))/(LN(2)/2)*AQ145*AT145*VLOOKUP('Données projet'!$B$10,Paramètres!$A$1:$I$89,3,0)*0.475*44/12</f>
        <v>9.8303702836254822E-17</v>
      </c>
      <c r="AX145" s="21">
        <f t="shared" si="114"/>
        <v>0.19633177010123001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-1.0995790944434703E-13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293.19327646293601</v>
      </c>
      <c r="BJ145" s="59">
        <f t="shared" si="146"/>
        <v>200.0769581869605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0.1487791666121687</v>
      </c>
      <c r="BR145" s="21">
        <f>EXP(-LN(2)/2)*BR144+(1-EXP(-LN(2)/2))/(LN(2)/2)*BL145*BO145*VLOOKUP('Données projet'!$B$11,Paramètres!$A$1:$I$89,3,0)*0.475*44/12</f>
        <v>9.1818211791992784E-17</v>
      </c>
      <c r="BS145" s="22">
        <f t="shared" si="117"/>
        <v>0.14877916661216878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1.3301360013429075E-13</v>
      </c>
      <c r="CA145" s="13">
        <f t="shared" si="147"/>
        <v>1.9329766731057041E-12</v>
      </c>
      <c r="CB145" s="20">
        <f t="shared" si="118"/>
        <v>3.5982663925596575E-12</v>
      </c>
      <c r="CC145" s="59">
        <f t="shared" si="119"/>
        <v>293.3333333333369</v>
      </c>
      <c r="CD145" s="59">
        <f ca="1">AVERAGE(OFFSET($CC$3,0,0,'Données projet'!$E$12+1,1))-AVERAGE(OFFSET($H$3,0,0,'Données projet'!$E$12+1,1))</f>
        <v>295.95249585728561</v>
      </c>
      <c r="CE145" s="59">
        <f t="shared" si="148"/>
        <v>306.85862495052709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0.1573543631321293</v>
      </c>
      <c r="CL145" s="21">
        <f>EXP(-LN(2)/25)*CL144+(1-EXP(-LN(2)/25))/(LN(2)/25)*Calculateur!CG145*Calculateur!CI145*VLOOKUP('Données projet'!$B$12,Paramètres!$A$1:$I$89,3,0)*0.475*44/12</f>
        <v>0.37510129695719779</v>
      </c>
      <c r="CM145" s="21">
        <f>EXP(-LN(2)/2)*CM144+(1-EXP(-LN(2)/2))/(LN(2)/2)*CG145*CJ145*VLOOKUP('Données projet'!$B$12,Paramètres!$A$1:$I$89,3,0)*0.475*44/12</f>
        <v>1.8139905684086182E-16</v>
      </c>
      <c r="CN145" s="22">
        <f t="shared" si="120"/>
        <v>0.53245566008932732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4</v>
      </c>
      <c r="CT145" s="12">
        <f>IF('Données projet'!$A$140&gt;35,CT144+CS145-DB144,IF(A145&lt;'Données projet'!$A$140,$CQ$205^A145,IF(A145='Données projet'!$A$140,'Données projet'!$B$140,CT144+CS145-DB144)))</f>
        <v>435.00000000000011</v>
      </c>
      <c r="CU145" s="17">
        <f>CT145*VLOOKUP('Données projet'!$B$13,Paramètres!$A$1:$I$89,3,0)*VLOOKUP('Données projet'!$B$13,Paramètres!$A$1:$I$89,5,0)</f>
        <v>413.94600000000014</v>
      </c>
      <c r="CV145" s="13">
        <f t="shared" si="149"/>
        <v>94.598338717802093</v>
      </c>
      <c r="CW145" s="20">
        <f t="shared" si="121"/>
        <v>885.71472326683886</v>
      </c>
      <c r="CX145" s="59">
        <f t="shared" si="122"/>
        <v>1179.0480566001722</v>
      </c>
      <c r="CY145" s="59">
        <f ca="1">AVERAGE(OFFSET($CX$3,0,0,'Données projet'!$E$13+1,1))-AVERAGE(OFFSET($H$3,0,0,'Données projet'!$E$13+1,1))</f>
        <v>461.10546083340631</v>
      </c>
      <c r="CZ145" s="59">
        <f t="shared" si="150"/>
        <v>233.41883071412587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0.17666491697273648</v>
      </c>
      <c r="DH145" s="21">
        <f>EXP(-LN(2)/2)*DH144+(1-EXP(-LN(2)/2))/(LN(2)/2)*DB145*DE145*VLOOKUP('Données projet'!$B$13,Paramètres!$A$1:$I$89,3,0)*0.475*44/12</f>
        <v>1.0902774314566536E-16</v>
      </c>
      <c r="DI145" s="22">
        <f t="shared" si="123"/>
        <v>0.17666491697273659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-4.1500243241898714E-13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296.376932094327</v>
      </c>
      <c r="DU145" s="59">
        <f t="shared" si="152"/>
        <v>350.93658329210882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0.29372814451330814</v>
      </c>
      <c r="EB145" s="21">
        <f>EXP(-LN(2)/25)*EB144+(1-EXP(-LN(2)/25))/(LN(2)/25)*Calculateur!DW145*Calculateur!DY145*VLOOKUP('Données projet'!$B$14,Paramètres!$A$1:$I$89,3,0)*0.475*44/12</f>
        <v>0.76064203366917438</v>
      </c>
      <c r="EC145" s="21">
        <f>EXP(-LN(2)/2)*EC144+(1-EXP(-LN(2)/2))/(LN(2)/2)*DW145*DZ145*VLOOKUP('Données projet'!$B$14,Paramètres!$A$1:$I$89,3,0)*0.475*44/12</f>
        <v>3.401499618854229E-16</v>
      </c>
      <c r="ED145" s="22">
        <f t="shared" si="126"/>
        <v>1.054370178182483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-5.1159076974727213E-13</v>
      </c>
      <c r="EK145" s="17">
        <f>EJ145*VLOOKUP('Données projet'!$B$15,Paramètres!$A$1:$I$89,3,0)*VLOOKUP('Données projet'!$B$15,Paramètres!$A$1:$I$89,5,0)</f>
        <v>-3.3519427233841269E-13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231.03244099494077</v>
      </c>
      <c r="EP145" s="59">
        <f t="shared" si="154"/>
        <v>280.29723026390741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0.23724196287613353</v>
      </c>
      <c r="EW145" s="21">
        <f>EXP(-LN(2)/25)*EW144+(1-EXP(-LN(2)/25))/(LN(2)/25)*Calculateur!ER145*Calculateur!ET145*VLOOKUP('Données projet'!$B$15,Paramètres!$A$1:$I$89,3,0)*0.475*44/12</f>
        <v>0.61436471950202465</v>
      </c>
      <c r="EX145" s="21">
        <f>EXP(-LN(2)/2)*EX144+(1-EXP(-LN(2)/2))/(LN(2)/2)*ER145*EU145*VLOOKUP('Données projet'!$B$15,Paramètres!$A$1:$I$89,3,0)*0.475*44/12</f>
        <v>2.7473650767668758E-16</v>
      </c>
      <c r="EY145" s="22">
        <f t="shared" si="129"/>
        <v>0.8516066823781584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-5.1431925385259092E-13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351.15781452544906</v>
      </c>
      <c r="T146" s="59">
        <f t="shared" si="142"/>
        <v>271.54361159160169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0.25695634239755438</v>
      </c>
      <c r="AA146" s="21">
        <f>EXP(-LN(2)/25)*AA145+(1-EXP(-LN(2)/25))/(LN(2)/25)*Calculateur!V146*Calculateur!X146*VLOOKUP('Données projet'!$B$9,Paramètres!$A$1:$I$89,3,0)*0.475*44/12</f>
        <v>0.49176998445914999</v>
      </c>
      <c r="AB146" s="21">
        <f>EXP(-LN(2)/2)*AB145+(1-EXP(-LN(2)/2))/(LN(2)/2)*V146*Y146*VLOOKUP('Données projet'!$B$9,Paramètres!$A$1:$I$89,3,0)*0.475*44/12</f>
        <v>2.1150457205310367E-16</v>
      </c>
      <c r="AC146" s="22">
        <f t="shared" si="111"/>
        <v>0.74872632685670459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4</v>
      </c>
      <c r="AI146" s="13">
        <f>IF('Données projet'!$A$62&gt;35,AI145+AH146-AQ145,IF(A146&lt;'Données projet'!$A$62,$AF$205^A146,IF(A146='Données projet'!$A$62,'Données projet'!$B$62,AI145+AH146-AQ145)))</f>
        <v>439.00000000000011</v>
      </c>
      <c r="AJ146" s="13">
        <f>AI146*VLOOKUP('Données projet'!$B$10,Paramètres!$A$1:$I$89,3,0)*VLOOKUP('Données projet'!$B$10,Paramètres!$A$1:$I$89,5,0)</f>
        <v>376.66200000000015</v>
      </c>
      <c r="AK146" s="13">
        <f t="shared" si="143"/>
        <v>87.028817478400569</v>
      </c>
      <c r="AL146" s="20">
        <f t="shared" si="112"/>
        <v>807.59484044154794</v>
      </c>
      <c r="AM146" s="59">
        <f t="shared" si="113"/>
        <v>1100.9281737748813</v>
      </c>
      <c r="AN146" s="59">
        <f ca="1">AVERAGE(OFFSET($AM$3,0,0,'Données projet'!$E$10+1,1))-AVERAGE(OFFSET($H$3,0,0,'Données projet'!$E$10+1,1))</f>
        <v>405.59933429804329</v>
      </c>
      <c r="AO146" s="59">
        <f t="shared" si="144"/>
        <v>208.64922573363776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0.19096306752317271</v>
      </c>
      <c r="AW146" s="21">
        <f>EXP(-LN(2)/2)*AW145+(1-EXP(-LN(2)/2))/(LN(2)/2)*AQ146*AT146*VLOOKUP('Données projet'!$B$10,Paramètres!$A$1:$I$89,3,0)*0.475*44/12</f>
        <v>6.9511214891263028E-17</v>
      </c>
      <c r="AX146" s="21">
        <f t="shared" si="114"/>
        <v>0.1909630675231728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-1.0995790944434703E-13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293.19327646293601</v>
      </c>
      <c r="BJ146" s="59">
        <f t="shared" si="146"/>
        <v>200.0769581869605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0.14471079247720262</v>
      </c>
      <c r="BR146" s="21">
        <f>EXP(-LN(2)/2)*BR145+(1-EXP(-LN(2)/2))/(LN(2)/2)*BL146*BO146*VLOOKUP('Données projet'!$B$11,Paramètres!$A$1:$I$89,3,0)*0.475*44/12</f>
        <v>6.4925280194540718E-17</v>
      </c>
      <c r="BS146" s="22">
        <f t="shared" si="117"/>
        <v>0.14471079247720267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1.3301360013429075E-13</v>
      </c>
      <c r="CA146" s="13">
        <f t="shared" si="147"/>
        <v>1.9329766731057041E-12</v>
      </c>
      <c r="CB146" s="20">
        <f t="shared" si="118"/>
        <v>3.5982663925596575E-12</v>
      </c>
      <c r="CC146" s="59">
        <f t="shared" si="119"/>
        <v>293.3333333333369</v>
      </c>
      <c r="CD146" s="59">
        <f ca="1">AVERAGE(OFFSET($CC$3,0,0,'Données projet'!$E$12+1,1))-AVERAGE(OFFSET($H$3,0,0,'Données projet'!$E$12+1,1))</f>
        <v>295.95249585728561</v>
      </c>
      <c r="CE146" s="59">
        <f t="shared" si="148"/>
        <v>306.85862495052709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0.15426874004779284</v>
      </c>
      <c r="CL146" s="21">
        <f>EXP(-LN(2)/25)*CL145+(1-EXP(-LN(2)/25))/(LN(2)/25)*Calculateur!CG146*Calculateur!CI146*VLOOKUP('Données projet'!$B$12,Paramètres!$A$1:$I$89,3,0)*0.475*44/12</f>
        <v>0.36484413226618334</v>
      </c>
      <c r="CM146" s="21">
        <f>EXP(-LN(2)/2)*CM145+(1-EXP(-LN(2)/2))/(LN(2)/2)*CG146*CJ146*VLOOKUP('Données projet'!$B$12,Paramètres!$A$1:$I$89,3,0)*0.475*44/12</f>
        <v>1.2826850319301737E-16</v>
      </c>
      <c r="CN146" s="22">
        <f t="shared" si="120"/>
        <v>0.51911287231397629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4</v>
      </c>
      <c r="CT146" s="12">
        <f>IF('Données projet'!$A$140&gt;35,CT145+CS146-DB145,IF(A146&lt;'Données projet'!$A$140,$CQ$205^A146,IF(A146='Données projet'!$A$140,'Données projet'!$B$140,CT145+CS146-DB145)))</f>
        <v>439.00000000000011</v>
      </c>
      <c r="CU146" s="17">
        <f>CT146*VLOOKUP('Données projet'!$B$13,Paramètres!$A$1:$I$89,3,0)*VLOOKUP('Données projet'!$B$13,Paramètres!$A$1:$I$89,5,0)</f>
        <v>417.75240000000014</v>
      </c>
      <c r="CV146" s="13">
        <f t="shared" si="149"/>
        <v>95.366545714758388</v>
      </c>
      <c r="CW146" s="20">
        <f t="shared" si="121"/>
        <v>893.68216378653767</v>
      </c>
      <c r="CX146" s="59">
        <f t="shared" si="122"/>
        <v>1187.015497119871</v>
      </c>
      <c r="CY146" s="59">
        <f ca="1">AVERAGE(OFFSET($CX$3,0,0,'Données projet'!$E$13+1,1))-AVERAGE(OFFSET($H$3,0,0,'Données projet'!$E$13+1,1))</f>
        <v>461.10546083340631</v>
      </c>
      <c r="CZ146" s="59">
        <f t="shared" si="150"/>
        <v>233.41883071412587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0.1718340055277128</v>
      </c>
      <c r="DH146" s="21">
        <f>EXP(-LN(2)/2)*DH145+(1-EXP(-LN(2)/2))/(LN(2)/2)*DB146*DE146*VLOOKUP('Données projet'!$B$13,Paramètres!$A$1:$I$89,3,0)*0.475*44/12</f>
        <v>7.7094256515765116E-17</v>
      </c>
      <c r="DI146" s="22">
        <f t="shared" si="123"/>
        <v>0.17183400552771289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-4.1500243241898714E-13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296.376932094327</v>
      </c>
      <c r="DU146" s="59">
        <f t="shared" si="152"/>
        <v>350.93658329210882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0.28796831475588008</v>
      </c>
      <c r="EB146" s="21">
        <f>EXP(-LN(2)/25)*EB145+(1-EXP(-LN(2)/25))/(LN(2)/25)*Calculateur!DW146*Calculateur!DY146*VLOOKUP('Données projet'!$B$14,Paramètres!$A$1:$I$89,3,0)*0.475*44/12</f>
        <v>0.73984223725806475</v>
      </c>
      <c r="EC146" s="21">
        <f>EXP(-LN(2)/2)*EC145+(1-EXP(-LN(2)/2))/(LN(2)/2)*DW146*DZ146*VLOOKUP('Données projet'!$B$14,Paramètres!$A$1:$I$89,3,0)*0.475*44/12</f>
        <v>2.405223446695282E-16</v>
      </c>
      <c r="ED146" s="22">
        <f t="shared" si="126"/>
        <v>1.0278105520139451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-5.1159076974727213E-13</v>
      </c>
      <c r="EK146" s="17">
        <f>EJ146*VLOOKUP('Données projet'!$B$15,Paramètres!$A$1:$I$89,3,0)*VLOOKUP('Données projet'!$B$15,Paramètres!$A$1:$I$89,5,0)</f>
        <v>-3.3519427233841269E-13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231.03244099494077</v>
      </c>
      <c r="EP146" s="59">
        <f t="shared" si="154"/>
        <v>280.29723026390741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0.23258979268744165</v>
      </c>
      <c r="EW146" s="21">
        <f>EXP(-LN(2)/25)*EW145+(1-EXP(-LN(2)/25))/(LN(2)/25)*Calculateur!ER146*Calculateur!ET146*VLOOKUP('Données projet'!$B$15,Paramètres!$A$1:$I$89,3,0)*0.475*44/12</f>
        <v>0.59756488393920537</v>
      </c>
      <c r="EX146" s="21">
        <f>EXP(-LN(2)/2)*EX145+(1-EXP(-LN(2)/2))/(LN(2)/2)*ER146*EU146*VLOOKUP('Données projet'!$B$15,Paramètres!$A$1:$I$89,3,0)*0.475*44/12</f>
        <v>1.9426804761769576E-16</v>
      </c>
      <c r="EY146" s="22">
        <f t="shared" si="129"/>
        <v>0.83015467662664721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-5.1431925385259092E-13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351.15781452544906</v>
      </c>
      <c r="T147" s="59">
        <f t="shared" si="142"/>
        <v>271.54361159160169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0.25191758525103158</v>
      </c>
      <c r="AA147" s="21">
        <f>EXP(-LN(2)/25)*AA146+(1-EXP(-LN(2)/25))/(LN(2)/25)*Calculateur!V147*Calculateur!X147*VLOOKUP('Données projet'!$B$9,Paramètres!$A$1:$I$89,3,0)*0.475*44/12</f>
        <v>0.47832250837305501</v>
      </c>
      <c r="AB147" s="21">
        <f>EXP(-LN(2)/2)*AB146+(1-EXP(-LN(2)/2))/(LN(2)/2)*V147*Y147*VLOOKUP('Données projet'!$B$9,Paramètres!$A$1:$I$89,3,0)*0.475*44/12</f>
        <v>1.4955631715070835E-16</v>
      </c>
      <c r="AC147" s="22">
        <f t="shared" si="111"/>
        <v>0.73024009362408671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4</v>
      </c>
      <c r="AI147" s="13">
        <f>IF('Données projet'!$A$62&gt;35,AI146+AH147-AQ146,IF(A147&lt;'Données projet'!$A$62,$AF$205^A147,IF(A147='Données projet'!$A$62,'Données projet'!$B$62,AI146+AH147-AQ146)))</f>
        <v>443.00000000000011</v>
      </c>
      <c r="AJ147" s="13">
        <f>AI147*VLOOKUP('Données projet'!$B$10,Paramètres!$A$1:$I$89,3,0)*VLOOKUP('Données projet'!$B$10,Paramètres!$A$1:$I$89,5,0)</f>
        <v>380.09400000000016</v>
      </c>
      <c r="AK147" s="13">
        <f t="shared" si="143"/>
        <v>87.729118359210247</v>
      </c>
      <c r="AL147" s="20">
        <f t="shared" si="112"/>
        <v>814.79193114229145</v>
      </c>
      <c r="AM147" s="59">
        <f t="shared" si="113"/>
        <v>1108.1252644756248</v>
      </c>
      <c r="AN147" s="59">
        <f ca="1">AVERAGE(OFFSET($AM$3,0,0,'Données projet'!$E$10+1,1))-AVERAGE(OFFSET($H$3,0,0,'Données projet'!$E$10+1,1))</f>
        <v>405.59933429804329</v>
      </c>
      <c r="AO147" s="59">
        <f t="shared" si="144"/>
        <v>208.64922573363776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0.1857411723994403</v>
      </c>
      <c r="AW147" s="21">
        <f>EXP(-LN(2)/2)*AW146+(1-EXP(-LN(2)/2))/(LN(2)/2)*AQ147*AT147*VLOOKUP('Données projet'!$B$10,Paramètres!$A$1:$I$89,3,0)*0.475*44/12</f>
        <v>4.9151851418127411E-17</v>
      </c>
      <c r="AX147" s="21">
        <f t="shared" si="114"/>
        <v>0.18574117239944035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-1.0995790944434703E-13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293.19327646293601</v>
      </c>
      <c r="BJ147" s="59">
        <f t="shared" si="146"/>
        <v>200.0769581869605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0.14075366824690366</v>
      </c>
      <c r="BR147" s="21">
        <f>EXP(-LN(2)/2)*BR146+(1-EXP(-LN(2)/2))/(LN(2)/2)*BL147*BO147*VLOOKUP('Données projet'!$B$11,Paramètres!$A$1:$I$89,3,0)*0.475*44/12</f>
        <v>4.5909105895996392E-17</v>
      </c>
      <c r="BS147" s="22">
        <f t="shared" si="117"/>
        <v>0.14075366824690372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1.3301360013429075E-13</v>
      </c>
      <c r="CA147" s="13">
        <f t="shared" si="147"/>
        <v>1.9329766731057041E-12</v>
      </c>
      <c r="CB147" s="20">
        <f t="shared" si="118"/>
        <v>3.5982663925596575E-12</v>
      </c>
      <c r="CC147" s="59">
        <f t="shared" si="119"/>
        <v>293.3333333333369</v>
      </c>
      <c r="CD147" s="59">
        <f ca="1">AVERAGE(OFFSET($CC$3,0,0,'Données projet'!$E$12+1,1))-AVERAGE(OFFSET($H$3,0,0,'Données projet'!$E$12+1,1))</f>
        <v>295.95249585728561</v>
      </c>
      <c r="CE147" s="59">
        <f t="shared" si="148"/>
        <v>306.85862495052709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0.15124362415009598</v>
      </c>
      <c r="CL147" s="21">
        <f>EXP(-LN(2)/25)*CL146+(1-EXP(-LN(2)/25))/(LN(2)/25)*Calculateur!CG147*Calculateur!CI147*VLOOKUP('Données projet'!$B$12,Paramètres!$A$1:$I$89,3,0)*0.475*44/12</f>
        <v>0.3548674502830455</v>
      </c>
      <c r="CM147" s="21">
        <f>EXP(-LN(2)/2)*CM146+(1-EXP(-LN(2)/2))/(LN(2)/2)*CG147*CJ147*VLOOKUP('Données projet'!$B$12,Paramètres!$A$1:$I$89,3,0)*0.475*44/12</f>
        <v>9.0699528420430909E-17</v>
      </c>
      <c r="CN147" s="22">
        <f t="shared" si="120"/>
        <v>0.50611107443314163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4</v>
      </c>
      <c r="CT147" s="12">
        <f>IF('Données projet'!$A$140&gt;35,CT146+CS147-DB146,IF(A147&lt;'Données projet'!$A$140,$CQ$205^A147,IF(A147='Données projet'!$A$140,'Données projet'!$B$140,CT146+CS147-DB146)))</f>
        <v>443.00000000000011</v>
      </c>
      <c r="CU147" s="17">
        <f>CT147*VLOOKUP('Données projet'!$B$13,Paramètres!$A$1:$I$89,3,0)*VLOOKUP('Données projet'!$B$13,Paramètres!$A$1:$I$89,5,0)</f>
        <v>421.55880000000013</v>
      </c>
      <c r="CV147" s="13">
        <f t="shared" si="149"/>
        <v>96.133938377314152</v>
      </c>
      <c r="CW147" s="20">
        <f t="shared" si="121"/>
        <v>901.64818600715569</v>
      </c>
      <c r="CX147" s="59">
        <f t="shared" si="122"/>
        <v>1194.9815193404891</v>
      </c>
      <c r="CY147" s="59">
        <f ca="1">AVERAGE(OFFSET($CX$3,0,0,'Données projet'!$E$13+1,1))-AVERAGE(OFFSET($H$3,0,0,'Données projet'!$E$13+1,1))</f>
        <v>461.10546083340631</v>
      </c>
      <c r="CZ147" s="59">
        <f t="shared" si="150"/>
        <v>233.41883071412587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0.16713519561019988</v>
      </c>
      <c r="DH147" s="21">
        <f>EXP(-LN(2)/2)*DH146+(1-EXP(-LN(2)/2))/(LN(2)/2)*DB147*DE147*VLOOKUP('Données projet'!$B$13,Paramètres!$A$1:$I$89,3,0)*0.475*44/12</f>
        <v>5.4513871572832694E-17</v>
      </c>
      <c r="DI147" s="22">
        <f t="shared" si="123"/>
        <v>0.16713519561019993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-4.1500243241898714E-13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296.376932094327</v>
      </c>
      <c r="DU147" s="59">
        <f t="shared" si="152"/>
        <v>350.93658329210882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0.28232143174684593</v>
      </c>
      <c r="EB147" s="21">
        <f>EXP(-LN(2)/25)*EB146+(1-EXP(-LN(2)/25))/(LN(2)/25)*Calculateur!DW147*Calculateur!DY147*VLOOKUP('Données projet'!$B$14,Paramètres!$A$1:$I$89,3,0)*0.475*44/12</f>
        <v>0.71961121237363068</v>
      </c>
      <c r="EC147" s="21">
        <f>EXP(-LN(2)/2)*EC146+(1-EXP(-LN(2)/2))/(LN(2)/2)*DW147*DZ147*VLOOKUP('Données projet'!$B$14,Paramètres!$A$1:$I$89,3,0)*0.475*44/12</f>
        <v>1.7007498094271145E-16</v>
      </c>
      <c r="ED147" s="22">
        <f t="shared" si="126"/>
        <v>1.0019326441204768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-5.1159076974727213E-13</v>
      </c>
      <c r="EK147" s="17">
        <f>EJ147*VLOOKUP('Données projet'!$B$15,Paramètres!$A$1:$I$89,3,0)*VLOOKUP('Données projet'!$B$15,Paramètres!$A$1:$I$89,5,0)</f>
        <v>-3.3519427233841269E-13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231.03244099494077</v>
      </c>
      <c r="EP147" s="59">
        <f t="shared" si="154"/>
        <v>280.29723026390741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0.22802884871860638</v>
      </c>
      <c r="EW147" s="21">
        <f>EXP(-LN(2)/25)*EW146+(1-EXP(-LN(2)/25))/(LN(2)/25)*Calculateur!ER147*Calculateur!ET147*VLOOKUP('Données projet'!$B$15,Paramètres!$A$1:$I$89,3,0)*0.475*44/12</f>
        <v>0.58122444076331625</v>
      </c>
      <c r="EX147" s="21">
        <f>EXP(-LN(2)/2)*EX146+(1-EXP(-LN(2)/2))/(LN(2)/2)*ER147*EU147*VLOOKUP('Données projet'!$B$15,Paramètres!$A$1:$I$89,3,0)*0.475*44/12</f>
        <v>1.3736825383834379E-16</v>
      </c>
      <c r="EY147" s="22">
        <f t="shared" si="129"/>
        <v>0.80925328948192277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-5.1431925385259092E-13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351.15781452544906</v>
      </c>
      <c r="T148" s="59">
        <f t="shared" si="142"/>
        <v>271.54361159160169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0.24697763505881373</v>
      </c>
      <c r="AA148" s="21">
        <f>EXP(-LN(2)/25)*AA147+(1-EXP(-LN(2)/25))/(LN(2)/25)*Calculateur!V148*Calculateur!X148*VLOOKUP('Données projet'!$B$9,Paramètres!$A$1:$I$89,3,0)*0.475*44/12</f>
        <v>0.46524275422770633</v>
      </c>
      <c r="AB148" s="21">
        <f>EXP(-LN(2)/2)*AB147+(1-EXP(-LN(2)/2))/(LN(2)/2)*V148*Y148*VLOOKUP('Données projet'!$B$9,Paramètres!$A$1:$I$89,3,0)*0.475*44/12</f>
        <v>1.0575228602655183E-16</v>
      </c>
      <c r="AC148" s="22">
        <f t="shared" si="111"/>
        <v>0.71222038928652021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4</v>
      </c>
      <c r="AI148" s="13">
        <f>IF('Données projet'!$A$62&gt;35,AI147+AH148-AQ147,IF(A148&lt;'Données projet'!$A$62,$AF$205^A148,IF(A148='Données projet'!$A$62,'Données projet'!$B$62,AI147+AH148-AQ147)))</f>
        <v>447.00000000000011</v>
      </c>
      <c r="AJ148" s="13">
        <f>AI148*VLOOKUP('Données projet'!$B$10,Paramètres!$A$1:$I$89,3,0)*VLOOKUP('Données projet'!$B$10,Paramètres!$A$1:$I$89,5,0)</f>
        <v>383.52600000000012</v>
      </c>
      <c r="AK148" s="13">
        <f t="shared" si="143"/>
        <v>88.428683588808639</v>
      </c>
      <c r="AL148" s="20">
        <f t="shared" si="112"/>
        <v>821.98774058384186</v>
      </c>
      <c r="AM148" s="59">
        <f t="shared" si="113"/>
        <v>1115.3210739171752</v>
      </c>
      <c r="AN148" s="59">
        <f ca="1">AVERAGE(OFFSET($AM$3,0,0,'Données projet'!$E$10+1,1))-AVERAGE(OFFSET($H$3,0,0,'Données projet'!$E$10+1,1))</f>
        <v>405.59933429804329</v>
      </c>
      <c r="AO148" s="59">
        <f t="shared" si="144"/>
        <v>208.64922573363776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0.18066207027247386</v>
      </c>
      <c r="AW148" s="21">
        <f>EXP(-LN(2)/2)*AW147+(1-EXP(-LN(2)/2))/(LN(2)/2)*AQ148*AT148*VLOOKUP('Données projet'!$B$10,Paramètres!$A$1:$I$89,3,0)*0.475*44/12</f>
        <v>3.4755607445631514E-17</v>
      </c>
      <c r="AX148" s="21">
        <f t="shared" si="114"/>
        <v>0.18066207027247388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-1.0995790944434703E-13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293.19327646293601</v>
      </c>
      <c r="BJ148" s="59">
        <f t="shared" si="146"/>
        <v>200.0769581869605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0.13690475178677836</v>
      </c>
      <c r="BR148" s="21">
        <f>EXP(-LN(2)/2)*BR147+(1-EXP(-LN(2)/2))/(LN(2)/2)*BL148*BO148*VLOOKUP('Données projet'!$B$11,Paramètres!$A$1:$I$89,3,0)*0.475*44/12</f>
        <v>3.2462640097270359E-17</v>
      </c>
      <c r="BS148" s="22">
        <f t="shared" si="117"/>
        <v>0.13690475178677838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1.3301360013429075E-13</v>
      </c>
      <c r="CA148" s="13">
        <f t="shared" si="147"/>
        <v>1.9329766731057041E-12</v>
      </c>
      <c r="CB148" s="20">
        <f t="shared" si="118"/>
        <v>3.5982663925596575E-12</v>
      </c>
      <c r="CC148" s="59">
        <f t="shared" si="119"/>
        <v>293.3333333333369</v>
      </c>
      <c r="CD148" s="59">
        <f ca="1">AVERAGE(OFFSET($CC$3,0,0,'Données projet'!$E$12+1,1))-AVERAGE(OFFSET($H$3,0,0,'Données projet'!$E$12+1,1))</f>
        <v>295.95249585728561</v>
      </c>
      <c r="CE148" s="59">
        <f t="shared" si="148"/>
        <v>306.85862495052709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0.14827782893001445</v>
      </c>
      <c r="CL148" s="21">
        <f>EXP(-LN(2)/25)*CL147+(1-EXP(-LN(2)/25))/(LN(2)/25)*Calculateur!CG148*Calculateur!CI148*VLOOKUP('Données projet'!$B$12,Paramètres!$A$1:$I$89,3,0)*0.475*44/12</f>
        <v>0.34516358119338747</v>
      </c>
      <c r="CM148" s="21">
        <f>EXP(-LN(2)/2)*CM147+(1-EXP(-LN(2)/2))/(LN(2)/2)*CG148*CJ148*VLOOKUP('Données projet'!$B$12,Paramètres!$A$1:$I$89,3,0)*0.475*44/12</f>
        <v>6.4134251596508686E-17</v>
      </c>
      <c r="CN148" s="22">
        <f t="shared" si="120"/>
        <v>0.49344141012340198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4</v>
      </c>
      <c r="CT148" s="12">
        <f>IF('Données projet'!$A$140&gt;35,CT147+CS148-DB147,IF(A148&lt;'Données projet'!$A$140,$CQ$205^A148,IF(A148='Données projet'!$A$140,'Données projet'!$B$140,CT147+CS148-DB147)))</f>
        <v>447.00000000000011</v>
      </c>
      <c r="CU148" s="17">
        <f>CT148*VLOOKUP('Données projet'!$B$13,Paramètres!$A$1:$I$89,3,0)*VLOOKUP('Données projet'!$B$13,Paramètres!$A$1:$I$89,5,0)</f>
        <v>425.36520000000013</v>
      </c>
      <c r="CV148" s="13">
        <f t="shared" si="149"/>
        <v>96.900524910165856</v>
      </c>
      <c r="CW148" s="20">
        <f t="shared" si="121"/>
        <v>909.61280421853905</v>
      </c>
      <c r="CX148" s="59">
        <f t="shared" si="122"/>
        <v>1202.9461375518724</v>
      </c>
      <c r="CY148" s="59">
        <f ca="1">AVERAGE(OFFSET($CX$3,0,0,'Données projet'!$E$13+1,1))-AVERAGE(OFFSET($H$3,0,0,'Données projet'!$E$13+1,1))</f>
        <v>461.10546083340631</v>
      </c>
      <c r="CZ148" s="59">
        <f t="shared" si="150"/>
        <v>233.41883071412587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0.16256487489698102</v>
      </c>
      <c r="DH148" s="21">
        <f>EXP(-LN(2)/2)*DH147+(1-EXP(-LN(2)/2))/(LN(2)/2)*DB148*DE148*VLOOKUP('Données projet'!$B$13,Paramètres!$A$1:$I$89,3,0)*0.475*44/12</f>
        <v>3.8547128257882564E-17</v>
      </c>
      <c r="DI148" s="22">
        <f t="shared" si="123"/>
        <v>0.16256487489698104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-4.1500243241898714E-13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296.376932094327</v>
      </c>
      <c r="DU148" s="59">
        <f t="shared" si="152"/>
        <v>350.93658329210882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0.27678528066936042</v>
      </c>
      <c r="EB148" s="21">
        <f>EXP(-LN(2)/25)*EB147+(1-EXP(-LN(2)/25))/(LN(2)/25)*Calculateur!DW148*Calculateur!DY148*VLOOKUP('Données projet'!$B$14,Paramètres!$A$1:$I$89,3,0)*0.475*44/12</f>
        <v>0.69993340592856479</v>
      </c>
      <c r="EC148" s="21">
        <f>EXP(-LN(2)/2)*EC147+(1-EXP(-LN(2)/2))/(LN(2)/2)*DW148*DZ148*VLOOKUP('Données projet'!$B$14,Paramètres!$A$1:$I$89,3,0)*0.475*44/12</f>
        <v>1.202611723347641E-16</v>
      </c>
      <c r="ED148" s="22">
        <f t="shared" si="126"/>
        <v>0.97671868659792527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-5.1159076974727213E-13</v>
      </c>
      <c r="EK148" s="17">
        <f>EJ148*VLOOKUP('Données projet'!$B$15,Paramètres!$A$1:$I$89,3,0)*VLOOKUP('Données projet'!$B$15,Paramètres!$A$1:$I$89,5,0)</f>
        <v>-3.3519427233841269E-13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231.03244099494077</v>
      </c>
      <c r="EP148" s="59">
        <f t="shared" si="154"/>
        <v>280.29723026390741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0.22355734207909883</v>
      </c>
      <c r="EW148" s="21">
        <f>EXP(-LN(2)/25)*EW147+(1-EXP(-LN(2)/25))/(LN(2)/25)*Calculateur!ER148*Calculateur!ET148*VLOOKUP('Données projet'!$B$15,Paramètres!$A$1:$I$89,3,0)*0.475*44/12</f>
        <v>0.56533082786537847</v>
      </c>
      <c r="EX148" s="21">
        <f>EXP(-LN(2)/2)*EX147+(1-EXP(-LN(2)/2))/(LN(2)/2)*ER148*EU148*VLOOKUP('Données projet'!$B$15,Paramètres!$A$1:$I$89,3,0)*0.475*44/12</f>
        <v>9.713402380884788E-17</v>
      </c>
      <c r="EY148" s="22">
        <f t="shared" si="129"/>
        <v>0.78888816994447741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-5.1431925385259092E-13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351.15781452544906</v>
      </c>
      <c r="T149" s="59">
        <f t="shared" si="142"/>
        <v>271.54361159160169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0.24213455427679317</v>
      </c>
      <c r="AA149" s="21">
        <f>EXP(-LN(2)/25)*AA148+(1-EXP(-LN(2)/25))/(LN(2)/25)*Calculateur!V149*Calculateur!X149*VLOOKUP('Données projet'!$B$9,Paramètres!$A$1:$I$89,3,0)*0.475*44/12</f>
        <v>0.45252066664729657</v>
      </c>
      <c r="AB149" s="21">
        <f>EXP(-LN(2)/2)*AB148+(1-EXP(-LN(2)/2))/(LN(2)/2)*V149*Y149*VLOOKUP('Données projet'!$B$9,Paramètres!$A$1:$I$89,3,0)*0.475*44/12</f>
        <v>7.4778158575354173E-17</v>
      </c>
      <c r="AC149" s="22">
        <f t="shared" si="111"/>
        <v>0.69465522092408982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4</v>
      </c>
      <c r="AI149" s="13">
        <f>IF('Données projet'!$A$62&gt;35,AI148+AH149-AQ148,IF(A149&lt;'Données projet'!$A$62,$AF$205^A149,IF(A149='Données projet'!$A$62,'Données projet'!$B$62,AI148+AH149-AQ148)))</f>
        <v>451.00000000000011</v>
      </c>
      <c r="AJ149" s="13">
        <f>AI149*VLOOKUP('Données projet'!$B$10,Paramètres!$A$1:$I$89,3,0)*VLOOKUP('Données projet'!$B$10,Paramètres!$A$1:$I$89,5,0)</f>
        <v>386.95800000000014</v>
      </c>
      <c r="AK149" s="13">
        <f t="shared" si="143"/>
        <v>89.127520512837165</v>
      </c>
      <c r="AL149" s="20">
        <f t="shared" si="112"/>
        <v>829.18228155985832</v>
      </c>
      <c r="AM149" s="59">
        <f t="shared" si="113"/>
        <v>1122.5156148931917</v>
      </c>
      <c r="AN149" s="59">
        <f ca="1">AVERAGE(OFFSET($AM$3,0,0,'Données projet'!$E$10+1,1))-AVERAGE(OFFSET($H$3,0,0,'Données projet'!$E$10+1,1))</f>
        <v>405.59933429804329</v>
      </c>
      <c r="AO149" s="59">
        <f t="shared" si="144"/>
        <v>208.64922573363776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0.17572185646026769</v>
      </c>
      <c r="AW149" s="21">
        <f>EXP(-LN(2)/2)*AW148+(1-EXP(-LN(2)/2))/(LN(2)/2)*AQ149*AT149*VLOOKUP('Données projet'!$B$10,Paramètres!$A$1:$I$89,3,0)*0.475*44/12</f>
        <v>2.4575925709063705E-17</v>
      </c>
      <c r="AX149" s="21">
        <f t="shared" si="114"/>
        <v>0.17572185646026772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-1.0995790944434703E-13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293.19327646293601</v>
      </c>
      <c r="BJ149" s="59">
        <f t="shared" si="146"/>
        <v>200.0769581869605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0.13316108414966091</v>
      </c>
      <c r="BR149" s="21">
        <f>EXP(-LN(2)/2)*BR148+(1-EXP(-LN(2)/2))/(LN(2)/2)*BL149*BO149*VLOOKUP('Données projet'!$B$11,Paramètres!$A$1:$I$89,3,0)*0.475*44/12</f>
        <v>2.2954552947998196E-17</v>
      </c>
      <c r="BS149" s="22">
        <f t="shared" si="117"/>
        <v>0.13316108414966094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1.3301360013429075E-13</v>
      </c>
      <c r="CA149" s="13">
        <f t="shared" si="147"/>
        <v>1.9329766731057041E-12</v>
      </c>
      <c r="CB149" s="20">
        <f t="shared" si="118"/>
        <v>3.5982663925596575E-12</v>
      </c>
      <c r="CC149" s="59">
        <f t="shared" si="119"/>
        <v>293.3333333333369</v>
      </c>
      <c r="CD149" s="59">
        <f ca="1">AVERAGE(OFFSET($CC$3,0,0,'Données projet'!$E$12+1,1))-AVERAGE(OFFSET($H$3,0,0,'Données projet'!$E$12+1,1))</f>
        <v>295.95249585728561</v>
      </c>
      <c r="CE149" s="59">
        <f t="shared" si="148"/>
        <v>306.85862495052709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0.14537019114524224</v>
      </c>
      <c r="CL149" s="21">
        <f>EXP(-LN(2)/25)*CL148+(1-EXP(-LN(2)/25))/(LN(2)/25)*Calculateur!CG149*Calculateur!CI149*VLOOKUP('Données projet'!$B$12,Paramètres!$A$1:$I$89,3,0)*0.475*44/12</f>
        <v>0.33572506491429044</v>
      </c>
      <c r="CM149" s="21">
        <f>EXP(-LN(2)/2)*CM148+(1-EXP(-LN(2)/2))/(LN(2)/2)*CG149*CJ149*VLOOKUP('Données projet'!$B$12,Paramètres!$A$1:$I$89,3,0)*0.475*44/12</f>
        <v>4.5349764210215455E-17</v>
      </c>
      <c r="CN149" s="22">
        <f t="shared" si="120"/>
        <v>0.48109525605953274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4</v>
      </c>
      <c r="CT149" s="12">
        <f>IF('Données projet'!$A$140&gt;35,CT148+CS149-DB148,IF(A149&lt;'Données projet'!$A$140,$CQ$205^A149,IF(A149='Données projet'!$A$140,'Données projet'!$B$140,CT148+CS149-DB148)))</f>
        <v>451.00000000000011</v>
      </c>
      <c r="CU149" s="17">
        <f>CT149*VLOOKUP('Données projet'!$B$13,Paramètres!$A$1:$I$89,3,0)*VLOOKUP('Données projet'!$B$13,Paramètres!$A$1:$I$89,5,0)</f>
        <v>429.17160000000013</v>
      </c>
      <c r="CV149" s="13">
        <f t="shared" si="149"/>
        <v>97.66631336269846</v>
      </c>
      <c r="CW149" s="20">
        <f t="shared" si="121"/>
        <v>917.57603244003337</v>
      </c>
      <c r="CX149" s="59">
        <f t="shared" si="122"/>
        <v>1210.9093657733667</v>
      </c>
      <c r="CY149" s="59">
        <f ca="1">AVERAGE(OFFSET($CX$3,0,0,'Données projet'!$E$13+1,1))-AVERAGE(OFFSET($H$3,0,0,'Données projet'!$E$13+1,1))</f>
        <v>461.10546083340631</v>
      </c>
      <c r="CZ149" s="59">
        <f t="shared" si="150"/>
        <v>233.41883071412587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0.15811952984400784</v>
      </c>
      <c r="DH149" s="21">
        <f>EXP(-LN(2)/2)*DH148+(1-EXP(-LN(2)/2))/(LN(2)/2)*DB149*DE149*VLOOKUP('Données projet'!$B$13,Paramètres!$A$1:$I$89,3,0)*0.475*44/12</f>
        <v>2.725693578641635E-17</v>
      </c>
      <c r="DI149" s="22">
        <f t="shared" si="123"/>
        <v>0.15811952984400787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-4.1500243241898714E-13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296.376932094327</v>
      </c>
      <c r="DU149" s="59">
        <f t="shared" si="152"/>
        <v>350.93658329210882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0.27135769013778566</v>
      </c>
      <c r="EB149" s="21">
        <f>EXP(-LN(2)/25)*EB148+(1-EXP(-LN(2)/25))/(LN(2)/25)*Calculateur!DW149*Calculateur!DY149*VLOOKUP('Données projet'!$B$14,Paramètres!$A$1:$I$89,3,0)*0.475*44/12</f>
        <v>0.68079369013555013</v>
      </c>
      <c r="EC149" s="21">
        <f>EXP(-LN(2)/2)*EC148+(1-EXP(-LN(2)/2))/(LN(2)/2)*DW149*DZ149*VLOOKUP('Données projet'!$B$14,Paramètres!$A$1:$I$89,3,0)*0.475*44/12</f>
        <v>8.5037490471355724E-17</v>
      </c>
      <c r="ED149" s="22">
        <f t="shared" si="126"/>
        <v>0.9521513802733359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-5.1159076974727213E-13</v>
      </c>
      <c r="EK149" s="17">
        <f>EJ149*VLOOKUP('Données projet'!$B$15,Paramètres!$A$1:$I$89,3,0)*VLOOKUP('Données projet'!$B$15,Paramètres!$A$1:$I$89,5,0)</f>
        <v>-3.3519427233841269E-13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231.03244099494077</v>
      </c>
      <c r="EP149" s="59">
        <f t="shared" si="154"/>
        <v>280.29723026390741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0.21917351895744228</v>
      </c>
      <c r="EW149" s="21">
        <f>EXP(-LN(2)/25)*EW148+(1-EXP(-LN(2)/25))/(LN(2)/25)*Calculateur!ER149*Calculateur!ET149*VLOOKUP('Données projet'!$B$15,Paramètres!$A$1:$I$89,3,0)*0.475*44/12</f>
        <v>0.54987182664794354</v>
      </c>
      <c r="EX149" s="21">
        <f>EXP(-LN(2)/2)*EX148+(1-EXP(-LN(2)/2))/(LN(2)/2)*ER149*EU149*VLOOKUP('Données projet'!$B$15,Paramètres!$A$1:$I$89,3,0)*0.475*44/12</f>
        <v>6.8684126919171894E-17</v>
      </c>
      <c r="EY149" s="22">
        <f t="shared" si="129"/>
        <v>0.76904534560538595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-5.1431925385259092E-13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351.15781452544906</v>
      </c>
      <c r="T150" s="59">
        <f t="shared" si="142"/>
        <v>271.54361159160169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0.23738644335492043</v>
      </c>
      <c r="AA150" s="21">
        <f>EXP(-LN(2)/25)*AA149+(1-EXP(-LN(2)/25))/(LN(2)/25)*Calculateur!V150*Calculateur!X150*VLOOKUP('Données projet'!$B$9,Paramètres!$A$1:$I$89,3,0)*0.475*44/12</f>
        <v>0.44014646522079864</v>
      </c>
      <c r="AB150" s="21">
        <f>EXP(-LN(2)/2)*AB149+(1-EXP(-LN(2)/2))/(LN(2)/2)*V150*Y150*VLOOKUP('Données projet'!$B$9,Paramètres!$A$1:$I$89,3,0)*0.475*44/12</f>
        <v>5.2876143013275917E-17</v>
      </c>
      <c r="AC150" s="22">
        <f t="shared" si="111"/>
        <v>0.67753290857571913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4</v>
      </c>
      <c r="AI150" s="13">
        <f>IF('Données projet'!$A$62&gt;35,AI149+AH150-AQ149,IF(A150&lt;'Données projet'!$A$62,$AF$205^A150,IF(A150='Données projet'!$A$62,'Données projet'!$B$62,AI149+AH150-AQ149)))</f>
        <v>455.00000000000011</v>
      </c>
      <c r="AJ150" s="13">
        <f>AI150*VLOOKUP('Données projet'!$B$10,Paramètres!$A$1:$I$89,3,0)*VLOOKUP('Données projet'!$B$10,Paramètres!$A$1:$I$89,5,0)</f>
        <v>390.39000000000016</v>
      </c>
      <c r="AK150" s="13">
        <f t="shared" si="143"/>
        <v>89.825636339119924</v>
      </c>
      <c r="AL150" s="20">
        <f t="shared" si="112"/>
        <v>836.37556662396753</v>
      </c>
      <c r="AM150" s="59">
        <f t="shared" si="113"/>
        <v>1129.7088999573009</v>
      </c>
      <c r="AN150" s="59">
        <f ca="1">AVERAGE(OFFSET($AM$3,0,0,'Données projet'!$E$10+1,1))-AVERAGE(OFFSET($H$3,0,0,'Données projet'!$E$10+1,1))</f>
        <v>405.59933429804329</v>
      </c>
      <c r="AO150" s="59">
        <f t="shared" si="144"/>
        <v>208.64922573363776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0.17091673305455085</v>
      </c>
      <c r="AW150" s="21">
        <f>EXP(-LN(2)/2)*AW149+(1-EXP(-LN(2)/2))/(LN(2)/2)*AQ150*AT150*VLOOKUP('Données projet'!$B$10,Paramètres!$A$1:$I$89,3,0)*0.475*44/12</f>
        <v>1.7377803722815757E-17</v>
      </c>
      <c r="AX150" s="21">
        <f t="shared" si="114"/>
        <v>0.17091673305455088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-1.0995790944434703E-13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293.19327646293601</v>
      </c>
      <c r="BJ150" s="59">
        <f t="shared" si="146"/>
        <v>200.0769581869605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0.12951978730095137</v>
      </c>
      <c r="BR150" s="21">
        <f>EXP(-LN(2)/2)*BR149+(1-EXP(-LN(2)/2))/(LN(2)/2)*BL150*BO150*VLOOKUP('Données projet'!$B$11,Paramètres!$A$1:$I$89,3,0)*0.475*44/12</f>
        <v>1.6231320048635179E-17</v>
      </c>
      <c r="BS150" s="22">
        <f t="shared" si="117"/>
        <v>0.1295197873009514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1.3301360013429075E-13</v>
      </c>
      <c r="CA150" s="13">
        <f t="shared" si="147"/>
        <v>1.9329766731057041E-12</v>
      </c>
      <c r="CB150" s="20">
        <f t="shared" si="118"/>
        <v>3.5982663925596575E-12</v>
      </c>
      <c r="CC150" s="59">
        <f t="shared" si="119"/>
        <v>293.3333333333369</v>
      </c>
      <c r="CD150" s="59">
        <f ca="1">AVERAGE(OFFSET($CC$3,0,0,'Données projet'!$E$12+1,1))-AVERAGE(OFFSET($H$3,0,0,'Données projet'!$E$12+1,1))</f>
        <v>295.95249585728561</v>
      </c>
      <c r="CE150" s="59">
        <f t="shared" si="148"/>
        <v>306.85862495052709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0.1425195703639455</v>
      </c>
      <c r="CL150" s="21">
        <f>EXP(-LN(2)/25)*CL149+(1-EXP(-LN(2)/25))/(LN(2)/25)*Calculateur!CG150*Calculateur!CI150*VLOOKUP('Données projet'!$B$12,Paramètres!$A$1:$I$89,3,0)*0.475*44/12</f>
        <v>0.32654464535919531</v>
      </c>
      <c r="CM150" s="21">
        <f>EXP(-LN(2)/2)*CM149+(1-EXP(-LN(2)/2))/(LN(2)/2)*CG150*CJ150*VLOOKUP('Données projet'!$B$12,Paramètres!$A$1:$I$89,3,0)*0.475*44/12</f>
        <v>3.2067125798254343E-17</v>
      </c>
      <c r="CN150" s="22">
        <f t="shared" si="120"/>
        <v>0.46906421572314089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4</v>
      </c>
      <c r="CT150" s="12">
        <f>IF('Données projet'!$A$140&gt;35,CT149+CS150-DB149,IF(A150&lt;'Données projet'!$A$140,$CQ$205^A150,IF(A150='Données projet'!$A$140,'Données projet'!$B$140,CT149+CS150-DB149)))</f>
        <v>455.00000000000011</v>
      </c>
      <c r="CU150" s="17">
        <f>CT150*VLOOKUP('Données projet'!$B$13,Paramètres!$A$1:$I$89,3,0)*VLOOKUP('Données projet'!$B$13,Paramètres!$A$1:$I$89,5,0)</f>
        <v>432.97800000000012</v>
      </c>
      <c r="CV150" s="13">
        <f t="shared" si="149"/>
        <v>98.431311633276067</v>
      </c>
      <c r="CW150" s="20">
        <f t="shared" si="121"/>
        <v>925.53788442795587</v>
      </c>
      <c r="CX150" s="59">
        <f t="shared" si="122"/>
        <v>1218.8712177612892</v>
      </c>
      <c r="CY150" s="59">
        <f ca="1">AVERAGE(OFFSET($CX$3,0,0,'Données projet'!$E$13+1,1))-AVERAGE(OFFSET($H$3,0,0,'Données projet'!$E$13+1,1))</f>
        <v>461.10546083340631</v>
      </c>
      <c r="CZ150" s="59">
        <f t="shared" si="150"/>
        <v>233.41883071412587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0.15379574298527876</v>
      </c>
      <c r="DH150" s="21">
        <f>EXP(-LN(2)/2)*DH149+(1-EXP(-LN(2)/2))/(LN(2)/2)*DB150*DE150*VLOOKUP('Données projet'!$B$13,Paramètres!$A$1:$I$89,3,0)*0.475*44/12</f>
        <v>1.9273564128941285E-17</v>
      </c>
      <c r="DI150" s="22">
        <f t="shared" si="123"/>
        <v>0.15379574298527879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-4.1500243241898714E-13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296.376932094327</v>
      </c>
      <c r="DU150" s="59">
        <f t="shared" si="152"/>
        <v>350.93658329210882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0.26603653134603172</v>
      </c>
      <c r="EB150" s="21">
        <f>EXP(-LN(2)/25)*EB149+(1-EXP(-LN(2)/25))/(LN(2)/25)*Calculateur!DW150*Calculateur!DY150*VLOOKUP('Données projet'!$B$14,Paramètres!$A$1:$I$89,3,0)*0.475*44/12</f>
        <v>0.66217735087740937</v>
      </c>
      <c r="EC150" s="21">
        <f>EXP(-LN(2)/2)*EC149+(1-EXP(-LN(2)/2))/(LN(2)/2)*DW150*DZ150*VLOOKUP('Données projet'!$B$14,Paramètres!$A$1:$I$89,3,0)*0.475*44/12</f>
        <v>6.0130586167382051E-17</v>
      </c>
      <c r="ED150" s="22">
        <f t="shared" si="126"/>
        <v>0.92821388222344126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-5.1159076974727213E-13</v>
      </c>
      <c r="EK150" s="17">
        <f>EJ150*VLOOKUP('Données projet'!$B$15,Paramètres!$A$1:$I$89,3,0)*VLOOKUP('Données projet'!$B$15,Paramètres!$A$1:$I$89,5,0)</f>
        <v>-3.3519427233841269E-13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231.03244099494077</v>
      </c>
      <c r="EP150" s="59">
        <f t="shared" si="154"/>
        <v>280.29723026390741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0.21487565993333332</v>
      </c>
      <c r="EW150" s="21">
        <f>EXP(-LN(2)/25)*EW149+(1-EXP(-LN(2)/25))/(LN(2)/25)*Calculateur!ER150*Calculateur!ET150*VLOOKUP('Données projet'!$B$15,Paramètres!$A$1:$I$89,3,0)*0.475*44/12</f>
        <v>0.53483555263175286</v>
      </c>
      <c r="EX150" s="21">
        <f>EXP(-LN(2)/2)*EX149+(1-EXP(-LN(2)/2))/(LN(2)/2)*ER150*EU150*VLOOKUP('Données projet'!$B$15,Paramètres!$A$1:$I$89,3,0)*0.475*44/12</f>
        <v>4.856701190442394E-17</v>
      </c>
      <c r="EY150" s="22">
        <f t="shared" si="129"/>
        <v>0.74971121256508622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-5.1431925385259092E-13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351.15781452544906</v>
      </c>
      <c r="T151" s="59">
        <f t="shared" si="142"/>
        <v>271.54361159160169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0.23273143999216392</v>
      </c>
      <c r="AA151" s="21">
        <f>EXP(-LN(2)/25)*AA150+(1-EXP(-LN(2)/25))/(LN(2)/25)*Calculateur!V151*Calculateur!X151*VLOOKUP('Données projet'!$B$9,Paramètres!$A$1:$I$89,3,0)*0.475*44/12</f>
        <v>0.42811063698303925</v>
      </c>
      <c r="AB151" s="21">
        <f>EXP(-LN(2)/2)*AB150+(1-EXP(-LN(2)/2))/(LN(2)/2)*V151*Y151*VLOOKUP('Données projet'!$B$9,Paramètres!$A$1:$I$89,3,0)*0.475*44/12</f>
        <v>3.7389079287677087E-17</v>
      </c>
      <c r="AC151" s="22">
        <f t="shared" si="111"/>
        <v>0.66084207697520314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4</v>
      </c>
      <c r="AI151" s="13">
        <f>IF('Données projet'!$A$62&gt;35,AI150+AH151-AQ150,IF(A151&lt;'Données projet'!$A$62,$AF$205^A151,IF(A151='Données projet'!$A$62,'Données projet'!$B$62,AI150+AH151-AQ150)))</f>
        <v>459.00000000000011</v>
      </c>
      <c r="AJ151" s="13">
        <f>AI151*VLOOKUP('Données projet'!$B$10,Paramètres!$A$1:$I$89,3,0)*VLOOKUP('Données projet'!$B$10,Paramètres!$A$1:$I$89,5,0)</f>
        <v>393.82200000000012</v>
      </c>
      <c r="AK151" s="13">
        <f t="shared" si="143"/>
        <v>90.523038141437951</v>
      </c>
      <c r="AL151" s="20">
        <f t="shared" si="112"/>
        <v>843.56760809633795</v>
      </c>
      <c r="AM151" s="59">
        <f t="shared" si="113"/>
        <v>1136.9009414296713</v>
      </c>
      <c r="AN151" s="59">
        <f ca="1">AVERAGE(OFFSET($AM$3,0,0,'Données projet'!$E$10+1,1))-AVERAGE(OFFSET($H$3,0,0,'Données projet'!$E$10+1,1))</f>
        <v>405.59933429804329</v>
      </c>
      <c r="AO151" s="59">
        <f t="shared" si="144"/>
        <v>208.64922573363776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0.16624300600105379</v>
      </c>
      <c r="AW151" s="21">
        <f>EXP(-LN(2)/2)*AW150+(1-EXP(-LN(2)/2))/(LN(2)/2)*AQ151*AT151*VLOOKUP('Données projet'!$B$10,Paramètres!$A$1:$I$89,3,0)*0.475*44/12</f>
        <v>1.2287962854531853E-17</v>
      </c>
      <c r="AX151" s="21">
        <f t="shared" si="114"/>
        <v>0.16624300600105379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-1.0995790944434703E-13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293.19327646293601</v>
      </c>
      <c r="BJ151" s="59">
        <f t="shared" si="146"/>
        <v>200.0769581869605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0.12597806190605726</v>
      </c>
      <c r="BR151" s="21">
        <f>EXP(-LN(2)/2)*BR150+(1-EXP(-LN(2)/2))/(LN(2)/2)*BL151*BO151*VLOOKUP('Données projet'!$B$11,Paramètres!$A$1:$I$89,3,0)*0.475*44/12</f>
        <v>1.1477276473999098E-17</v>
      </c>
      <c r="BS151" s="22">
        <f t="shared" si="117"/>
        <v>0.12597806190605726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1.3301360013429075E-13</v>
      </c>
      <c r="CA151" s="13">
        <f t="shared" si="147"/>
        <v>1.9329766731057041E-12</v>
      </c>
      <c r="CB151" s="20">
        <f t="shared" si="118"/>
        <v>3.5982663925596575E-12</v>
      </c>
      <c r="CC151" s="59">
        <f t="shared" si="119"/>
        <v>293.3333333333369</v>
      </c>
      <c r="CD151" s="59">
        <f ca="1">AVERAGE(OFFSET($CC$3,0,0,'Données projet'!$E$12+1,1))-AVERAGE(OFFSET($H$3,0,0,'Données projet'!$E$12+1,1))</f>
        <v>295.95249585728561</v>
      </c>
      <c r="CE151" s="59">
        <f t="shared" si="148"/>
        <v>306.85862495052709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0.13972484851746297</v>
      </c>
      <c r="CL151" s="21">
        <f>EXP(-LN(2)/25)*CL150+(1-EXP(-LN(2)/25))/(LN(2)/25)*Calculateur!CG151*Calculateur!CI151*VLOOKUP('Données projet'!$B$12,Paramètres!$A$1:$I$89,3,0)*0.475*44/12</f>
        <v>0.31761526485961156</v>
      </c>
      <c r="CM151" s="21">
        <f>EXP(-LN(2)/2)*CM150+(1-EXP(-LN(2)/2))/(LN(2)/2)*CG151*CJ151*VLOOKUP('Données projet'!$B$12,Paramètres!$A$1:$I$89,3,0)*0.475*44/12</f>
        <v>2.2674882105107727E-17</v>
      </c>
      <c r="CN151" s="22">
        <f t="shared" si="120"/>
        <v>0.45734011337707453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4</v>
      </c>
      <c r="CT151" s="12">
        <f>IF('Données projet'!$A$140&gt;35,CT150+CS151-DB150,IF(A151&lt;'Données projet'!$A$140,$CQ$205^A151,IF(A151='Données projet'!$A$140,'Données projet'!$B$140,CT150+CS151-DB150)))</f>
        <v>459.00000000000011</v>
      </c>
      <c r="CU151" s="17">
        <f>CT151*VLOOKUP('Données projet'!$B$13,Paramètres!$A$1:$I$89,3,0)*VLOOKUP('Données projet'!$B$13,Paramètres!$A$1:$I$89,5,0)</f>
        <v>436.78440000000012</v>
      </c>
      <c r="CV151" s="13">
        <f t="shared" si="149"/>
        <v>99.195527473377723</v>
      </c>
      <c r="CW151" s="20">
        <f t="shared" si="121"/>
        <v>933.49837368279975</v>
      </c>
      <c r="CX151" s="59">
        <f t="shared" si="122"/>
        <v>1226.8317070161331</v>
      </c>
      <c r="CY151" s="59">
        <f ca="1">AVERAGE(OFFSET($CX$3,0,0,'Données projet'!$E$13+1,1))-AVERAGE(OFFSET($H$3,0,0,'Données projet'!$E$13+1,1))</f>
        <v>461.10546083340631</v>
      </c>
      <c r="CZ151" s="59">
        <f t="shared" si="150"/>
        <v>233.41883071412587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0.14959019030557968</v>
      </c>
      <c r="DH151" s="21">
        <f>EXP(-LN(2)/2)*DH150+(1-EXP(-LN(2)/2))/(LN(2)/2)*DB151*DE151*VLOOKUP('Données projet'!$B$13,Paramètres!$A$1:$I$89,3,0)*0.475*44/12</f>
        <v>1.3628467893208178E-17</v>
      </c>
      <c r="DI151" s="22">
        <f t="shared" si="123"/>
        <v>0.14959019030557968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-4.1500243241898714E-13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296.376932094327</v>
      </c>
      <c r="DU151" s="59">
        <f t="shared" si="152"/>
        <v>350.93658329210882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0.26081971723259773</v>
      </c>
      <c r="EB151" s="21">
        <f>EXP(-LN(2)/25)*EB150+(1-EXP(-LN(2)/25))/(LN(2)/25)*Calculateur!DW151*Calculateur!DY151*VLOOKUP('Données projet'!$B$14,Paramètres!$A$1:$I$89,3,0)*0.475*44/12</f>
        <v>0.64407007639527314</v>
      </c>
      <c r="EC151" s="21">
        <f>EXP(-LN(2)/2)*EC150+(1-EXP(-LN(2)/2))/(LN(2)/2)*DW151*DZ151*VLOOKUP('Données projet'!$B$14,Paramètres!$A$1:$I$89,3,0)*0.475*44/12</f>
        <v>4.2518745235677862E-17</v>
      </c>
      <c r="ED151" s="22">
        <f t="shared" si="126"/>
        <v>0.90488979362787081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-5.1159076974727213E-13</v>
      </c>
      <c r="EK151" s="17">
        <f>EJ151*VLOOKUP('Données projet'!$B$15,Paramètres!$A$1:$I$89,3,0)*VLOOKUP('Données projet'!$B$15,Paramètres!$A$1:$I$89,5,0)</f>
        <v>-3.3519427233841269E-13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231.03244099494077</v>
      </c>
      <c r="EP151" s="59">
        <f t="shared" si="154"/>
        <v>280.29723026390741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0.21066207930325201</v>
      </c>
      <c r="EW151" s="21">
        <f>EXP(-LN(2)/25)*EW150+(1-EXP(-LN(2)/25))/(LN(2)/25)*Calculateur!ER151*Calculateur!ET151*VLOOKUP('Données projet'!$B$15,Paramètres!$A$1:$I$89,3,0)*0.475*44/12</f>
        <v>0.52021044631925828</v>
      </c>
      <c r="EX151" s="21">
        <f>EXP(-LN(2)/2)*EX150+(1-EXP(-LN(2)/2))/(LN(2)/2)*ER151*EU151*VLOOKUP('Données projet'!$B$15,Paramètres!$A$1:$I$89,3,0)*0.475*44/12</f>
        <v>3.4342063459585947E-17</v>
      </c>
      <c r="EY151" s="22">
        <f t="shared" si="129"/>
        <v>0.73087252562251026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-5.1431925385259092E-13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351.15781452544906</v>
      </c>
      <c r="T152" s="59">
        <f t="shared" si="142"/>
        <v>271.54361159160169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0.22816771840607936</v>
      </c>
      <c r="AA152" s="21">
        <f>EXP(-LN(2)/25)*AA151+(1-EXP(-LN(2)/25))/(LN(2)/25)*Calculateur!V152*Calculateur!X152*VLOOKUP('Données projet'!$B$9,Paramètres!$A$1:$I$89,3,0)*0.475*44/12</f>
        <v>0.41640392910137808</v>
      </c>
      <c r="AB152" s="21">
        <f>EXP(-LN(2)/2)*AB151+(1-EXP(-LN(2)/2))/(LN(2)/2)*V152*Y152*VLOOKUP('Données projet'!$B$9,Paramètres!$A$1:$I$89,3,0)*0.475*44/12</f>
        <v>2.6438071506637958E-17</v>
      </c>
      <c r="AC152" s="22">
        <f t="shared" si="111"/>
        <v>0.64457164750745743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4</v>
      </c>
      <c r="AI152" s="13">
        <f>IF('Données projet'!$A$62&gt;35,AI151+AH152-AQ151,IF(A152&lt;'Données projet'!$A$62,$AF$205^A152,IF(A152='Données projet'!$A$62,'Données projet'!$B$62,AI151+AH152-AQ151)))</f>
        <v>463.00000000000011</v>
      </c>
      <c r="AJ152" s="13">
        <f>AI152*VLOOKUP('Données projet'!$B$10,Paramètres!$A$1:$I$89,3,0)*VLOOKUP('Données projet'!$B$10,Paramètres!$A$1:$I$89,5,0)</f>
        <v>397.25400000000013</v>
      </c>
      <c r="AK152" s="13">
        <f t="shared" si="143"/>
        <v>91.219732863167494</v>
      </c>
      <c r="AL152" s="20">
        <f t="shared" si="112"/>
        <v>850.75841807001689</v>
      </c>
      <c r="AM152" s="59">
        <f t="shared" si="113"/>
        <v>1144.0917514033501</v>
      </c>
      <c r="AN152" s="59">
        <f ca="1">AVERAGE(OFFSET($AM$3,0,0,'Données projet'!$E$10+1,1))-AVERAGE(OFFSET($H$3,0,0,'Données projet'!$E$10+1,1))</f>
        <v>405.59933429804329</v>
      </c>
      <c r="AO152" s="59">
        <f t="shared" si="144"/>
        <v>208.64922573363776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0.16169708225961524</v>
      </c>
      <c r="AW152" s="21">
        <f>EXP(-LN(2)/2)*AW151+(1-EXP(-LN(2)/2))/(LN(2)/2)*AQ152*AT152*VLOOKUP('Données projet'!$B$10,Paramètres!$A$1:$I$89,3,0)*0.475*44/12</f>
        <v>8.6889018614078785E-18</v>
      </c>
      <c r="AX152" s="21">
        <f t="shared" si="114"/>
        <v>0.16169708225961524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-1.0995790944434703E-13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293.19327646293601</v>
      </c>
      <c r="BJ152" s="59">
        <f t="shared" si="146"/>
        <v>200.0769581869605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0.12253318517833778</v>
      </c>
      <c r="BR152" s="21">
        <f>EXP(-LN(2)/2)*BR151+(1-EXP(-LN(2)/2))/(LN(2)/2)*BL152*BO152*VLOOKUP('Données projet'!$B$11,Paramètres!$A$1:$I$89,3,0)*0.475*44/12</f>
        <v>8.1156600243175897E-18</v>
      </c>
      <c r="BS152" s="22">
        <f t="shared" si="117"/>
        <v>0.12253318517833779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1.3301360013429075E-13</v>
      </c>
      <c r="CA152" s="13">
        <f t="shared" si="147"/>
        <v>1.9329766731057041E-12</v>
      </c>
      <c r="CB152" s="20">
        <f t="shared" si="118"/>
        <v>3.5982663925596575E-12</v>
      </c>
      <c r="CC152" s="59">
        <f t="shared" si="119"/>
        <v>293.3333333333369</v>
      </c>
      <c r="CD152" s="59">
        <f ca="1">AVERAGE(OFFSET($CC$3,0,0,'Données projet'!$E$12+1,1))-AVERAGE(OFFSET($H$3,0,0,'Données projet'!$E$12+1,1))</f>
        <v>295.95249585728561</v>
      </c>
      <c r="CE152" s="59">
        <f t="shared" si="148"/>
        <v>306.85862495052709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0.13698492946177798</v>
      </c>
      <c r="CL152" s="21">
        <f>EXP(-LN(2)/25)*CL151+(1-EXP(-LN(2)/25))/(LN(2)/25)*Calculateur!CG152*Calculateur!CI152*VLOOKUP('Données projet'!$B$12,Paramètres!$A$1:$I$89,3,0)*0.475*44/12</f>
        <v>0.30893005873936463</v>
      </c>
      <c r="CM152" s="21">
        <f>EXP(-LN(2)/2)*CM151+(1-EXP(-LN(2)/2))/(LN(2)/2)*CG152*CJ152*VLOOKUP('Données projet'!$B$12,Paramètres!$A$1:$I$89,3,0)*0.475*44/12</f>
        <v>1.6033562899127172E-17</v>
      </c>
      <c r="CN152" s="22">
        <f t="shared" si="120"/>
        <v>0.44591498820114261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4</v>
      </c>
      <c r="CT152" s="12">
        <f>IF('Données projet'!$A$140&gt;35,CT151+CS152-DB151,IF(A152&lt;'Données projet'!$A$140,$CQ$205^A152,IF(A152='Données projet'!$A$140,'Données projet'!$B$140,CT151+CS152-DB151)))</f>
        <v>463.00000000000011</v>
      </c>
      <c r="CU152" s="17">
        <f>CT152*VLOOKUP('Données projet'!$B$13,Paramètres!$A$1:$I$89,3,0)*VLOOKUP('Données projet'!$B$13,Paramètres!$A$1:$I$89,5,0)</f>
        <v>440.59080000000012</v>
      </c>
      <c r="CV152" s="13">
        <f t="shared" si="149"/>
        <v>99.958968491584699</v>
      </c>
      <c r="CW152" s="20">
        <f t="shared" si="121"/>
        <v>941.45751345617691</v>
      </c>
      <c r="CX152" s="59">
        <f t="shared" si="122"/>
        <v>1234.7908467895102</v>
      </c>
      <c r="CY152" s="59">
        <f ca="1">AVERAGE(OFFSET($CX$3,0,0,'Données projet'!$E$13+1,1))-AVERAGE(OFFSET($H$3,0,0,'Données projet'!$E$13+1,1))</f>
        <v>461.10546083340631</v>
      </c>
      <c r="CZ152" s="59">
        <f t="shared" si="150"/>
        <v>233.41883071412587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0.14549963868506741</v>
      </c>
      <c r="DH152" s="21">
        <f>EXP(-LN(2)/2)*DH151+(1-EXP(-LN(2)/2))/(LN(2)/2)*DB152*DE152*VLOOKUP('Données projet'!$B$13,Paramètres!$A$1:$I$89,3,0)*0.475*44/12</f>
        <v>9.6367820644706441E-18</v>
      </c>
      <c r="DI152" s="22">
        <f t="shared" si="123"/>
        <v>0.14549963868506741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-4.1500243241898714E-13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296.376932094327</v>
      </c>
      <c r="DU152" s="59">
        <f t="shared" si="152"/>
        <v>350.93658329210882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0.25570520166198574</v>
      </c>
      <c r="EB152" s="21">
        <f>EXP(-LN(2)/25)*EB151+(1-EXP(-LN(2)/25))/(LN(2)/25)*Calculateur!DW152*Calculateur!DY152*VLOOKUP('Données projet'!$B$14,Paramètres!$A$1:$I$89,3,0)*0.475*44/12</f>
        <v>0.6264579462860711</v>
      </c>
      <c r="EC152" s="21">
        <f>EXP(-LN(2)/2)*EC151+(1-EXP(-LN(2)/2))/(LN(2)/2)*DW152*DZ152*VLOOKUP('Données projet'!$B$14,Paramètres!$A$1:$I$89,3,0)*0.475*44/12</f>
        <v>3.0065293083691025E-17</v>
      </c>
      <c r="ED152" s="22">
        <f t="shared" si="126"/>
        <v>0.88216314794805684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-5.1159076974727213E-13</v>
      </c>
      <c r="EK152" s="17">
        <f>EJ152*VLOOKUP('Données projet'!$B$15,Paramètres!$A$1:$I$89,3,0)*VLOOKUP('Données projet'!$B$15,Paramètres!$A$1:$I$89,5,0)</f>
        <v>-3.3519427233841269E-13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231.03244099494077</v>
      </c>
      <c r="EP152" s="59">
        <f t="shared" si="154"/>
        <v>280.29723026390741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0.20653112441929616</v>
      </c>
      <c r="EW152" s="21">
        <f>EXP(-LN(2)/25)*EW151+(1-EXP(-LN(2)/25))/(LN(2)/25)*Calculateur!ER152*Calculateur!ET152*VLOOKUP('Données projet'!$B$15,Paramètres!$A$1:$I$89,3,0)*0.475*44/12</f>
        <v>0.50598526430797974</v>
      </c>
      <c r="EX152" s="21">
        <f>EXP(-LN(2)/2)*EX151+(1-EXP(-LN(2)/2))/(LN(2)/2)*ER152*EU152*VLOOKUP('Données projet'!$B$15,Paramètres!$A$1:$I$89,3,0)*0.475*44/12</f>
        <v>2.428350595221197E-17</v>
      </c>
      <c r="EY152" s="22">
        <f t="shared" si="129"/>
        <v>0.71251638872727585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-5.1431925385259092E-13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351.15781452544906</v>
      </c>
      <c r="T153" s="59">
        <f t="shared" si="142"/>
        <v>271.54361159160169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0.2236934886167026</v>
      </c>
      <c r="AA153" s="21">
        <f>EXP(-LN(2)/25)*AA152+(1-EXP(-LN(2)/25))/(LN(2)/25)*Calculateur!V153*Calculateur!X153*VLOOKUP('Données projet'!$B$9,Paramètres!$A$1:$I$89,3,0)*0.475*44/12</f>
        <v>0.40501734176236998</v>
      </c>
      <c r="AB153" s="21">
        <f>EXP(-LN(2)/2)*AB152+(1-EXP(-LN(2)/2))/(LN(2)/2)*V153*Y153*VLOOKUP('Données projet'!$B$9,Paramètres!$A$1:$I$89,3,0)*0.475*44/12</f>
        <v>1.8694539643838543E-17</v>
      </c>
      <c r="AC153" s="22">
        <f t="shared" si="111"/>
        <v>0.6287108303790726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467</v>
      </c>
      <c r="AG153" s="12">
        <f>VLOOKUP(A153,'Données projet'!$A$61:$I$81,9,0)</f>
        <v>4</v>
      </c>
      <c r="AH153" s="12">
        <f t="array" ref="AH153">INDEX(AG:AG,MIN(IF(ISNUMBER(AG153:AG349),ROW(AG153:AG349),"")))</f>
        <v>4</v>
      </c>
      <c r="AI153" s="13">
        <f>IF('Données projet'!$A$62&gt;35,AI152+AH153-AQ152,IF(A153&lt;'Données projet'!$A$62,$AF$205^A153,IF(A153='Données projet'!$A$62,'Données projet'!$B$62,AI152+AH153-AQ152)))</f>
        <v>467.00000000000011</v>
      </c>
      <c r="AJ153" s="13">
        <f>AI153*VLOOKUP('Données projet'!$B$10,Paramètres!$A$1:$I$89,3,0)*VLOOKUP('Données projet'!$B$10,Paramètres!$A$1:$I$89,5,0)</f>
        <v>400.68600000000015</v>
      </c>
      <c r="AK153" s="13">
        <f t="shared" si="143"/>
        <v>91.915727320789969</v>
      </c>
      <c r="AL153" s="20">
        <f t="shared" si="112"/>
        <v>857.94800841704284</v>
      </c>
      <c r="AM153" s="59">
        <f t="shared" si="113"/>
        <v>1151.2813417503762</v>
      </c>
      <c r="AN153" s="59">
        <f ca="1">AVERAGE(OFFSET($AM$3,0,0,'Données projet'!$E$10+1,1))-AVERAGE(OFFSET($H$3,0,0,'Données projet'!$E$10+1,1))</f>
        <v>405.59933429804329</v>
      </c>
      <c r="AO153" s="59">
        <f t="shared" si="144"/>
        <v>208.64922573363776</v>
      </c>
      <c r="AP153" s="15">
        <f>IF(ISNA(VLOOKUP(A153,'Données projet'!$A$61:$I$81,3,0)),0,VLOOKUP(A153,'Données projet'!$A$61:$I$81,3,0))</f>
        <v>13</v>
      </c>
      <c r="AQ153" s="15">
        <f>IF(ISNA(VLOOKUP(A153,'Données projet'!$A$61:$I$81,4,0)),0,VLOOKUP(A153,'Données projet'!$A$61:$I$81,4,0))</f>
        <v>467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0.15727546704194606</v>
      </c>
      <c r="AW153" s="21">
        <f>EXP(-LN(2)/2)*AW152+(1-EXP(-LN(2)/2))/(LN(2)/2)*AQ153*AT153*VLOOKUP('Données projet'!$B$10,Paramètres!$A$1:$I$89,3,0)*0.475*44/12</f>
        <v>6.1439814272659264E-18</v>
      </c>
      <c r="AX153" s="21">
        <f t="shared" si="114"/>
        <v>0.15727546704194606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-1.0995790944434703E-13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293.19327646293601</v>
      </c>
      <c r="BJ153" s="59">
        <f t="shared" si="146"/>
        <v>200.0769581869605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0.11918250878589598</v>
      </c>
      <c r="BR153" s="21">
        <f>EXP(-LN(2)/2)*BR152+(1-EXP(-LN(2)/2))/(LN(2)/2)*BL153*BO153*VLOOKUP('Données projet'!$B$11,Paramètres!$A$1:$I$89,3,0)*0.475*44/12</f>
        <v>5.738638236999549E-18</v>
      </c>
      <c r="BS153" s="22">
        <f t="shared" si="117"/>
        <v>0.11918250878589598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1.3301360013429075E-13</v>
      </c>
      <c r="CA153" s="13">
        <f t="shared" si="147"/>
        <v>1.9329766731057041E-12</v>
      </c>
      <c r="CB153" s="20">
        <f t="shared" si="118"/>
        <v>3.5982663925596575E-12</v>
      </c>
      <c r="CC153" s="59">
        <f t="shared" si="119"/>
        <v>293.3333333333369</v>
      </c>
      <c r="CD153" s="59">
        <f ca="1">AVERAGE(OFFSET($CC$3,0,0,'Données projet'!$E$12+1,1))-AVERAGE(OFFSET($H$3,0,0,'Données projet'!$E$12+1,1))</f>
        <v>295.95249585728561</v>
      </c>
      <c r="CE153" s="59">
        <f t="shared" si="148"/>
        <v>306.85862495052709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0.13429873854758936</v>
      </c>
      <c r="CL153" s="21">
        <f>EXP(-LN(2)/25)*CL152+(1-EXP(-LN(2)/25))/(LN(2)/25)*Calculateur!CG153*Calculateur!CI153*VLOOKUP('Données projet'!$B$12,Paramètres!$A$1:$I$89,3,0)*0.475*44/12</f>
        <v>0.30048235003721097</v>
      </c>
      <c r="CM153" s="21">
        <f>EXP(-LN(2)/2)*CM152+(1-EXP(-LN(2)/2))/(LN(2)/2)*CG153*CJ153*VLOOKUP('Données projet'!$B$12,Paramètres!$A$1:$I$89,3,0)*0.475*44/12</f>
        <v>1.1337441052553864E-17</v>
      </c>
      <c r="CN153" s="22">
        <f t="shared" si="120"/>
        <v>0.43478108858480036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467</v>
      </c>
      <c r="CR153" s="12">
        <f>VLOOKUP(A153,'Données projet'!$A$139:$I$159,9,0)</f>
        <v>4</v>
      </c>
      <c r="CS153" s="12">
        <f t="array" ref="CS153">INDEX(CR:CR,MIN(IF(ISNUMBER(CR153:CR349),ROW(CR153:CR349),"")))</f>
        <v>4</v>
      </c>
      <c r="CT153" s="12">
        <f>IF('Données projet'!$A$140&gt;35,CT152+CS153-DB152,IF(A153&lt;'Données projet'!$A$140,$CQ$205^A153,IF(A153='Données projet'!$A$140,'Données projet'!$B$140,CT152+CS153-DB152)))</f>
        <v>467.00000000000011</v>
      </c>
      <c r="CU153" s="17">
        <f>CT153*VLOOKUP('Données projet'!$B$13,Paramètres!$A$1:$I$89,3,0)*VLOOKUP('Données projet'!$B$13,Paramètres!$A$1:$I$89,5,0)</f>
        <v>444.39720000000011</v>
      </c>
      <c r="CV153" s="13">
        <f t="shared" si="149"/>
        <v>100.72164215742576</v>
      </c>
      <c r="CW153" s="20">
        <f t="shared" si="121"/>
        <v>949.41531675751673</v>
      </c>
      <c r="CX153" s="59">
        <f t="shared" si="122"/>
        <v>1242.7486500908501</v>
      </c>
      <c r="CY153" s="59">
        <f ca="1">AVERAGE(OFFSET($CX$3,0,0,'Données projet'!$E$13+1,1))-AVERAGE(OFFSET($H$3,0,0,'Données projet'!$E$13+1,1))</f>
        <v>461.10546083340631</v>
      </c>
      <c r="CZ153" s="59">
        <f t="shared" si="150"/>
        <v>233.41883071412587</v>
      </c>
      <c r="DA153" s="15">
        <f>IF(ISNA(VLOOKUP(A153,'Données projet'!$A$139:$I$159,3,0)),0,VLOOKUP(A153,'Données projet'!$A$139:$I$159,3,0))</f>
        <v>13</v>
      </c>
      <c r="DB153" s="15">
        <f>IF(ISNA(VLOOKUP(A153,'Données projet'!$A$139:$I$159,4,0)),0,VLOOKUP(A153,'Données projet'!$A$139:$I$159,4,0))</f>
        <v>467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0.14152094341373078</v>
      </c>
      <c r="DH153" s="21">
        <f>EXP(-LN(2)/2)*DH152+(1-EXP(-LN(2)/2))/(LN(2)/2)*DB153*DE153*VLOOKUP('Données projet'!$B$13,Paramètres!$A$1:$I$89,3,0)*0.475*44/12</f>
        <v>6.8142339466040898E-18</v>
      </c>
      <c r="DI153" s="22">
        <f t="shared" si="123"/>
        <v>0.14152094341373078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-4.1500243241898714E-13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296.376932094327</v>
      </c>
      <c r="DU153" s="59">
        <f t="shared" si="152"/>
        <v>350.93658329210882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0.25069097862216699</v>
      </c>
      <c r="EB153" s="21">
        <f>EXP(-LN(2)/25)*EB152+(1-EXP(-LN(2)/25))/(LN(2)/25)*Calculateur!DW153*Calculateur!DY153*VLOOKUP('Données projet'!$B$14,Paramètres!$A$1:$I$89,3,0)*0.475*44/12</f>
        <v>0.60932742080088687</v>
      </c>
      <c r="EC153" s="21">
        <f>EXP(-LN(2)/2)*EC152+(1-EXP(-LN(2)/2))/(LN(2)/2)*DW153*DZ153*VLOOKUP('Données projet'!$B$14,Paramètres!$A$1:$I$89,3,0)*0.475*44/12</f>
        <v>2.1259372617838931E-17</v>
      </c>
      <c r="ED153" s="22">
        <f t="shared" si="126"/>
        <v>0.86001839942305391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-5.1159076974727213E-13</v>
      </c>
      <c r="EK153" s="17">
        <f>EJ153*VLOOKUP('Données projet'!$B$15,Paramètres!$A$1:$I$89,3,0)*VLOOKUP('Données projet'!$B$15,Paramètres!$A$1:$I$89,5,0)</f>
        <v>-3.3519427233841269E-13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231.03244099494077</v>
      </c>
      <c r="EP153" s="59">
        <f t="shared" si="154"/>
        <v>280.29723026390741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0.20248117504098101</v>
      </c>
      <c r="EW153" s="21">
        <f>EXP(-LN(2)/25)*EW152+(1-EXP(-LN(2)/25))/(LN(2)/25)*Calculateur!ER153*Calculateur!ET153*VLOOKUP('Données projet'!$B$15,Paramètres!$A$1:$I$89,3,0)*0.475*44/12</f>
        <v>0.49214907064686941</v>
      </c>
      <c r="EX153" s="21">
        <f>EXP(-LN(2)/2)*EX152+(1-EXP(-LN(2)/2))/(LN(2)/2)*ER153*EU153*VLOOKUP('Données projet'!$B$15,Paramètres!$A$1:$I$89,3,0)*0.475*44/12</f>
        <v>1.7171031729792974E-17</v>
      </c>
      <c r="EY153" s="22">
        <f t="shared" si="129"/>
        <v>0.69463024568785037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-5.1431925385259092E-13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351.15781452544906</v>
      </c>
      <c r="T154" s="59">
        <f t="shared" si="142"/>
        <v>271.54361159160169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0.21930699574448484</v>
      </c>
      <c r="AA154" s="21">
        <f>EXP(-LN(2)/25)*AA153+(1-EXP(-LN(2)/25))/(LN(2)/25)*Calculateur!V154*Calculateur!X154*VLOOKUP('Données projet'!$B$9,Paramètres!$A$1:$I$89,3,0)*0.475*44/12</f>
        <v>0.39394212125294165</v>
      </c>
      <c r="AB154" s="21">
        <f>EXP(-LN(2)/2)*AB153+(1-EXP(-LN(2)/2))/(LN(2)/2)*V154*Y154*VLOOKUP('Données projet'!$B$9,Paramètres!$A$1:$I$89,3,0)*0.475*44/12</f>
        <v>1.3219035753318979E-17</v>
      </c>
      <c r="AC154" s="22">
        <f t="shared" ref="AC154:AC203" si="163">SUM(Z154:AB154)</f>
        <v>0.61324911699742646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9.7543306765146564E-14</v>
      </c>
      <c r="AK154" s="13">
        <f t="shared" ref="AK154:AK203" si="164">EXP(-1.0587+0.8836*LN(AJ154)+0.284)</f>
        <v>1.4696264278629426E-12</v>
      </c>
      <c r="AL154" s="20">
        <f t="shared" ref="AL154:AL203" si="165">(AJ154+AK154)*0.475*44/12</f>
        <v>2.7294872878105889E-12</v>
      </c>
      <c r="AM154" s="59">
        <f t="shared" si="113"/>
        <v>293.33333333333604</v>
      </c>
      <c r="AN154" s="59">
        <f ca="1">AVERAGE(OFFSET($AM$3,0,0,'Données projet'!$E$10+1,1))-AVERAGE(OFFSET($H$3,0,0,'Données projet'!$E$10+1,1))</f>
        <v>405.59933429804329</v>
      </c>
      <c r="AO154" s="59">
        <f t="shared" si="144"/>
        <v>208.64922573363776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0.15297476112492669</v>
      </c>
      <c r="AW154" s="21">
        <f>EXP(-LN(2)/2)*AW153+(1-EXP(-LN(2)/2))/(LN(2)/2)*AQ154*AT154*VLOOKUP('Données projet'!$B$10,Paramètres!$A$1:$I$89,3,0)*0.475*44/12</f>
        <v>4.3444509307039393E-18</v>
      </c>
      <c r="AX154" s="21">
        <f t="shared" ref="AX154:AX203" si="166">SUM(AU154:AW154)</f>
        <v>0.15297476112492669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-1.0995790944434703E-13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293.19327646293601</v>
      </c>
      <c r="BJ154" s="59">
        <f t="shared" si="146"/>
        <v>200.0769581869605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0.11592345681560991</v>
      </c>
      <c r="BR154" s="21">
        <f>EXP(-LN(2)/2)*BR153+(1-EXP(-LN(2)/2))/(LN(2)/2)*BL154*BO154*VLOOKUP('Données projet'!$B$11,Paramètres!$A$1:$I$89,3,0)*0.475*44/12</f>
        <v>4.0578300121587949E-18</v>
      </c>
      <c r="BS154" s="22">
        <f t="shared" ref="BS154:BS203" si="169">SUM(BP154:BR154)</f>
        <v>0.11592345681560991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1.3301360013429075E-13</v>
      </c>
      <c r="CA154" s="13">
        <f t="shared" ref="CA154:CA203" si="170">EXP(-1.0587+0.8836*LN(BZ154)+0.284)</f>
        <v>1.9329766731057041E-12</v>
      </c>
      <c r="CB154" s="20">
        <f t="shared" ref="CB154:CB203" si="171">(BZ154+CA154)*0.475*44/12</f>
        <v>3.5982663925596575E-12</v>
      </c>
      <c r="CC154" s="59">
        <f t="shared" si="119"/>
        <v>293.3333333333369</v>
      </c>
      <c r="CD154" s="59">
        <f ca="1">AVERAGE(OFFSET($CC$3,0,0,'Données projet'!$E$12+1,1))-AVERAGE(OFFSET($H$3,0,0,'Données projet'!$E$12+1,1))</f>
        <v>295.95249585728561</v>
      </c>
      <c r="CE154" s="59">
        <f t="shared" si="148"/>
        <v>306.85862495052709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0.1316652221988133</v>
      </c>
      <c r="CL154" s="21">
        <f>EXP(-LN(2)/25)*CL153+(1-EXP(-LN(2)/25))/(LN(2)/25)*Calculateur!CG154*Calculateur!CI154*VLOOKUP('Données projet'!$B$12,Paramètres!$A$1:$I$89,3,0)*0.475*44/12</f>
        <v>0.2922656443737634</v>
      </c>
      <c r="CM154" s="21">
        <f>EXP(-LN(2)/2)*CM153+(1-EXP(-LN(2)/2))/(LN(2)/2)*CG154*CJ154*VLOOKUP('Données projet'!$B$12,Paramètres!$A$1:$I$89,3,0)*0.475*44/12</f>
        <v>8.0167814495635858E-18</v>
      </c>
      <c r="CN154" s="22">
        <f t="shared" ref="CN154:CN203" si="172">SUM(CK154:CM154)</f>
        <v>0.42393086657257673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1.0818439477588981E-13</v>
      </c>
      <c r="CV154" s="13">
        <f t="shared" ref="CV154:CV203" si="173">EXP(-1.0587+0.8836*LN(CU154)+0.284)</f>
        <v>1.6104228458716316E-12</v>
      </c>
      <c r="CW154" s="20">
        <f t="shared" ref="CW154:CW203" si="174">(CU154+CV154)*0.475*44/12</f>
        <v>2.9932409441277661E-12</v>
      </c>
      <c r="CX154" s="59">
        <f t="shared" si="122"/>
        <v>293.33333333333633</v>
      </c>
      <c r="CY154" s="59">
        <f ca="1">AVERAGE(OFFSET($CX$3,0,0,'Données projet'!$E$13+1,1))-AVERAGE(OFFSET($H$3,0,0,'Données projet'!$E$13+1,1))</f>
        <v>461.10546083340631</v>
      </c>
      <c r="CZ154" s="59">
        <f t="shared" si="150"/>
        <v>233.41883071412587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0.13765104577381934</v>
      </c>
      <c r="DH154" s="21">
        <f>EXP(-LN(2)/2)*DH153+(1-EXP(-LN(2)/2))/(LN(2)/2)*DB154*DE154*VLOOKUP('Données projet'!$B$13,Paramètres!$A$1:$I$89,3,0)*0.475*44/12</f>
        <v>4.8183910322353228E-18</v>
      </c>
      <c r="DI154" s="22">
        <f t="shared" ref="DI154:DI203" si="175">SUM(DF154:DH154)</f>
        <v>0.13765104577381934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-4.1500243241898714E-13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296.376932094327</v>
      </c>
      <c r="DU154" s="59">
        <f t="shared" si="152"/>
        <v>350.93658329210882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0.24577508143778501</v>
      </c>
      <c r="EB154" s="21">
        <f>EXP(-LN(2)/25)*EB153+(1-EXP(-LN(2)/25))/(LN(2)/25)*Calculateur!DW154*Calculateur!DY154*VLOOKUP('Données projet'!$B$14,Paramètres!$A$1:$I$89,3,0)*0.475*44/12</f>
        <v>0.59266533043595016</v>
      </c>
      <c r="EC154" s="21">
        <f>EXP(-LN(2)/2)*EC153+(1-EXP(-LN(2)/2))/(LN(2)/2)*DW154*DZ154*VLOOKUP('Données projet'!$B$14,Paramètres!$A$1:$I$89,3,0)*0.475*44/12</f>
        <v>1.5032646541845513E-17</v>
      </c>
      <c r="ED154" s="22">
        <f t="shared" ref="ED154:ED203" si="178">SUM(EA154:EC154)</f>
        <v>0.83844041187373519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-5.1159076974727213E-13</v>
      </c>
      <c r="EK154" s="17">
        <f>EJ154*VLOOKUP('Données projet'!$B$15,Paramètres!$A$1:$I$89,3,0)*VLOOKUP('Données projet'!$B$15,Paramètres!$A$1:$I$89,5,0)</f>
        <v>-3.3519427233841269E-13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231.03244099494077</v>
      </c>
      <c r="EP154" s="59">
        <f t="shared" si="154"/>
        <v>280.29723026390741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0.19851064269974941</v>
      </c>
      <c r="EW154" s="21">
        <f>EXP(-LN(2)/25)*EW153+(1-EXP(-LN(2)/25))/(LN(2)/25)*Calculateur!ER154*Calculateur!ET154*VLOOKUP('Données projet'!$B$15,Paramètres!$A$1:$I$89,3,0)*0.475*44/12</f>
        <v>0.47869122842903594</v>
      </c>
      <c r="EX154" s="21">
        <f>EXP(-LN(2)/2)*EX153+(1-EXP(-LN(2)/2))/(LN(2)/2)*ER154*EU154*VLOOKUP('Données projet'!$B$15,Paramètres!$A$1:$I$89,3,0)*0.475*44/12</f>
        <v>1.2141752976105985E-17</v>
      </c>
      <c r="EY154" s="22">
        <f t="shared" ref="EY154:EY203" si="181">SUM(EV154:EX154)</f>
        <v>0.67720187112878538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-5.1431925385259092E-13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351.15781452544906</v>
      </c>
      <c r="T155" s="59">
        <f t="shared" si="142"/>
        <v>271.54361159160169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0.2150065193219948</v>
      </c>
      <c r="AA155" s="21">
        <f>EXP(-LN(2)/25)*AA154+(1-EXP(-LN(2)/25))/(LN(2)/25)*Calculateur!V155*Calculateur!X155*VLOOKUP('Données projet'!$B$9,Paramètres!$A$1:$I$89,3,0)*0.475*44/12</f>
        <v>0.38316975323076419</v>
      </c>
      <c r="AB155" s="21">
        <f>EXP(-LN(2)/2)*AB154+(1-EXP(-LN(2)/2))/(LN(2)/2)*V155*Y155*VLOOKUP('Données projet'!$B$9,Paramètres!$A$1:$I$89,3,0)*0.475*44/12</f>
        <v>9.3472698219192717E-18</v>
      </c>
      <c r="AC155" s="22">
        <f t="shared" si="163"/>
        <v>0.59817627255275896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9.7543306765146564E-14</v>
      </c>
      <c r="AK155" s="13">
        <f t="shared" si="164"/>
        <v>1.4696264278629426E-12</v>
      </c>
      <c r="AL155" s="20">
        <f t="shared" si="165"/>
        <v>2.7294872878105889E-12</v>
      </c>
      <c r="AM155" s="59">
        <f t="shared" si="113"/>
        <v>293.33333333333604</v>
      </c>
      <c r="AN155" s="59">
        <f ca="1">AVERAGE(OFFSET($AM$3,0,0,'Données projet'!$E$10+1,1))-AVERAGE(OFFSET($H$3,0,0,'Données projet'!$E$10+1,1))</f>
        <v>405.59933429804329</v>
      </c>
      <c r="AO155" s="59">
        <f t="shared" si="144"/>
        <v>208.64922573363776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0.1487916582373725</v>
      </c>
      <c r="AW155" s="21">
        <f>EXP(-LN(2)/2)*AW154+(1-EXP(-LN(2)/2))/(LN(2)/2)*AQ155*AT155*VLOOKUP('Données projet'!$B$10,Paramètres!$A$1:$I$89,3,0)*0.475*44/12</f>
        <v>3.0719907136329632E-18</v>
      </c>
      <c r="AX155" s="21">
        <f t="shared" si="166"/>
        <v>0.1487916582373725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-1.0995790944434703E-13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293.19327646293601</v>
      </c>
      <c r="BJ155" s="59">
        <f t="shared" si="146"/>
        <v>200.0769581869605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0.1127535237928374</v>
      </c>
      <c r="BR155" s="21">
        <f>EXP(-LN(2)/2)*BR154+(1-EXP(-LN(2)/2))/(LN(2)/2)*BL155*BO155*VLOOKUP('Données projet'!$B$11,Paramètres!$A$1:$I$89,3,0)*0.475*44/12</f>
        <v>2.8693191184997745E-18</v>
      </c>
      <c r="BS155" s="22">
        <f t="shared" si="169"/>
        <v>0.1127535237928374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1.3301360013429075E-13</v>
      </c>
      <c r="CA155" s="13">
        <f t="shared" si="170"/>
        <v>1.9329766731057041E-12</v>
      </c>
      <c r="CB155" s="20">
        <f t="shared" si="171"/>
        <v>3.5982663925596575E-12</v>
      </c>
      <c r="CC155" s="59">
        <f t="shared" si="119"/>
        <v>293.3333333333369</v>
      </c>
      <c r="CD155" s="59">
        <f ca="1">AVERAGE(OFFSET($CC$3,0,0,'Données projet'!$E$12+1,1))-AVERAGE(OFFSET($H$3,0,0,'Données projet'!$E$12+1,1))</f>
        <v>295.95249585728561</v>
      </c>
      <c r="CE155" s="59">
        <f t="shared" si="148"/>
        <v>306.85862495052709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0.12908334749935038</v>
      </c>
      <c r="CL155" s="21">
        <f>EXP(-LN(2)/25)*CL154+(1-EXP(-LN(2)/25))/(LN(2)/25)*Calculateur!CG155*Calculateur!CI155*VLOOKUP('Données projet'!$B$12,Paramètres!$A$1:$I$89,3,0)*0.475*44/12</f>
        <v>0.28427362495878056</v>
      </c>
      <c r="CM155" s="21">
        <f>EXP(-LN(2)/2)*CM154+(1-EXP(-LN(2)/2))/(LN(2)/2)*CG155*CJ155*VLOOKUP('Données projet'!$B$12,Paramètres!$A$1:$I$89,3,0)*0.475*44/12</f>
        <v>5.6687205262769318E-18</v>
      </c>
      <c r="CN155" s="22">
        <f t="shared" si="172"/>
        <v>0.41335697245813097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1.0818439477588981E-13</v>
      </c>
      <c r="CV155" s="13">
        <f t="shared" si="173"/>
        <v>1.6104228458716316E-12</v>
      </c>
      <c r="CW155" s="20">
        <f t="shared" si="174"/>
        <v>2.9932409441277661E-12</v>
      </c>
      <c r="CX155" s="59">
        <f t="shared" si="122"/>
        <v>293.33333333333633</v>
      </c>
      <c r="CY155" s="59">
        <f ca="1">AVERAGE(OFFSET($CX$3,0,0,'Données projet'!$E$13+1,1))-AVERAGE(OFFSET($H$3,0,0,'Données projet'!$E$13+1,1))</f>
        <v>461.10546083340631</v>
      </c>
      <c r="CZ155" s="59">
        <f t="shared" si="150"/>
        <v>233.41883071412587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0.13388697068838035</v>
      </c>
      <c r="DH155" s="21">
        <f>EXP(-LN(2)/2)*DH154+(1-EXP(-LN(2)/2))/(LN(2)/2)*DB155*DE155*VLOOKUP('Données projet'!$B$13,Paramètres!$A$1:$I$89,3,0)*0.475*44/12</f>
        <v>3.4071169733020457E-18</v>
      </c>
      <c r="DI155" s="22">
        <f t="shared" si="175"/>
        <v>0.13388697068838035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-4.1500243241898714E-13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296.376932094327</v>
      </c>
      <c r="DU155" s="59">
        <f t="shared" si="152"/>
        <v>350.93658329210882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0.24095558199878753</v>
      </c>
      <c r="EB155" s="21">
        <f>EXP(-LN(2)/25)*EB154+(1-EXP(-LN(2)/25))/(LN(2)/25)*Calculateur!DW155*Calculateur!DY155*VLOOKUP('Données projet'!$B$14,Paramètres!$A$1:$I$89,3,0)*0.475*44/12</f>
        <v>0.57645886580826389</v>
      </c>
      <c r="EC155" s="21">
        <f>EXP(-LN(2)/2)*EC154+(1-EXP(-LN(2)/2))/(LN(2)/2)*DW155*DZ155*VLOOKUP('Données projet'!$B$14,Paramètres!$A$1:$I$89,3,0)*0.475*44/12</f>
        <v>1.0629686308919465E-17</v>
      </c>
      <c r="ED155" s="22">
        <f t="shared" si="178"/>
        <v>0.81741444780705141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-5.1159076974727213E-13</v>
      </c>
      <c r="EK155" s="17">
        <f>EJ155*VLOOKUP('Données projet'!$B$15,Paramètres!$A$1:$I$89,3,0)*VLOOKUP('Données projet'!$B$15,Paramètres!$A$1:$I$89,5,0)</f>
        <v>-3.3519427233841269E-13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231.03244099494077</v>
      </c>
      <c r="EP155" s="59">
        <f t="shared" si="154"/>
        <v>280.29723026390741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0.19461797007594375</v>
      </c>
      <c r="EW155" s="21">
        <f>EXP(-LN(2)/25)*EW154+(1-EXP(-LN(2)/25))/(LN(2)/25)*Calculateur!ER155*Calculateur!ET155*VLOOKUP('Données projet'!$B$15,Paramètres!$A$1:$I$89,3,0)*0.475*44/12</f>
        <v>0.46560139161436631</v>
      </c>
      <c r="EX155" s="21">
        <f>EXP(-LN(2)/2)*EX154+(1-EXP(-LN(2)/2))/(LN(2)/2)*ER155*EU155*VLOOKUP('Données projet'!$B$15,Paramètres!$A$1:$I$89,3,0)*0.475*44/12</f>
        <v>8.5855158648964868E-18</v>
      </c>
      <c r="EY155" s="22">
        <f t="shared" si="181"/>
        <v>0.66021936169031004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-5.1431925385259092E-13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351.15781452544906</v>
      </c>
      <c r="T156" s="59">
        <f t="shared" si="142"/>
        <v>271.54361159160169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0.21079037261911818</v>
      </c>
      <c r="AA156" s="21">
        <f>EXP(-LN(2)/25)*AA155+(1-EXP(-LN(2)/25))/(LN(2)/25)*Calculateur!V156*Calculateur!X156*VLOOKUP('Données projet'!$B$9,Paramètres!$A$1:$I$89,3,0)*0.475*44/12</f>
        <v>0.37269195617864737</v>
      </c>
      <c r="AB156" s="21">
        <f>EXP(-LN(2)/2)*AB155+(1-EXP(-LN(2)/2))/(LN(2)/2)*V156*Y156*VLOOKUP('Données projet'!$B$9,Paramètres!$A$1:$I$89,3,0)*0.475*44/12</f>
        <v>6.6095178766594896E-18</v>
      </c>
      <c r="AC156" s="22">
        <f t="shared" si="163"/>
        <v>0.58348232879776551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9.7543306765146564E-14</v>
      </c>
      <c r="AK156" s="13">
        <f t="shared" si="164"/>
        <v>1.4696264278629426E-12</v>
      </c>
      <c r="AL156" s="20">
        <f t="shared" si="165"/>
        <v>2.7294872878105889E-12</v>
      </c>
      <c r="AM156" s="59">
        <f t="shared" si="113"/>
        <v>293.33333333333604</v>
      </c>
      <c r="AN156" s="59">
        <f ca="1">AVERAGE(OFFSET($AM$3,0,0,'Données projet'!$E$10+1,1))-AVERAGE(OFFSET($H$3,0,0,'Données projet'!$E$10+1,1))</f>
        <v>405.59933429804329</v>
      </c>
      <c r="AO156" s="59">
        <f t="shared" si="144"/>
        <v>208.64922573363776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0.14472294251825832</v>
      </c>
      <c r="AW156" s="21">
        <f>EXP(-LN(2)/2)*AW155+(1-EXP(-LN(2)/2))/(LN(2)/2)*AQ156*AT156*VLOOKUP('Données projet'!$B$10,Paramètres!$A$1:$I$89,3,0)*0.475*44/12</f>
        <v>2.1722254653519696E-18</v>
      </c>
      <c r="AX156" s="21">
        <f t="shared" si="166"/>
        <v>0.14472294251825832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-1.0995790944434703E-13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293.19327646293601</v>
      </c>
      <c r="BJ156" s="59">
        <f t="shared" si="146"/>
        <v>200.0769581869605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0.10967027275527215</v>
      </c>
      <c r="BR156" s="21">
        <f>EXP(-LN(2)/2)*BR155+(1-EXP(-LN(2)/2))/(LN(2)/2)*BL156*BO156*VLOOKUP('Données projet'!$B$11,Paramètres!$A$1:$I$89,3,0)*0.475*44/12</f>
        <v>2.0289150060793974E-18</v>
      </c>
      <c r="BS156" s="22">
        <f t="shared" si="169"/>
        <v>0.10967027275527215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1.3301360013429075E-13</v>
      </c>
      <c r="CA156" s="13">
        <f t="shared" si="170"/>
        <v>1.9329766731057041E-12</v>
      </c>
      <c r="CB156" s="20">
        <f t="shared" si="171"/>
        <v>3.5982663925596575E-12</v>
      </c>
      <c r="CC156" s="59">
        <f t="shared" si="119"/>
        <v>293.3333333333369</v>
      </c>
      <c r="CD156" s="59">
        <f ca="1">AVERAGE(OFFSET($CC$3,0,0,'Données projet'!$E$12+1,1))-AVERAGE(OFFSET($H$3,0,0,'Données projet'!$E$12+1,1))</f>
        <v>295.95249585728561</v>
      </c>
      <c r="CE156" s="59">
        <f t="shared" si="148"/>
        <v>306.85862495052709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0.12655210178795584</v>
      </c>
      <c r="CL156" s="21">
        <f>EXP(-LN(2)/25)*CL155+(1-EXP(-LN(2)/25))/(LN(2)/25)*Calculateur!CG156*Calculateur!CI156*VLOOKUP('Données projet'!$B$12,Paramètres!$A$1:$I$89,3,0)*0.475*44/12</f>
        <v>0.27650014773498249</v>
      </c>
      <c r="CM156" s="21">
        <f>EXP(-LN(2)/2)*CM155+(1-EXP(-LN(2)/2))/(LN(2)/2)*CG156*CJ156*VLOOKUP('Données projet'!$B$12,Paramètres!$A$1:$I$89,3,0)*0.475*44/12</f>
        <v>4.0083907247817929E-18</v>
      </c>
      <c r="CN156" s="22">
        <f t="shared" si="172"/>
        <v>0.40305224952293833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1.0818439477588981E-13</v>
      </c>
      <c r="CV156" s="13">
        <f t="shared" si="173"/>
        <v>1.6104228458716316E-12</v>
      </c>
      <c r="CW156" s="20">
        <f t="shared" si="174"/>
        <v>2.9932409441277661E-12</v>
      </c>
      <c r="CX156" s="59">
        <f t="shared" si="122"/>
        <v>293.33333333333633</v>
      </c>
      <c r="CY156" s="59">
        <f ca="1">AVERAGE(OFFSET($CX$3,0,0,'Données projet'!$E$13+1,1))-AVERAGE(OFFSET($H$3,0,0,'Données projet'!$E$13+1,1))</f>
        <v>461.10546083340631</v>
      </c>
      <c r="CZ156" s="59">
        <f t="shared" si="150"/>
        <v>233.41883071412587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0.1302258244340968</v>
      </c>
      <c r="DH156" s="21">
        <f>EXP(-LN(2)/2)*DH155+(1-EXP(-LN(2)/2))/(LN(2)/2)*DB156*DE156*VLOOKUP('Données projet'!$B$13,Paramètres!$A$1:$I$89,3,0)*0.475*44/12</f>
        <v>2.4091955161176618E-18</v>
      </c>
      <c r="DI156" s="22">
        <f t="shared" si="175"/>
        <v>0.1302258244340968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-4.1500243241898714E-13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296.376932094327</v>
      </c>
      <c r="DU156" s="59">
        <f t="shared" si="152"/>
        <v>350.93658329210882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0.23623059000418439</v>
      </c>
      <c r="EB156" s="21">
        <f>EXP(-LN(2)/25)*EB155+(1-EXP(-LN(2)/25))/(LN(2)/25)*Calculateur!DW156*Calculateur!DY156*VLOOKUP('Données projet'!$B$14,Paramètres!$A$1:$I$89,3,0)*0.475*44/12</f>
        <v>0.56069556780808272</v>
      </c>
      <c r="EC156" s="21">
        <f>EXP(-LN(2)/2)*EC155+(1-EXP(-LN(2)/2))/(LN(2)/2)*DW156*DZ156*VLOOKUP('Données projet'!$B$14,Paramètres!$A$1:$I$89,3,0)*0.475*44/12</f>
        <v>7.5163232709227564E-18</v>
      </c>
      <c r="ED156" s="22">
        <f t="shared" si="178"/>
        <v>0.79692615781226706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-5.1159076974727213E-13</v>
      </c>
      <c r="EK156" s="17">
        <f>EJ156*VLOOKUP('Données projet'!$B$15,Paramètres!$A$1:$I$89,3,0)*VLOOKUP('Données projet'!$B$15,Paramètres!$A$1:$I$89,5,0)</f>
        <v>-3.3519427233841269E-13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231.03244099494077</v>
      </c>
      <c r="EP156" s="59">
        <f t="shared" si="154"/>
        <v>280.29723026390741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0.19080163038799508</v>
      </c>
      <c r="EW156" s="21">
        <f>EXP(-LN(2)/25)*EW155+(1-EXP(-LN(2)/25))/(LN(2)/25)*Calculateur!ER156*Calculateur!ET156*VLOOKUP('Données projet'!$B$15,Paramètres!$A$1:$I$89,3,0)*0.475*44/12</f>
        <v>0.45286949707575841</v>
      </c>
      <c r="EX156" s="21">
        <f>EXP(-LN(2)/2)*EX155+(1-EXP(-LN(2)/2))/(LN(2)/2)*ER156*EU156*VLOOKUP('Données projet'!$B$15,Paramètres!$A$1:$I$89,3,0)*0.475*44/12</f>
        <v>6.0708764880529925E-18</v>
      </c>
      <c r="EY156" s="22">
        <f t="shared" si="181"/>
        <v>0.64367112746375343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-5.1431925385259092E-13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351.15781452544906</v>
      </c>
      <c r="T157" s="59">
        <f t="shared" si="142"/>
        <v>271.54361159160169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0.20665690198148939</v>
      </c>
      <c r="AA157" s="21">
        <f>EXP(-LN(2)/25)*AA156+(1-EXP(-LN(2)/25))/(LN(2)/25)*Calculateur!V157*Calculateur!X157*VLOOKUP('Données projet'!$B$9,Paramètres!$A$1:$I$89,3,0)*0.475*44/12</f>
        <v>0.3625006750379241</v>
      </c>
      <c r="AB157" s="21">
        <f>EXP(-LN(2)/2)*AB156+(1-EXP(-LN(2)/2))/(LN(2)/2)*V157*Y157*VLOOKUP('Données projet'!$B$9,Paramètres!$A$1:$I$89,3,0)*0.475*44/12</f>
        <v>4.6736349109596358E-18</v>
      </c>
      <c r="AC157" s="22">
        <f t="shared" si="163"/>
        <v>0.5691575770194135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9.7543306765146564E-14</v>
      </c>
      <c r="AK157" s="13">
        <f t="shared" si="164"/>
        <v>1.4696264278629426E-12</v>
      </c>
      <c r="AL157" s="20">
        <f t="shared" si="165"/>
        <v>2.7294872878105889E-12</v>
      </c>
      <c r="AM157" s="59">
        <f t="shared" si="113"/>
        <v>293.33333333333604</v>
      </c>
      <c r="AN157" s="59">
        <f ca="1">AVERAGE(OFFSET($AM$3,0,0,'Données projet'!$E$10+1,1))-AVERAGE(OFFSET($H$3,0,0,'Données projet'!$E$10+1,1))</f>
        <v>405.59933429804329</v>
      </c>
      <c r="AO157" s="59">
        <f t="shared" si="144"/>
        <v>208.64922573363776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0.14076548604444777</v>
      </c>
      <c r="AW157" s="21">
        <f>EXP(-LN(2)/2)*AW156+(1-EXP(-LN(2)/2))/(LN(2)/2)*AQ157*AT157*VLOOKUP('Données projet'!$B$10,Paramètres!$A$1:$I$89,3,0)*0.475*44/12</f>
        <v>1.5359953568164816E-18</v>
      </c>
      <c r="AX157" s="21">
        <f t="shared" si="166"/>
        <v>0.14076548604444777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-1.0995790944434703E-13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293.19327646293601</v>
      </c>
      <c r="BJ157" s="59">
        <f t="shared" si="146"/>
        <v>200.0769581869605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0.10667133337947024</v>
      </c>
      <c r="BR157" s="21">
        <f>EXP(-LN(2)/2)*BR156+(1-EXP(-LN(2)/2))/(LN(2)/2)*BL157*BO157*VLOOKUP('Données projet'!$B$11,Paramètres!$A$1:$I$89,3,0)*0.475*44/12</f>
        <v>1.4346595592498873E-18</v>
      </c>
      <c r="BS157" s="22">
        <f t="shared" si="169"/>
        <v>0.10667133337947024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1.3301360013429075E-13</v>
      </c>
      <c r="CA157" s="13">
        <f t="shared" si="170"/>
        <v>1.9329766731057041E-12</v>
      </c>
      <c r="CB157" s="20">
        <f t="shared" si="171"/>
        <v>3.5982663925596575E-12</v>
      </c>
      <c r="CC157" s="59">
        <f t="shared" si="119"/>
        <v>293.3333333333369</v>
      </c>
      <c r="CD157" s="59">
        <f ca="1">AVERAGE(OFFSET($CC$3,0,0,'Données projet'!$E$12+1,1))-AVERAGE(OFFSET($H$3,0,0,'Données projet'!$E$12+1,1))</f>
        <v>295.95249585728561</v>
      </c>
      <c r="CE157" s="59">
        <f t="shared" si="148"/>
        <v>306.85862495052709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0.12407049226105432</v>
      </c>
      <c r="CL157" s="21">
        <f>EXP(-LN(2)/25)*CL156+(1-EXP(-LN(2)/25))/(LN(2)/25)*Calculateur!CG157*Calculateur!CI157*VLOOKUP('Données projet'!$B$12,Paramètres!$A$1:$I$89,3,0)*0.475*44/12</f>
        <v>0.26893923665465858</v>
      </c>
      <c r="CM157" s="21">
        <f>EXP(-LN(2)/2)*CM156+(1-EXP(-LN(2)/2))/(LN(2)/2)*CG157*CJ157*VLOOKUP('Données projet'!$B$12,Paramètres!$A$1:$I$89,3,0)*0.475*44/12</f>
        <v>2.8343602631384659E-18</v>
      </c>
      <c r="CN157" s="22">
        <f t="shared" si="172"/>
        <v>0.3930097289157129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1.0818439477588981E-13</v>
      </c>
      <c r="CV157" s="13">
        <f t="shared" si="173"/>
        <v>1.6104228458716316E-12</v>
      </c>
      <c r="CW157" s="20">
        <f t="shared" si="174"/>
        <v>2.9932409441277661E-12</v>
      </c>
      <c r="CX157" s="59">
        <f t="shared" si="122"/>
        <v>293.33333333333633</v>
      </c>
      <c r="CY157" s="59">
        <f ca="1">AVERAGE(OFFSET($CX$3,0,0,'Données projet'!$E$13+1,1))-AVERAGE(OFFSET($H$3,0,0,'Données projet'!$E$13+1,1))</f>
        <v>461.10546083340631</v>
      </c>
      <c r="CZ157" s="59">
        <f t="shared" si="150"/>
        <v>233.41883071412587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0.12666479241666795</v>
      </c>
      <c r="DH157" s="21">
        <f>EXP(-LN(2)/2)*DH156+(1-EXP(-LN(2)/2))/(LN(2)/2)*DB157*DE157*VLOOKUP('Données projet'!$B$13,Paramètres!$A$1:$I$89,3,0)*0.475*44/12</f>
        <v>1.703558486651023E-18</v>
      </c>
      <c r="DI157" s="22">
        <f t="shared" si="175"/>
        <v>0.12666479241666795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-4.1500243241898714E-13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296.376932094327</v>
      </c>
      <c r="DU157" s="59">
        <f t="shared" si="152"/>
        <v>350.93658329210882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0.23159825222063488</v>
      </c>
      <c r="EB157" s="21">
        <f>EXP(-LN(2)/25)*EB156+(1-EXP(-LN(2)/25))/(LN(2)/25)*Calculateur!DW157*Calculateur!DY157*VLOOKUP('Données projet'!$B$14,Paramètres!$A$1:$I$89,3,0)*0.475*44/12</f>
        <v>0.54536331802067228</v>
      </c>
      <c r="EC157" s="21">
        <f>EXP(-LN(2)/2)*EC156+(1-EXP(-LN(2)/2))/(LN(2)/2)*DW157*DZ157*VLOOKUP('Données projet'!$B$14,Paramètres!$A$1:$I$89,3,0)*0.475*44/12</f>
        <v>5.3148431544597327E-18</v>
      </c>
      <c r="ED157" s="22">
        <f t="shared" si="178"/>
        <v>0.77696157024130719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-5.1159076974727213E-13</v>
      </c>
      <c r="EK157" s="17">
        <f>EJ157*VLOOKUP('Données projet'!$B$15,Paramètres!$A$1:$I$89,3,0)*VLOOKUP('Données projet'!$B$15,Paramètres!$A$1:$I$89,5,0)</f>
        <v>-3.3519427233841269E-13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231.03244099494077</v>
      </c>
      <c r="EP157" s="59">
        <f t="shared" si="154"/>
        <v>280.29723026390741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0.18706012679358971</v>
      </c>
      <c r="EW157" s="21">
        <f>EXP(-LN(2)/25)*EW156+(1-EXP(-LN(2)/25))/(LN(2)/25)*Calculateur!ER157*Calculateur!ET157*VLOOKUP('Données projet'!$B$15,Paramètres!$A$1:$I$89,3,0)*0.475*44/12</f>
        <v>0.44048575686284996</v>
      </c>
      <c r="EX157" s="21">
        <f>EXP(-LN(2)/2)*EX156+(1-EXP(-LN(2)/2))/(LN(2)/2)*ER157*EU157*VLOOKUP('Données projet'!$B$15,Paramètres!$A$1:$I$89,3,0)*0.475*44/12</f>
        <v>4.2927579324482434E-18</v>
      </c>
      <c r="EY157" s="22">
        <f t="shared" si="181"/>
        <v>0.62754588365643971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-5.1431925385259092E-13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351.15781452544906</v>
      </c>
      <c r="T158" s="59">
        <f t="shared" si="142"/>
        <v>271.54361159160169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0.20260448618189636</v>
      </c>
      <c r="AA158" s="21">
        <f>EXP(-LN(2)/25)*AA157+(1-EXP(-LN(2)/25))/(LN(2)/25)*Calculateur!V158*Calculateur!X158*VLOOKUP('Données projet'!$B$9,Paramètres!$A$1:$I$89,3,0)*0.475*44/12</f>
        <v>0.35258807501593009</v>
      </c>
      <c r="AB158" s="21">
        <f>EXP(-LN(2)/2)*AB157+(1-EXP(-LN(2)/2))/(LN(2)/2)*V158*Y158*VLOOKUP('Données projet'!$B$9,Paramètres!$A$1:$I$89,3,0)*0.475*44/12</f>
        <v>3.3047589383297448E-18</v>
      </c>
      <c r="AC158" s="22">
        <f t="shared" si="163"/>
        <v>0.55519256119782645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9.7543306765146564E-14</v>
      </c>
      <c r="AK158" s="13">
        <f t="shared" si="164"/>
        <v>1.4696264278629426E-12</v>
      </c>
      <c r="AL158" s="20">
        <f t="shared" si="165"/>
        <v>2.7294872878105889E-12</v>
      </c>
      <c r="AM158" s="59">
        <f t="shared" si="113"/>
        <v>293.33333333333604</v>
      </c>
      <c r="AN158" s="59">
        <f ca="1">AVERAGE(OFFSET($AM$3,0,0,'Données projet'!$E$10+1,1))-AVERAGE(OFFSET($H$3,0,0,'Données projet'!$E$10+1,1))</f>
        <v>405.59933429804329</v>
      </c>
      <c r="AO158" s="59">
        <f t="shared" si="144"/>
        <v>208.64922573363776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0.13691624642602715</v>
      </c>
      <c r="AW158" s="21">
        <f>EXP(-LN(2)/2)*AW157+(1-EXP(-LN(2)/2))/(LN(2)/2)*AQ158*AT158*VLOOKUP('Données projet'!$B$10,Paramètres!$A$1:$I$89,3,0)*0.475*44/12</f>
        <v>1.0861127326759848E-18</v>
      </c>
      <c r="AX158" s="21">
        <f t="shared" si="166"/>
        <v>0.13691624642602715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-1.0995790944434703E-13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293.19327646293601</v>
      </c>
      <c r="BJ158" s="59">
        <f t="shared" si="146"/>
        <v>200.0769581869605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0.103754400158607</v>
      </c>
      <c r="BR158" s="21">
        <f>EXP(-LN(2)/2)*BR157+(1-EXP(-LN(2)/2))/(LN(2)/2)*BL158*BO158*VLOOKUP('Données projet'!$B$11,Paramètres!$A$1:$I$89,3,0)*0.475*44/12</f>
        <v>1.0144575030396987E-18</v>
      </c>
      <c r="BS158" s="22">
        <f t="shared" si="169"/>
        <v>0.103754400158607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1.3301360013429075E-13</v>
      </c>
      <c r="CA158" s="13">
        <f t="shared" si="170"/>
        <v>1.9329766731057041E-12</v>
      </c>
      <c r="CB158" s="20">
        <f t="shared" si="171"/>
        <v>3.5982663925596575E-12</v>
      </c>
      <c r="CC158" s="59">
        <f t="shared" si="119"/>
        <v>293.3333333333369</v>
      </c>
      <c r="CD158" s="59">
        <f ca="1">AVERAGE(OFFSET($CC$3,0,0,'Données projet'!$E$12+1,1))-AVERAGE(OFFSET($H$3,0,0,'Données projet'!$E$12+1,1))</f>
        <v>295.95249585728561</v>
      </c>
      <c r="CE158" s="59">
        <f t="shared" si="148"/>
        <v>306.85862495052709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0.12163754558334298</v>
      </c>
      <c r="CL158" s="21">
        <f>EXP(-LN(2)/25)*CL157+(1-EXP(-LN(2)/25))/(LN(2)/25)*Calculateur!CG158*Calculateur!CI158*VLOOKUP('Données projet'!$B$12,Paramètres!$A$1:$I$89,3,0)*0.475*44/12</f>
        <v>0.26158507908543716</v>
      </c>
      <c r="CM158" s="21">
        <f>EXP(-LN(2)/2)*CM157+(1-EXP(-LN(2)/2))/(LN(2)/2)*CG158*CJ158*VLOOKUP('Données projet'!$B$12,Paramètres!$A$1:$I$89,3,0)*0.475*44/12</f>
        <v>2.0041953623908964E-18</v>
      </c>
      <c r="CN158" s="22">
        <f t="shared" si="172"/>
        <v>0.38322262466878015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1.0818439477588981E-13</v>
      </c>
      <c r="CV158" s="13">
        <f t="shared" si="173"/>
        <v>1.6104228458716316E-12</v>
      </c>
      <c r="CW158" s="20">
        <f t="shared" si="174"/>
        <v>2.9932409441277661E-12</v>
      </c>
      <c r="CX158" s="59">
        <f t="shared" si="122"/>
        <v>293.33333333333633</v>
      </c>
      <c r="CY158" s="59">
        <f ca="1">AVERAGE(OFFSET($CX$3,0,0,'Données projet'!$E$13+1,1))-AVERAGE(OFFSET($H$3,0,0,'Données projet'!$E$13+1,1))</f>
        <v>461.10546083340631</v>
      </c>
      <c r="CZ158" s="59">
        <f t="shared" si="150"/>
        <v>233.41883071412587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0.12320113700702223</v>
      </c>
      <c r="DH158" s="21">
        <f>EXP(-LN(2)/2)*DH157+(1-EXP(-LN(2)/2))/(LN(2)/2)*DB158*DE158*VLOOKUP('Données projet'!$B$13,Paramètres!$A$1:$I$89,3,0)*0.475*44/12</f>
        <v>1.2045977580588311E-18</v>
      </c>
      <c r="DI158" s="22">
        <f t="shared" si="175"/>
        <v>0.12320113700702223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-4.1500243241898714E-13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296.376932094327</v>
      </c>
      <c r="DU158" s="59">
        <f t="shared" si="152"/>
        <v>350.93658329210882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0.22705675175557372</v>
      </c>
      <c r="EB158" s="21">
        <f>EXP(-LN(2)/25)*EB157+(1-EXP(-LN(2)/25))/(LN(2)/25)*Calculateur!DW158*Calculateur!DY158*VLOOKUP('Données projet'!$B$14,Paramètres!$A$1:$I$89,3,0)*0.475*44/12</f>
        <v>0.5304503294099866</v>
      </c>
      <c r="EC158" s="21">
        <f>EXP(-LN(2)/2)*EC157+(1-EXP(-LN(2)/2))/(LN(2)/2)*DW158*DZ158*VLOOKUP('Données projet'!$B$14,Paramètres!$A$1:$I$89,3,0)*0.475*44/12</f>
        <v>3.7581616354613782E-18</v>
      </c>
      <c r="ED158" s="22">
        <f t="shared" si="178"/>
        <v>0.75750708116556031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-5.1159076974727213E-13</v>
      </c>
      <c r="EK158" s="17">
        <f>EJ158*VLOOKUP('Données projet'!$B$15,Paramètres!$A$1:$I$89,3,0)*VLOOKUP('Données projet'!$B$15,Paramètres!$A$1:$I$89,5,0)</f>
        <v>-3.3519427233841269E-13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231.03244099494077</v>
      </c>
      <c r="EP158" s="59">
        <f t="shared" si="154"/>
        <v>280.29723026390741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0.18339199180257879</v>
      </c>
      <c r="EW158" s="21">
        <f>EXP(-LN(2)/25)*EW157+(1-EXP(-LN(2)/25))/(LN(2)/25)*Calculateur!ER158*Calculateur!ET158*VLOOKUP('Données projet'!$B$15,Paramètres!$A$1:$I$89,3,0)*0.475*44/12</f>
        <v>0.42844065067729614</v>
      </c>
      <c r="EX158" s="21">
        <f>EXP(-LN(2)/2)*EX157+(1-EXP(-LN(2)/2))/(LN(2)/2)*ER158*EU158*VLOOKUP('Données projet'!$B$15,Paramètres!$A$1:$I$89,3,0)*0.475*44/12</f>
        <v>3.0354382440264963E-18</v>
      </c>
      <c r="EY158" s="22">
        <f t="shared" si="181"/>
        <v>0.6118326424798749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-5.1431925385259092E-13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351.15781452544906</v>
      </c>
      <c r="T159" s="59">
        <f t="shared" si="142"/>
        <v>271.54361159160169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0.19863153578440376</v>
      </c>
      <c r="AA159" s="21">
        <f>EXP(-LN(2)/25)*AA158+(1-EXP(-LN(2)/25))/(LN(2)/25)*Calculateur!V159*Calculateur!X159*VLOOKUP('Données projet'!$B$9,Paramètres!$A$1:$I$89,3,0)*0.475*44/12</f>
        <v>0.34294653556281846</v>
      </c>
      <c r="AB159" s="21">
        <f>EXP(-LN(2)/2)*AB158+(1-EXP(-LN(2)/2))/(LN(2)/2)*V159*Y159*VLOOKUP('Données projet'!$B$9,Paramètres!$A$1:$I$89,3,0)*0.475*44/12</f>
        <v>2.3368174554798179E-18</v>
      </c>
      <c r="AC159" s="22">
        <f t="shared" si="163"/>
        <v>0.54157807134722225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9.7543306765146564E-14</v>
      </c>
      <c r="AK159" s="13">
        <f t="shared" si="164"/>
        <v>1.4696264278629426E-12</v>
      </c>
      <c r="AL159" s="20">
        <f t="shared" si="165"/>
        <v>2.7294872878105889E-12</v>
      </c>
      <c r="AM159" s="59">
        <f t="shared" si="113"/>
        <v>293.33333333333604</v>
      </c>
      <c r="AN159" s="59">
        <f ca="1">AVERAGE(OFFSET($AM$3,0,0,'Données projet'!$E$10+1,1))-AVERAGE(OFFSET($H$3,0,0,'Données projet'!$E$10+1,1))</f>
        <v>405.59933429804329</v>
      </c>
      <c r="AO159" s="59">
        <f t="shared" si="144"/>
        <v>208.64922573363776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0.13317226446739497</v>
      </c>
      <c r="AW159" s="21">
        <f>EXP(-LN(2)/2)*AW158+(1-EXP(-LN(2)/2))/(LN(2)/2)*AQ159*AT159*VLOOKUP('Données projet'!$B$10,Paramètres!$A$1:$I$89,3,0)*0.475*44/12</f>
        <v>7.679976784082408E-19</v>
      </c>
      <c r="AX159" s="21">
        <f t="shared" si="166"/>
        <v>0.13317226446739497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-1.0995790944434703E-13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293.19327646293601</v>
      </c>
      <c r="BJ159" s="59">
        <f t="shared" si="146"/>
        <v>200.0769581869605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0.10091723063006312</v>
      </c>
      <c r="BR159" s="21">
        <f>EXP(-LN(2)/2)*BR158+(1-EXP(-LN(2)/2))/(LN(2)/2)*BL159*BO159*VLOOKUP('Données projet'!$B$11,Paramètres!$A$1:$I$89,3,0)*0.475*44/12</f>
        <v>7.1732977962494363E-19</v>
      </c>
      <c r="BS159" s="22">
        <f t="shared" si="169"/>
        <v>0.10091723063006312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1.3301360013429075E-13</v>
      </c>
      <c r="CA159" s="13">
        <f t="shared" si="170"/>
        <v>1.9329766731057041E-12</v>
      </c>
      <c r="CB159" s="20">
        <f t="shared" si="171"/>
        <v>3.5982663925596575E-12</v>
      </c>
      <c r="CC159" s="59">
        <f t="shared" si="119"/>
        <v>293.3333333333369</v>
      </c>
      <c r="CD159" s="59">
        <f ca="1">AVERAGE(OFFSET($CC$3,0,0,'Données projet'!$E$12+1,1))-AVERAGE(OFFSET($H$3,0,0,'Données projet'!$E$12+1,1))</f>
        <v>295.95249585728561</v>
      </c>
      <c r="CE159" s="59">
        <f t="shared" si="148"/>
        <v>306.85862495052709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0.11925230750603062</v>
      </c>
      <c r="CL159" s="21">
        <f>EXP(-LN(2)/25)*CL158+(1-EXP(-LN(2)/25))/(LN(2)/25)*Calculateur!CG159*Calculateur!CI159*VLOOKUP('Données projet'!$B$12,Paramètres!$A$1:$I$89,3,0)*0.475*44/12</f>
        <v>0.25443202134168441</v>
      </c>
      <c r="CM159" s="21">
        <f>EXP(-LN(2)/2)*CM158+(1-EXP(-LN(2)/2))/(LN(2)/2)*CG159*CJ159*VLOOKUP('Données projet'!$B$12,Paramètres!$A$1:$I$89,3,0)*0.475*44/12</f>
        <v>1.417180131569233E-18</v>
      </c>
      <c r="CN159" s="22">
        <f t="shared" si="172"/>
        <v>0.37368432884771502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1.0818439477588981E-13</v>
      </c>
      <c r="CV159" s="13">
        <f t="shared" si="173"/>
        <v>1.6104228458716316E-12</v>
      </c>
      <c r="CW159" s="20">
        <f t="shared" si="174"/>
        <v>2.9932409441277661E-12</v>
      </c>
      <c r="CX159" s="59">
        <f t="shared" si="122"/>
        <v>293.33333333333633</v>
      </c>
      <c r="CY159" s="59">
        <f ca="1">AVERAGE(OFFSET($CX$3,0,0,'Données projet'!$E$13+1,1))-AVERAGE(OFFSET($H$3,0,0,'Données projet'!$E$13+1,1))</f>
        <v>461.10546083340631</v>
      </c>
      <c r="CZ159" s="59">
        <f t="shared" si="150"/>
        <v>233.41883071412587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0.119832195436699</v>
      </c>
      <c r="DH159" s="21">
        <f>EXP(-LN(2)/2)*DH158+(1-EXP(-LN(2)/2))/(LN(2)/2)*DB159*DE159*VLOOKUP('Données projet'!$B$13,Paramètres!$A$1:$I$89,3,0)*0.475*44/12</f>
        <v>8.5177924332551161E-19</v>
      </c>
      <c r="DI159" s="22">
        <f t="shared" si="175"/>
        <v>0.119832195436699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-4.1500243241898714E-13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296.376932094327</v>
      </c>
      <c r="DU159" s="59">
        <f t="shared" si="152"/>
        <v>350.93658329210882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0.22260430734459064</v>
      </c>
      <c r="EB159" s="21">
        <f>EXP(-LN(2)/25)*EB158+(1-EXP(-LN(2)/25))/(LN(2)/25)*Calculateur!DW159*Calculateur!DY159*VLOOKUP('Données projet'!$B$14,Paramètres!$A$1:$I$89,3,0)*0.475*44/12</f>
        <v>0.51594513725710001</v>
      </c>
      <c r="EC159" s="21">
        <f>EXP(-LN(2)/2)*EC158+(1-EXP(-LN(2)/2))/(LN(2)/2)*DW159*DZ159*VLOOKUP('Données projet'!$B$14,Paramètres!$A$1:$I$89,3,0)*0.475*44/12</f>
        <v>2.6574215772298664E-18</v>
      </c>
      <c r="ED159" s="22">
        <f t="shared" si="178"/>
        <v>0.7385494446016907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-5.1159076974727213E-13</v>
      </c>
      <c r="EK159" s="17">
        <f>EJ159*VLOOKUP('Données projet'!$B$15,Paramètres!$A$1:$I$89,3,0)*VLOOKUP('Données projet'!$B$15,Paramètres!$A$1:$I$89,5,0)</f>
        <v>-3.3519427233841269E-13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231.03244099494077</v>
      </c>
      <c r="EP159" s="59">
        <f t="shared" si="154"/>
        <v>280.29723026390741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0.17979578670140015</v>
      </c>
      <c r="EW159" s="21">
        <f>EXP(-LN(2)/25)*EW158+(1-EXP(-LN(2)/25))/(LN(2)/25)*Calculateur!ER159*Calculateur!ET159*VLOOKUP('Données projet'!$B$15,Paramètres!$A$1:$I$89,3,0)*0.475*44/12</f>
        <v>0.41672491855381089</v>
      </c>
      <c r="EX159" s="21">
        <f>EXP(-LN(2)/2)*EX158+(1-EXP(-LN(2)/2))/(LN(2)/2)*ER159*EU159*VLOOKUP('Données projet'!$B$15,Paramètres!$A$1:$I$89,3,0)*0.475*44/12</f>
        <v>2.1463789662241217E-18</v>
      </c>
      <c r="EY159" s="22">
        <f t="shared" si="181"/>
        <v>0.59652070525521106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-5.1431925385259092E-13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351.15781452544906</v>
      </c>
      <c r="T160" s="59">
        <f t="shared" si="142"/>
        <v>271.54361159160169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0.19473649252094555</v>
      </c>
      <c r="AA160" s="21">
        <f>EXP(-LN(2)/25)*AA159+(1-EXP(-LN(2)/25))/(LN(2)/25)*Calculateur!V160*Calculateur!X160*VLOOKUP('Données projet'!$B$9,Paramètres!$A$1:$I$89,3,0)*0.475*44/12</f>
        <v>0.33356864451307872</v>
      </c>
      <c r="AB160" s="21">
        <f>EXP(-LN(2)/2)*AB159+(1-EXP(-LN(2)/2))/(LN(2)/2)*V160*Y160*VLOOKUP('Données projet'!$B$9,Paramètres!$A$1:$I$89,3,0)*0.475*44/12</f>
        <v>1.6523794691648724E-18</v>
      </c>
      <c r="AC160" s="22">
        <f t="shared" si="163"/>
        <v>0.52830513703402426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9.7543306765146564E-14</v>
      </c>
      <c r="AK160" s="13">
        <f t="shared" si="164"/>
        <v>1.4696264278629426E-12</v>
      </c>
      <c r="AL160" s="20">
        <f t="shared" si="165"/>
        <v>2.7294872878105889E-12</v>
      </c>
      <c r="AM160" s="59">
        <f t="shared" si="113"/>
        <v>293.33333333333604</v>
      </c>
      <c r="AN160" s="59">
        <f ca="1">AVERAGE(OFFSET($AM$3,0,0,'Données projet'!$E$10+1,1))-AVERAGE(OFFSET($H$3,0,0,'Données projet'!$E$10+1,1))</f>
        <v>405.59933429804329</v>
      </c>
      <c r="AO160" s="59">
        <f t="shared" si="144"/>
        <v>208.64922573363776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0.12953066189230902</v>
      </c>
      <c r="AW160" s="21">
        <f>EXP(-LN(2)/2)*AW159+(1-EXP(-LN(2)/2))/(LN(2)/2)*AQ160*AT160*VLOOKUP('Données projet'!$B$10,Paramètres!$A$1:$I$89,3,0)*0.475*44/12</f>
        <v>5.4305636633799241E-19</v>
      </c>
      <c r="AX160" s="21">
        <f t="shared" si="166"/>
        <v>0.12953066189230902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-1.0995790944434703E-13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293.19327646293601</v>
      </c>
      <c r="BJ160" s="59">
        <f t="shared" si="146"/>
        <v>200.0769581869605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9.8157643651477541E-2</v>
      </c>
      <c r="BR160" s="21">
        <f>EXP(-LN(2)/2)*BR159+(1-EXP(-LN(2)/2))/(LN(2)/2)*BL160*BO160*VLOOKUP('Données projet'!$B$11,Paramètres!$A$1:$I$89,3,0)*0.475*44/12</f>
        <v>5.0722875151984936E-19</v>
      </c>
      <c r="BS160" s="22">
        <f t="shared" si="169"/>
        <v>9.8157643651477541E-2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1.3301360013429075E-13</v>
      </c>
      <c r="CA160" s="13">
        <f t="shared" si="170"/>
        <v>1.9329766731057041E-12</v>
      </c>
      <c r="CB160" s="20">
        <f t="shared" si="171"/>
        <v>3.5982663925596575E-12</v>
      </c>
      <c r="CC160" s="59">
        <f t="shared" si="119"/>
        <v>293.3333333333369</v>
      </c>
      <c r="CD160" s="59">
        <f ca="1">AVERAGE(OFFSET($CC$3,0,0,'Données projet'!$E$12+1,1))-AVERAGE(OFFSET($H$3,0,0,'Données projet'!$E$12+1,1))</f>
        <v>295.95249585728561</v>
      </c>
      <c r="CE160" s="59">
        <f t="shared" si="148"/>
        <v>306.85862495052709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0.11691384249256279</v>
      </c>
      <c r="CL160" s="21">
        <f>EXP(-LN(2)/25)*CL159+(1-EXP(-LN(2)/25))/(LN(2)/25)*Calculateur!CG160*Calculateur!CI160*VLOOKUP('Données projet'!$B$12,Paramètres!$A$1:$I$89,3,0)*0.475*44/12</f>
        <v>0.24747456433809756</v>
      </c>
      <c r="CM160" s="21">
        <f>EXP(-LN(2)/2)*CM159+(1-EXP(-LN(2)/2))/(LN(2)/2)*CG160*CJ160*VLOOKUP('Données projet'!$B$12,Paramètres!$A$1:$I$89,3,0)*0.475*44/12</f>
        <v>1.0020976811954482E-18</v>
      </c>
      <c r="CN160" s="22">
        <f t="shared" si="172"/>
        <v>0.36438840683066032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1.0818439477588981E-13</v>
      </c>
      <c r="CV160" s="13">
        <f t="shared" si="173"/>
        <v>1.6104228458716316E-12</v>
      </c>
      <c r="CW160" s="20">
        <f t="shared" si="174"/>
        <v>2.9932409441277661E-12</v>
      </c>
      <c r="CX160" s="59">
        <f t="shared" si="122"/>
        <v>293.33333333333633</v>
      </c>
      <c r="CY160" s="59">
        <f ca="1">AVERAGE(OFFSET($CX$3,0,0,'Données projet'!$E$13+1,1))-AVERAGE(OFFSET($H$3,0,0,'Données projet'!$E$13+1,1))</f>
        <v>461.10546083340631</v>
      </c>
      <c r="CZ160" s="59">
        <f t="shared" si="150"/>
        <v>233.41883071412587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0.11655537775078119</v>
      </c>
      <c r="DH160" s="21">
        <f>EXP(-LN(2)/2)*DH159+(1-EXP(-LN(2)/2))/(LN(2)/2)*DB160*DE160*VLOOKUP('Données projet'!$B$13,Paramètres!$A$1:$I$89,3,0)*0.475*44/12</f>
        <v>6.0229887902941564E-19</v>
      </c>
      <c r="DI160" s="22">
        <f t="shared" si="175"/>
        <v>0.11655537775078119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-4.1500243241898714E-13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296.376932094327</v>
      </c>
      <c r="DU160" s="59">
        <f t="shared" si="152"/>
        <v>350.93658329210882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0.218239172652784</v>
      </c>
      <c r="EB160" s="21">
        <f>EXP(-LN(2)/25)*EB159+(1-EXP(-LN(2)/25))/(LN(2)/25)*Calculateur!DW160*Calculateur!DY160*VLOOKUP('Données projet'!$B$14,Paramètres!$A$1:$I$89,3,0)*0.475*44/12</f>
        <v>0.50183659034642902</v>
      </c>
      <c r="EC160" s="21">
        <f>EXP(-LN(2)/2)*EC159+(1-EXP(-LN(2)/2))/(LN(2)/2)*DW160*DZ160*VLOOKUP('Données projet'!$B$14,Paramètres!$A$1:$I$89,3,0)*0.475*44/12</f>
        <v>1.8790808177306891E-18</v>
      </c>
      <c r="ED160" s="22">
        <f t="shared" si="178"/>
        <v>0.72007576299921305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-5.1159076974727213E-13</v>
      </c>
      <c r="EK160" s="17">
        <f>EJ160*VLOOKUP('Données projet'!$B$15,Paramètres!$A$1:$I$89,3,0)*VLOOKUP('Données projet'!$B$15,Paramètres!$A$1:$I$89,5,0)</f>
        <v>-3.3519427233841269E-13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231.03244099494077</v>
      </c>
      <c r="EP160" s="59">
        <f t="shared" si="154"/>
        <v>280.29723026390741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0.17627010098878709</v>
      </c>
      <c r="EW160" s="21">
        <f>EXP(-LN(2)/25)*EW159+(1-EXP(-LN(2)/25))/(LN(2)/25)*Calculateur!ER160*Calculateur!ET160*VLOOKUP('Données projet'!$B$15,Paramètres!$A$1:$I$89,3,0)*0.475*44/12</f>
        <v>0.40532955374134588</v>
      </c>
      <c r="EX160" s="21">
        <f>EXP(-LN(2)/2)*EX159+(1-EXP(-LN(2)/2))/(LN(2)/2)*ER160*EU160*VLOOKUP('Données projet'!$B$15,Paramètres!$A$1:$I$89,3,0)*0.475*44/12</f>
        <v>1.5177191220132481E-18</v>
      </c>
      <c r="EY160" s="22">
        <f t="shared" si="181"/>
        <v>0.58159965473013298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-5.1431925385259092E-13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351.15781452544906</v>
      </c>
      <c r="T161" s="59">
        <f t="shared" si="142"/>
        <v>271.54361159160169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0.19091782868014193</v>
      </c>
      <c r="AA161" s="21">
        <f>EXP(-LN(2)/25)*AA160+(1-EXP(-LN(2)/25))/(LN(2)/25)*Calculateur!V161*Calculateur!X161*VLOOKUP('Données projet'!$B$9,Paramètres!$A$1:$I$89,3,0)*0.475*44/12</f>
        <v>0.32444719238725594</v>
      </c>
      <c r="AB161" s="21">
        <f>EXP(-LN(2)/2)*AB160+(1-EXP(-LN(2)/2))/(LN(2)/2)*V161*Y161*VLOOKUP('Données projet'!$B$9,Paramètres!$A$1:$I$89,3,0)*0.475*44/12</f>
        <v>1.168408727739909E-18</v>
      </c>
      <c r="AC161" s="22">
        <f t="shared" si="163"/>
        <v>0.5153650210673979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9.7543306765146564E-14</v>
      </c>
      <c r="AK161" s="13">
        <f t="shared" si="164"/>
        <v>1.4696264278629426E-12</v>
      </c>
      <c r="AL161" s="20">
        <f t="shared" si="165"/>
        <v>2.7294872878105889E-12</v>
      </c>
      <c r="AM161" s="59">
        <f t="shared" si="113"/>
        <v>293.33333333333604</v>
      </c>
      <c r="AN161" s="59">
        <f ca="1">AVERAGE(OFFSET($AM$3,0,0,'Données projet'!$E$10+1,1))-AVERAGE(OFFSET($H$3,0,0,'Données projet'!$E$10+1,1))</f>
        <v>405.59933429804329</v>
      </c>
      <c r="AO161" s="59">
        <f t="shared" si="144"/>
        <v>208.64922573363776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0.12598863913114236</v>
      </c>
      <c r="AW161" s="21">
        <f>EXP(-LN(2)/2)*AW160+(1-EXP(-LN(2)/2))/(LN(2)/2)*AQ161*AT161*VLOOKUP('Données projet'!$B$10,Paramètres!$A$1:$I$89,3,0)*0.475*44/12</f>
        <v>3.839988392041204E-19</v>
      </c>
      <c r="AX161" s="21">
        <f t="shared" si="166"/>
        <v>0.12598863913114236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-1.0995790944434703E-13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293.19327646293601</v>
      </c>
      <c r="BJ161" s="59">
        <f t="shared" si="146"/>
        <v>200.0769581869605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9.5473517723941748E-2</v>
      </c>
      <c r="BR161" s="21">
        <f>EXP(-LN(2)/2)*BR160+(1-EXP(-LN(2)/2))/(LN(2)/2)*BL161*BO161*VLOOKUP('Données projet'!$B$11,Paramètres!$A$1:$I$89,3,0)*0.475*44/12</f>
        <v>3.5866488981247181E-19</v>
      </c>
      <c r="BS161" s="22">
        <f t="shared" si="169"/>
        <v>9.5473517723941748E-2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1.3301360013429075E-13</v>
      </c>
      <c r="CA161" s="13">
        <f t="shared" si="170"/>
        <v>1.9329766731057041E-12</v>
      </c>
      <c r="CB161" s="20">
        <f t="shared" si="171"/>
        <v>3.5982663925596575E-12</v>
      </c>
      <c r="CC161" s="59">
        <f t="shared" si="119"/>
        <v>293.3333333333369</v>
      </c>
      <c r="CD161" s="59">
        <f ca="1">AVERAGE(OFFSET($CC$3,0,0,'Données projet'!$E$12+1,1))-AVERAGE(OFFSET($H$3,0,0,'Données projet'!$E$12+1,1))</f>
        <v>295.95249585728561</v>
      </c>
      <c r="CE161" s="59">
        <f t="shared" si="148"/>
        <v>306.85862495052709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0.11462123335168624</v>
      </c>
      <c r="CL161" s="21">
        <f>EXP(-LN(2)/25)*CL160+(1-EXP(-LN(2)/25))/(LN(2)/25)*Calculateur!CG161*Calculateur!CI161*VLOOKUP('Données projet'!$B$12,Paramètres!$A$1:$I$89,3,0)*0.475*44/12</f>
        <v>0.24070735936215054</v>
      </c>
      <c r="CM161" s="21">
        <f>EXP(-LN(2)/2)*CM160+(1-EXP(-LN(2)/2))/(LN(2)/2)*CG161*CJ161*VLOOKUP('Données projet'!$B$12,Paramètres!$A$1:$I$89,3,0)*0.475*44/12</f>
        <v>7.0859006578461648E-19</v>
      </c>
      <c r="CN161" s="22">
        <f t="shared" si="172"/>
        <v>0.35532859271383677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1.0818439477588981E-13</v>
      </c>
      <c r="CV161" s="13">
        <f t="shared" si="173"/>
        <v>1.6104228458716316E-12</v>
      </c>
      <c r="CW161" s="20">
        <f t="shared" si="174"/>
        <v>2.9932409441277661E-12</v>
      </c>
      <c r="CX161" s="59">
        <f t="shared" si="122"/>
        <v>293.33333333333633</v>
      </c>
      <c r="CY161" s="59">
        <f ca="1">AVERAGE(OFFSET($CX$3,0,0,'Données projet'!$E$13+1,1))-AVERAGE(OFFSET($H$3,0,0,'Données projet'!$E$13+1,1))</f>
        <v>461.10546083340631</v>
      </c>
      <c r="CZ161" s="59">
        <f t="shared" si="150"/>
        <v>233.41883071412587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0.11336816481680516</v>
      </c>
      <c r="DH161" s="21">
        <f>EXP(-LN(2)/2)*DH160+(1-EXP(-LN(2)/2))/(LN(2)/2)*DB161*DE161*VLOOKUP('Données projet'!$B$13,Paramètres!$A$1:$I$89,3,0)*0.475*44/12</f>
        <v>4.258896216627559E-19</v>
      </c>
      <c r="DI161" s="22">
        <f t="shared" si="175"/>
        <v>0.11336816481680516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-4.1500243241898714E-13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296.376932094327</v>
      </c>
      <c r="DU161" s="59">
        <f t="shared" si="152"/>
        <v>350.93658329210882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0.21395963558981443</v>
      </c>
      <c r="EB161" s="21">
        <f>EXP(-LN(2)/25)*EB160+(1-EXP(-LN(2)/25))/(LN(2)/25)*Calculateur!DW161*Calculateur!DY161*VLOOKUP('Données projet'!$B$14,Paramètres!$A$1:$I$89,3,0)*0.475*44/12</f>
        <v>0.48811384239296662</v>
      </c>
      <c r="EC161" s="21">
        <f>EXP(-LN(2)/2)*EC160+(1-EXP(-LN(2)/2))/(LN(2)/2)*DW161*DZ161*VLOOKUP('Données projet'!$B$14,Paramètres!$A$1:$I$89,3,0)*0.475*44/12</f>
        <v>1.3287107886149332E-18</v>
      </c>
      <c r="ED161" s="22">
        <f t="shared" si="178"/>
        <v>0.70207347798278108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-5.1159076974727213E-13</v>
      </c>
      <c r="EK161" s="17">
        <f>EJ161*VLOOKUP('Données projet'!$B$15,Paramètres!$A$1:$I$89,3,0)*VLOOKUP('Données projet'!$B$15,Paramètres!$A$1:$I$89,5,0)</f>
        <v>-3.3519427233841269E-13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231.03244099494077</v>
      </c>
      <c r="EP161" s="59">
        <f t="shared" si="154"/>
        <v>280.29723026390741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0.17281355182254243</v>
      </c>
      <c r="EW161" s="21">
        <f>EXP(-LN(2)/25)*EW160+(1-EXP(-LN(2)/25))/(LN(2)/25)*Calculateur!ER161*Calculateur!ET161*VLOOKUP('Données projet'!$B$15,Paramètres!$A$1:$I$89,3,0)*0.475*44/12</f>
        <v>0.39424579577893393</v>
      </c>
      <c r="EX161" s="21">
        <f>EXP(-LN(2)/2)*EX160+(1-EXP(-LN(2)/2))/(LN(2)/2)*ER161*EU161*VLOOKUP('Données projet'!$B$15,Paramètres!$A$1:$I$89,3,0)*0.475*44/12</f>
        <v>1.0731894831120609E-18</v>
      </c>
      <c r="EY161" s="22">
        <f t="shared" si="181"/>
        <v>0.56705934760147636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-5.1431925385259092E-13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351.15781452544906</v>
      </c>
      <c r="T162" s="59">
        <f t="shared" si="142"/>
        <v>271.54361159160169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0.18717404650810152</v>
      </c>
      <c r="AA162" s="21">
        <f>EXP(-LN(2)/25)*AA161+(1-EXP(-LN(2)/25))/(LN(2)/25)*Calculateur!V162*Calculateur!X162*VLOOKUP('Données projet'!$B$9,Paramètres!$A$1:$I$89,3,0)*0.475*44/12</f>
        <v>0.31557516684949011</v>
      </c>
      <c r="AB162" s="21">
        <f>EXP(-LN(2)/2)*AB161+(1-EXP(-LN(2)/2))/(LN(2)/2)*V162*Y162*VLOOKUP('Données projet'!$B$9,Paramètres!$A$1:$I$89,3,0)*0.475*44/12</f>
        <v>8.261897345824362E-19</v>
      </c>
      <c r="AC162" s="22">
        <f t="shared" si="163"/>
        <v>0.5027492133575916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9.7543306765146564E-14</v>
      </c>
      <c r="AK162" s="13">
        <f t="shared" si="164"/>
        <v>1.4696264278629426E-12</v>
      </c>
      <c r="AL162" s="20">
        <f t="shared" si="165"/>
        <v>2.7294872878105889E-12</v>
      </c>
      <c r="AM162" s="59">
        <f t="shared" si="113"/>
        <v>293.33333333333604</v>
      </c>
      <c r="AN162" s="59">
        <f ca="1">AVERAGE(OFFSET($AM$3,0,0,'Données projet'!$E$10+1,1))-AVERAGE(OFFSET($H$3,0,0,'Données projet'!$E$10+1,1))</f>
        <v>405.59933429804329</v>
      </c>
      <c r="AO162" s="59">
        <f t="shared" si="144"/>
        <v>208.64922573363776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0.12254347316864669</v>
      </c>
      <c r="AW162" s="21">
        <f>EXP(-LN(2)/2)*AW161+(1-EXP(-LN(2)/2))/(LN(2)/2)*AQ162*AT162*VLOOKUP('Données projet'!$B$10,Paramètres!$A$1:$I$89,3,0)*0.475*44/12</f>
        <v>2.715281831689962E-19</v>
      </c>
      <c r="AX162" s="21">
        <f t="shared" si="166"/>
        <v>0.12254347316864669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-1.0995790944434703E-13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293.19327646293601</v>
      </c>
      <c r="BJ162" s="59">
        <f t="shared" si="146"/>
        <v>200.0769581869605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9.2862789361046472E-2</v>
      </c>
      <c r="BR162" s="21">
        <f>EXP(-LN(2)/2)*BR161+(1-EXP(-LN(2)/2))/(LN(2)/2)*BL162*BO162*VLOOKUP('Données projet'!$B$11,Paramètres!$A$1:$I$89,3,0)*0.475*44/12</f>
        <v>2.5361437575992468E-19</v>
      </c>
      <c r="BS162" s="22">
        <f t="shared" si="169"/>
        <v>9.2862789361046472E-2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1.3301360013429075E-13</v>
      </c>
      <c r="CA162" s="13">
        <f t="shared" si="170"/>
        <v>1.9329766731057041E-12</v>
      </c>
      <c r="CB162" s="20">
        <f t="shared" si="171"/>
        <v>3.5982663925596575E-12</v>
      </c>
      <c r="CC162" s="59">
        <f t="shared" si="119"/>
        <v>293.3333333333369</v>
      </c>
      <c r="CD162" s="59">
        <f ca="1">AVERAGE(OFFSET($CC$3,0,0,'Données projet'!$E$12+1,1))-AVERAGE(OFFSET($H$3,0,0,'Données projet'!$E$12+1,1))</f>
        <v>295.95249585728561</v>
      </c>
      <c r="CE162" s="59">
        <f t="shared" si="148"/>
        <v>306.85862495052709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0.11237358087770878</v>
      </c>
      <c r="CL162" s="21">
        <f>EXP(-LN(2)/25)*CL161+(1-EXP(-LN(2)/25))/(LN(2)/25)*Calculateur!CG162*Calculateur!CI162*VLOOKUP('Données projet'!$B$12,Paramètres!$A$1:$I$89,3,0)*0.475*44/12</f>
        <v>0.23412520396214265</v>
      </c>
      <c r="CM162" s="21">
        <f>EXP(-LN(2)/2)*CM161+(1-EXP(-LN(2)/2))/(LN(2)/2)*CG162*CJ162*VLOOKUP('Données projet'!$B$12,Paramètres!$A$1:$I$89,3,0)*0.475*44/12</f>
        <v>5.0104884059772411E-19</v>
      </c>
      <c r="CN162" s="22">
        <f t="shared" si="172"/>
        <v>0.34649878483985141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1.0818439477588981E-13</v>
      </c>
      <c r="CV162" s="13">
        <f t="shared" si="173"/>
        <v>1.6104228458716316E-12</v>
      </c>
      <c r="CW162" s="20">
        <f t="shared" si="174"/>
        <v>2.9932409441277661E-12</v>
      </c>
      <c r="CX162" s="59">
        <f t="shared" si="122"/>
        <v>293.33333333333633</v>
      </c>
      <c r="CY162" s="59">
        <f ca="1">AVERAGE(OFFSET($CX$3,0,0,'Données projet'!$E$13+1,1))-AVERAGE(OFFSET($H$3,0,0,'Données projet'!$E$13+1,1))</f>
        <v>461.10546083340631</v>
      </c>
      <c r="CZ162" s="59">
        <f t="shared" si="150"/>
        <v>233.41883071412587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0.11026810638811695</v>
      </c>
      <c r="DH162" s="21">
        <f>EXP(-LN(2)/2)*DH161+(1-EXP(-LN(2)/2))/(LN(2)/2)*DB162*DE162*VLOOKUP('Données projet'!$B$13,Paramètres!$A$1:$I$89,3,0)*0.475*44/12</f>
        <v>3.0114943951470787E-19</v>
      </c>
      <c r="DI162" s="22">
        <f t="shared" si="175"/>
        <v>0.11026810638811695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-4.1500243241898714E-13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296.376932094327</v>
      </c>
      <c r="DU162" s="59">
        <f t="shared" si="152"/>
        <v>350.93658329210882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0.20976401763838984</v>
      </c>
      <c r="EB162" s="21">
        <f>EXP(-LN(2)/25)*EB161+(1-EXP(-LN(2)/25))/(LN(2)/25)*Calculateur!DW162*Calculateur!DY162*VLOOKUP('Données projet'!$B$14,Paramètres!$A$1:$I$89,3,0)*0.475*44/12</f>
        <v>0.47476634370393955</v>
      </c>
      <c r="EC162" s="21">
        <f>EXP(-LN(2)/2)*EC161+(1-EXP(-LN(2)/2))/(LN(2)/2)*DW162*DZ162*VLOOKUP('Données projet'!$B$14,Paramètres!$A$1:$I$89,3,0)*0.475*44/12</f>
        <v>9.3954040886534455E-19</v>
      </c>
      <c r="ED162" s="22">
        <f t="shared" si="178"/>
        <v>0.68453036134232936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-5.1159076974727213E-13</v>
      </c>
      <c r="EK162" s="17">
        <f>EJ162*VLOOKUP('Données projet'!$B$15,Paramètres!$A$1:$I$89,3,0)*VLOOKUP('Données projet'!$B$15,Paramètres!$A$1:$I$89,5,0)</f>
        <v>-3.3519427233841269E-13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231.03244099494077</v>
      </c>
      <c r="EP162" s="59">
        <f t="shared" si="154"/>
        <v>280.29723026390741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0.16942478347716103</v>
      </c>
      <c r="EW162" s="21">
        <f>EXP(-LN(2)/25)*EW161+(1-EXP(-LN(2)/25))/(LN(2)/25)*Calculateur!ER162*Calculateur!ET162*VLOOKUP('Données projet'!$B$15,Paramètres!$A$1:$I$89,3,0)*0.475*44/12</f>
        <v>0.38346512376087366</v>
      </c>
      <c r="EX162" s="21">
        <f>EXP(-LN(2)/2)*EX161+(1-EXP(-LN(2)/2))/(LN(2)/2)*ER162*EU162*VLOOKUP('Données projet'!$B$15,Paramètres!$A$1:$I$89,3,0)*0.475*44/12</f>
        <v>7.5885956100662406E-19</v>
      </c>
      <c r="EY162" s="22">
        <f t="shared" si="181"/>
        <v>0.55288990723803466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-5.1431925385259092E-13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351.15781452544906</v>
      </c>
      <c r="T163" s="59">
        <f t="shared" si="142"/>
        <v>271.54361159160169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0.18350367762097317</v>
      </c>
      <c r="AA163" s="21">
        <f>EXP(-LN(2)/25)*AA162+(1-EXP(-LN(2)/25))/(LN(2)/25)*Calculateur!V163*Calculateur!X163*VLOOKUP('Données projet'!$B$9,Paramètres!$A$1:$I$89,3,0)*0.475*44/12</f>
        <v>0.30694574731661406</v>
      </c>
      <c r="AB163" s="21">
        <f>EXP(-LN(2)/2)*AB162+(1-EXP(-LN(2)/2))/(LN(2)/2)*V163*Y163*VLOOKUP('Données projet'!$B$9,Paramètres!$A$1:$I$89,3,0)*0.475*44/12</f>
        <v>5.8420436386995448E-19</v>
      </c>
      <c r="AC163" s="22">
        <f t="shared" si="163"/>
        <v>0.49044942493758725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9.7543306765146564E-14</v>
      </c>
      <c r="AK163" s="13">
        <f t="shared" si="164"/>
        <v>1.4696264278629426E-12</v>
      </c>
      <c r="AL163" s="20">
        <f t="shared" si="165"/>
        <v>2.7294872878105889E-12</v>
      </c>
      <c r="AM163" s="59">
        <f t="shared" si="113"/>
        <v>293.33333333333604</v>
      </c>
      <c r="AN163" s="59">
        <f ca="1">AVERAGE(OFFSET($AM$3,0,0,'Données projet'!$E$10+1,1))-AVERAGE(OFFSET($H$3,0,0,'Données projet'!$E$10+1,1))</f>
        <v>405.59933429804329</v>
      </c>
      <c r="AO163" s="59">
        <f t="shared" si="144"/>
        <v>208.64922573363776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0.11919251545056887</v>
      </c>
      <c r="AW163" s="21">
        <f>EXP(-LN(2)/2)*AW162+(1-EXP(-LN(2)/2))/(LN(2)/2)*AQ163*AT163*VLOOKUP('Données projet'!$B$10,Paramètres!$A$1:$I$89,3,0)*0.475*44/12</f>
        <v>1.919994196020602E-19</v>
      </c>
      <c r="AX163" s="21">
        <f t="shared" si="166"/>
        <v>0.11919251545056887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-1.0995790944434703E-13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293.19327646293601</v>
      </c>
      <c r="BJ163" s="59">
        <f t="shared" si="146"/>
        <v>200.0769581869605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9.0323451502526811E-2</v>
      </c>
      <c r="BR163" s="21">
        <f>EXP(-LN(2)/2)*BR162+(1-EXP(-LN(2)/2))/(LN(2)/2)*BL163*BO163*VLOOKUP('Données projet'!$B$11,Paramètres!$A$1:$I$89,3,0)*0.475*44/12</f>
        <v>1.7933244490623591E-19</v>
      </c>
      <c r="BS163" s="22">
        <f t="shared" si="169"/>
        <v>9.0323451502526811E-2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1.3301360013429075E-13</v>
      </c>
      <c r="CA163" s="13">
        <f t="shared" si="170"/>
        <v>1.9329766731057041E-12</v>
      </c>
      <c r="CB163" s="20">
        <f t="shared" si="171"/>
        <v>3.5982663925596575E-12</v>
      </c>
      <c r="CC163" s="59">
        <f t="shared" si="119"/>
        <v>293.3333333333369</v>
      </c>
      <c r="CD163" s="59">
        <f ca="1">AVERAGE(OFFSET($CC$3,0,0,'Données projet'!$E$12+1,1))-AVERAGE(OFFSET($H$3,0,0,'Données projet'!$E$12+1,1))</f>
        <v>295.95249585728561</v>
      </c>
      <c r="CE163" s="59">
        <f t="shared" si="148"/>
        <v>306.85862495052709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0.11017000349781338</v>
      </c>
      <c r="CL163" s="21">
        <f>EXP(-LN(2)/25)*CL162+(1-EXP(-LN(2)/25))/(LN(2)/25)*Calculateur!CG163*Calculateur!CI163*VLOOKUP('Données projet'!$B$12,Paramètres!$A$1:$I$89,3,0)*0.475*44/12</f>
        <v>0.22772303794768847</v>
      </c>
      <c r="CM163" s="21">
        <f>EXP(-LN(2)/2)*CM162+(1-EXP(-LN(2)/2))/(LN(2)/2)*CG163*CJ163*VLOOKUP('Données projet'!$B$12,Paramètres!$A$1:$I$89,3,0)*0.475*44/12</f>
        <v>3.5429503289230824E-19</v>
      </c>
      <c r="CN163" s="22">
        <f t="shared" si="172"/>
        <v>0.33789304144550186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1.0818439477588981E-13</v>
      </c>
      <c r="CV163" s="13">
        <f t="shared" si="173"/>
        <v>1.6104228458716316E-12</v>
      </c>
      <c r="CW163" s="20">
        <f t="shared" si="174"/>
        <v>2.9932409441277661E-12</v>
      </c>
      <c r="CX163" s="59">
        <f t="shared" si="122"/>
        <v>293.33333333333633</v>
      </c>
      <c r="CY163" s="59">
        <f ca="1">AVERAGE(OFFSET($CX$3,0,0,'Données projet'!$E$13+1,1))-AVERAGE(OFFSET($H$3,0,0,'Données projet'!$E$13+1,1))</f>
        <v>461.10546083340631</v>
      </c>
      <c r="CZ163" s="59">
        <f t="shared" si="150"/>
        <v>233.41883071412587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0.10725281922018619</v>
      </c>
      <c r="DH163" s="21">
        <f>EXP(-LN(2)/2)*DH162+(1-EXP(-LN(2)/2))/(LN(2)/2)*DB163*DE163*VLOOKUP('Données projet'!$B$13,Paramètres!$A$1:$I$89,3,0)*0.475*44/12</f>
        <v>2.1294481083137798E-19</v>
      </c>
      <c r="DI163" s="22">
        <f t="shared" si="175"/>
        <v>0.10725281922018619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-4.1500243241898714E-13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296.376932094327</v>
      </c>
      <c r="DU163" s="59">
        <f t="shared" si="152"/>
        <v>350.93658329210882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0.2056506731959184</v>
      </c>
      <c r="EB163" s="21">
        <f>EXP(-LN(2)/25)*EB162+(1-EXP(-LN(2)/25))/(LN(2)/25)*Calculateur!DW163*Calculateur!DY163*VLOOKUP('Données projet'!$B$14,Paramètres!$A$1:$I$89,3,0)*0.475*44/12</f>
        <v>0.46178383306847842</v>
      </c>
      <c r="EC163" s="21">
        <f>EXP(-LN(2)/2)*EC162+(1-EXP(-LN(2)/2))/(LN(2)/2)*DW163*DZ163*VLOOKUP('Données projet'!$B$14,Paramètres!$A$1:$I$89,3,0)*0.475*44/12</f>
        <v>6.6435539430746659E-19</v>
      </c>
      <c r="ED163" s="22">
        <f t="shared" si="178"/>
        <v>0.66743450626439682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-5.1159076974727213E-13</v>
      </c>
      <c r="EK163" s="17">
        <f>EJ163*VLOOKUP('Données projet'!$B$15,Paramètres!$A$1:$I$89,3,0)*VLOOKUP('Données projet'!$B$15,Paramètres!$A$1:$I$89,5,0)</f>
        <v>-3.3519427233841269E-13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231.03244099494077</v>
      </c>
      <c r="EP163" s="59">
        <f t="shared" si="154"/>
        <v>280.29723026390741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0.16610246681208796</v>
      </c>
      <c r="EW163" s="21">
        <f>EXP(-LN(2)/25)*EW162+(1-EXP(-LN(2)/25))/(LN(2)/25)*Calculateur!ER163*Calculateur!ET163*VLOOKUP('Données projet'!$B$15,Paramètres!$A$1:$I$89,3,0)*0.475*44/12</f>
        <v>0.37297924978607816</v>
      </c>
      <c r="EX163" s="21">
        <f>EXP(-LN(2)/2)*EX162+(1-EXP(-LN(2)/2))/(LN(2)/2)*ER163*EU163*VLOOKUP('Données projet'!$B$15,Paramètres!$A$1:$I$89,3,0)*0.475*44/12</f>
        <v>5.3659474155603043E-19</v>
      </c>
      <c r="EY163" s="22">
        <f t="shared" si="181"/>
        <v>0.53908171659816606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-5.1431925385259092E-13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351.15781452544906</v>
      </c>
      <c r="T164" s="59">
        <f t="shared" si="142"/>
        <v>271.54361159160169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0.17990528242901743</v>
      </c>
      <c r="AA164" s="21">
        <f>EXP(-LN(2)/25)*AA163+(1-EXP(-LN(2)/25))/(LN(2)/25)*Calculateur!V164*Calculateur!X164*VLOOKUP('Données projet'!$B$9,Paramètres!$A$1:$I$89,3,0)*0.475*44/12</f>
        <v>0.2985522997146659</v>
      </c>
      <c r="AB164" s="21">
        <f>EXP(-LN(2)/2)*AB163+(1-EXP(-LN(2)/2))/(LN(2)/2)*V164*Y164*VLOOKUP('Données projet'!$B$9,Paramètres!$A$1:$I$89,3,0)*0.475*44/12</f>
        <v>4.130948672912181E-19</v>
      </c>
      <c r="AC164" s="22">
        <f t="shared" si="163"/>
        <v>0.47845758214368334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9.7543306765146564E-14</v>
      </c>
      <c r="AK164" s="13">
        <f t="shared" si="164"/>
        <v>1.4696264278629426E-12</v>
      </c>
      <c r="AL164" s="20">
        <f t="shared" si="165"/>
        <v>2.7294872878105889E-12</v>
      </c>
      <c r="AM164" s="59">
        <f t="shared" si="113"/>
        <v>293.33333333333604</v>
      </c>
      <c r="AN164" s="59">
        <f ca="1">AVERAGE(OFFSET($AM$3,0,0,'Données projet'!$E$10+1,1))-AVERAGE(OFFSET($H$3,0,0,'Données projet'!$E$10+1,1))</f>
        <v>405.59933429804329</v>
      </c>
      <c r="AO164" s="59">
        <f t="shared" si="144"/>
        <v>208.64922573363776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0.1159331898475111</v>
      </c>
      <c r="AW164" s="21">
        <f>EXP(-LN(2)/2)*AW163+(1-EXP(-LN(2)/2))/(LN(2)/2)*AQ164*AT164*VLOOKUP('Données projet'!$B$10,Paramètres!$A$1:$I$89,3,0)*0.475*44/12</f>
        <v>1.357640915844981E-19</v>
      </c>
      <c r="AX164" s="21">
        <f t="shared" si="166"/>
        <v>0.1159331898475111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-1.0995790944434703E-13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293.19327646293601</v>
      </c>
      <c r="BJ164" s="59">
        <f t="shared" si="146"/>
        <v>200.0769581869605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8.7853551971286331E-2</v>
      </c>
      <c r="BR164" s="21">
        <f>EXP(-LN(2)/2)*BR163+(1-EXP(-LN(2)/2))/(LN(2)/2)*BL164*BO164*VLOOKUP('Données projet'!$B$11,Paramètres!$A$1:$I$89,3,0)*0.475*44/12</f>
        <v>1.2680718787996234E-19</v>
      </c>
      <c r="BS164" s="22">
        <f t="shared" si="169"/>
        <v>8.7853551971286331E-2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1.3301360013429075E-13</v>
      </c>
      <c r="CA164" s="13">
        <f t="shared" si="170"/>
        <v>1.9329766731057041E-12</v>
      </c>
      <c r="CB164" s="20">
        <f t="shared" si="171"/>
        <v>3.5982663925596575E-12</v>
      </c>
      <c r="CC164" s="59">
        <f t="shared" si="119"/>
        <v>293.3333333333369</v>
      </c>
      <c r="CD164" s="59">
        <f ca="1">AVERAGE(OFFSET($CC$3,0,0,'Données projet'!$E$12+1,1))-AVERAGE(OFFSET($H$3,0,0,'Données projet'!$E$12+1,1))</f>
        <v>295.95249585728561</v>
      </c>
      <c r="CE164" s="59">
        <f t="shared" si="148"/>
        <v>306.85862495052709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0.10800963692628823</v>
      </c>
      <c r="CL164" s="21">
        <f>EXP(-LN(2)/25)*CL163+(1-EXP(-LN(2)/25))/(LN(2)/25)*Calculateur!CG164*Calculateur!CI164*VLOOKUP('Données projet'!$B$12,Paramètres!$A$1:$I$89,3,0)*0.475*44/12</f>
        <v>0.22149593949957483</v>
      </c>
      <c r="CM164" s="21">
        <f>EXP(-LN(2)/2)*CM163+(1-EXP(-LN(2)/2))/(LN(2)/2)*CG164*CJ164*VLOOKUP('Données projet'!$B$12,Paramètres!$A$1:$I$89,3,0)*0.475*44/12</f>
        <v>2.5052442029886205E-19</v>
      </c>
      <c r="CN164" s="22">
        <f t="shared" si="172"/>
        <v>0.32950557642586309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1.0818439477588981E-13</v>
      </c>
      <c r="CV164" s="13">
        <f t="shared" si="173"/>
        <v>1.6104228458716316E-12</v>
      </c>
      <c r="CW164" s="20">
        <f t="shared" si="174"/>
        <v>2.9932409441277661E-12</v>
      </c>
      <c r="CX164" s="59">
        <f t="shared" si="122"/>
        <v>293.33333333333633</v>
      </c>
      <c r="CY164" s="59">
        <f ca="1">AVERAGE(OFFSET($CX$3,0,0,'Données projet'!$E$13+1,1))-AVERAGE(OFFSET($H$3,0,0,'Données projet'!$E$13+1,1))</f>
        <v>461.10546083340631</v>
      </c>
      <c r="CZ164" s="59">
        <f t="shared" si="150"/>
        <v>233.41883071412587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0.10431998523842956</v>
      </c>
      <c r="DH164" s="21">
        <f>EXP(-LN(2)/2)*DH163+(1-EXP(-LN(2)/2))/(LN(2)/2)*DB164*DE164*VLOOKUP('Données projet'!$B$13,Paramètres!$A$1:$I$89,3,0)*0.475*44/12</f>
        <v>1.5057471975735396E-19</v>
      </c>
      <c r="DI164" s="22">
        <f t="shared" si="175"/>
        <v>0.10431998523842956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-4.1500243241898714E-13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296.376932094327</v>
      </c>
      <c r="DU164" s="59">
        <f t="shared" si="152"/>
        <v>350.93658329210882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0.20161798892907146</v>
      </c>
      <c r="EB164" s="21">
        <f>EXP(-LN(2)/25)*EB163+(1-EXP(-LN(2)/25))/(LN(2)/25)*Calculateur!DW164*Calculateur!DY164*VLOOKUP('Données projet'!$B$14,Paramètres!$A$1:$I$89,3,0)*0.475*44/12</f>
        <v>0.44915632986906451</v>
      </c>
      <c r="EC164" s="21">
        <f>EXP(-LN(2)/2)*EC163+(1-EXP(-LN(2)/2))/(LN(2)/2)*DW164*DZ164*VLOOKUP('Données projet'!$B$14,Paramètres!$A$1:$I$89,3,0)*0.475*44/12</f>
        <v>4.6977020443267227E-19</v>
      </c>
      <c r="ED164" s="22">
        <f t="shared" si="178"/>
        <v>0.65077431879813596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-5.1159076974727213E-13</v>
      </c>
      <c r="EK164" s="17">
        <f>EJ164*VLOOKUP('Données projet'!$B$15,Paramètres!$A$1:$I$89,3,0)*VLOOKUP('Données projet'!$B$15,Paramètres!$A$1:$I$89,5,0)</f>
        <v>-3.3519427233841269E-13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231.03244099494077</v>
      </c>
      <c r="EP164" s="59">
        <f t="shared" si="154"/>
        <v>280.29723026390741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0.16284529875040388</v>
      </c>
      <c r="EW164" s="21">
        <f>EXP(-LN(2)/25)*EW163+(1-EXP(-LN(2)/25))/(LN(2)/25)*Calculateur!ER164*Calculateur!ET164*VLOOKUP('Données projet'!$B$15,Paramètres!$A$1:$I$89,3,0)*0.475*44/12</f>
        <v>0.36278011258655157</v>
      </c>
      <c r="EX164" s="21">
        <f>EXP(-LN(2)/2)*EX163+(1-EXP(-LN(2)/2))/(LN(2)/2)*ER164*EU164*VLOOKUP('Données projet'!$B$15,Paramètres!$A$1:$I$89,3,0)*0.475*44/12</f>
        <v>3.7942978050331203E-19</v>
      </c>
      <c r="EY164" s="22">
        <f t="shared" si="181"/>
        <v>0.52562541133695539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-5.1431925385259092E-13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351.15781452544906</v>
      </c>
      <c r="T165" s="59">
        <f t="shared" si="142"/>
        <v>271.54361159160169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0.1763774495719716</v>
      </c>
      <c r="AA165" s="21">
        <f>EXP(-LN(2)/25)*AA164+(1-EXP(-LN(2)/25))/(LN(2)/25)*Calculateur!V165*Calculateur!X165*VLOOKUP('Données projet'!$B$9,Paramètres!$A$1:$I$89,3,0)*0.475*44/12</f>
        <v>0.29038837137878526</v>
      </c>
      <c r="AB165" s="21">
        <f>EXP(-LN(2)/2)*AB164+(1-EXP(-LN(2)/2))/(LN(2)/2)*V165*Y165*VLOOKUP('Données projet'!$B$9,Paramètres!$A$1:$I$89,3,0)*0.475*44/12</f>
        <v>2.9210218193497724E-19</v>
      </c>
      <c r="AC165" s="22">
        <f t="shared" si="163"/>
        <v>0.46676582095075686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9.7543306765146564E-14</v>
      </c>
      <c r="AK165" s="13">
        <f t="shared" si="164"/>
        <v>1.4696264278629426E-12</v>
      </c>
      <c r="AL165" s="20">
        <f t="shared" si="165"/>
        <v>2.7294872878105889E-12</v>
      </c>
      <c r="AM165" s="59">
        <f t="shared" si="113"/>
        <v>293.33333333333604</v>
      </c>
      <c r="AN165" s="59">
        <f ca="1">AVERAGE(OFFSET($AM$3,0,0,'Données projet'!$E$10+1,1))-AVERAGE(OFFSET($H$3,0,0,'Données projet'!$E$10+1,1))</f>
        <v>405.59933429804329</v>
      </c>
      <c r="AO165" s="59">
        <f t="shared" si="144"/>
        <v>208.64922573363776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0.11276299067446942</v>
      </c>
      <c r="AW165" s="21">
        <f>EXP(-LN(2)/2)*AW164+(1-EXP(-LN(2)/2))/(LN(2)/2)*AQ165*AT165*VLOOKUP('Données projet'!$B$10,Paramètres!$A$1:$I$89,3,0)*0.475*44/12</f>
        <v>9.5999709801030099E-20</v>
      </c>
      <c r="AX165" s="21">
        <f t="shared" si="166"/>
        <v>0.11276299067446942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-1.0995790944434703E-13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293.19327646293601</v>
      </c>
      <c r="BJ165" s="59">
        <f t="shared" si="146"/>
        <v>200.0769581869605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8.5451191972613999E-2</v>
      </c>
      <c r="BR165" s="21">
        <f>EXP(-LN(2)/2)*BR164+(1-EXP(-LN(2)/2))/(LN(2)/2)*BL165*BO165*VLOOKUP('Données projet'!$B$11,Paramètres!$A$1:$I$89,3,0)*0.475*44/12</f>
        <v>8.9666222453117953E-20</v>
      </c>
      <c r="BS165" s="22">
        <f t="shared" si="169"/>
        <v>8.5451191972613999E-2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1.3301360013429075E-13</v>
      </c>
      <c r="CA165" s="13">
        <f t="shared" si="170"/>
        <v>1.9329766731057041E-12</v>
      </c>
      <c r="CB165" s="20">
        <f t="shared" si="171"/>
        <v>3.5982663925596575E-12</v>
      </c>
      <c r="CC165" s="59">
        <f t="shared" si="119"/>
        <v>293.3333333333369</v>
      </c>
      <c r="CD165" s="59">
        <f ca="1">AVERAGE(OFFSET($CC$3,0,0,'Données projet'!$E$12+1,1))-AVERAGE(OFFSET($H$3,0,0,'Données projet'!$E$12+1,1))</f>
        <v>295.95249585728561</v>
      </c>
      <c r="CE165" s="59">
        <f t="shared" si="148"/>
        <v>306.85862495052709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0.10589163382553719</v>
      </c>
      <c r="CL165" s="21">
        <f>EXP(-LN(2)/25)*CL164+(1-EXP(-LN(2)/25))/(LN(2)/25)*Calculateur!CG165*Calculateur!CI165*VLOOKUP('Données projet'!$B$12,Paramètres!$A$1:$I$89,3,0)*0.475*44/12</f>
        <v>0.21543912138599372</v>
      </c>
      <c r="CM165" s="21">
        <f>EXP(-LN(2)/2)*CM164+(1-EXP(-LN(2)/2))/(LN(2)/2)*CG165*CJ165*VLOOKUP('Données projet'!$B$12,Paramètres!$A$1:$I$89,3,0)*0.475*44/12</f>
        <v>1.7714751644615412E-19</v>
      </c>
      <c r="CN165" s="22">
        <f t="shared" si="172"/>
        <v>0.32133075521153093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1.0818439477588981E-13</v>
      </c>
      <c r="CV165" s="13">
        <f t="shared" si="173"/>
        <v>1.6104228458716316E-12</v>
      </c>
      <c r="CW165" s="20">
        <f t="shared" si="174"/>
        <v>2.9932409441277661E-12</v>
      </c>
      <c r="CX165" s="59">
        <f t="shared" si="122"/>
        <v>293.33333333333633</v>
      </c>
      <c r="CY165" s="59">
        <f ca="1">AVERAGE(OFFSET($CX$3,0,0,'Données projet'!$E$13+1,1))-AVERAGE(OFFSET($H$3,0,0,'Données projet'!$E$13+1,1))</f>
        <v>461.10546083340631</v>
      </c>
      <c r="CZ165" s="59">
        <f t="shared" si="150"/>
        <v>233.41883071412587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0.10146734975613511</v>
      </c>
      <c r="DH165" s="21">
        <f>EXP(-LN(2)/2)*DH164+(1-EXP(-LN(2)/2))/(LN(2)/2)*DB165*DE165*VLOOKUP('Données projet'!$B$13,Paramètres!$A$1:$I$89,3,0)*0.475*44/12</f>
        <v>1.0647240541568901E-19</v>
      </c>
      <c r="DI165" s="22">
        <f t="shared" si="175"/>
        <v>0.10146734975613511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-4.1500243241898714E-13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296.376932094327</v>
      </c>
      <c r="DU165" s="59">
        <f t="shared" si="152"/>
        <v>350.93658329210882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0.19766438314100285</v>
      </c>
      <c r="EB165" s="21">
        <f>EXP(-LN(2)/25)*EB164+(1-EXP(-LN(2)/25))/(LN(2)/25)*Calculateur!DW165*Calculateur!DY165*VLOOKUP('Données projet'!$B$14,Paramètres!$A$1:$I$89,3,0)*0.475*44/12</f>
        <v>0.43687412640869011</v>
      </c>
      <c r="EC165" s="21">
        <f>EXP(-LN(2)/2)*EC164+(1-EXP(-LN(2)/2))/(LN(2)/2)*DW165*DZ165*VLOOKUP('Données projet'!$B$14,Paramètres!$A$1:$I$89,3,0)*0.475*44/12</f>
        <v>3.321776971537333E-19</v>
      </c>
      <c r="ED165" s="22">
        <f t="shared" si="178"/>
        <v>0.63453850954969293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-5.1159076974727213E-13</v>
      </c>
      <c r="EK165" s="17">
        <f>EJ165*VLOOKUP('Données projet'!$B$15,Paramètres!$A$1:$I$89,3,0)*VLOOKUP('Données projet'!$B$15,Paramètres!$A$1:$I$89,5,0)</f>
        <v>-3.3519427233841269E-13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231.03244099494077</v>
      </c>
      <c r="EP165" s="59">
        <f t="shared" si="154"/>
        <v>280.29723026390741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0.15965200176773309</v>
      </c>
      <c r="EW165" s="21">
        <f>EXP(-LN(2)/25)*EW164+(1-EXP(-LN(2)/25))/(LN(2)/25)*Calculateur!ER165*Calculateur!ET165*VLOOKUP('Données projet'!$B$15,Paramètres!$A$1:$I$89,3,0)*0.475*44/12</f>
        <v>0.35285987133009533</v>
      </c>
      <c r="EX165" s="21">
        <f>EXP(-LN(2)/2)*EX164+(1-EXP(-LN(2)/2))/(LN(2)/2)*ER165*EU165*VLOOKUP('Données projet'!$B$15,Paramètres!$A$1:$I$89,3,0)*0.475*44/12</f>
        <v>2.6829737077801521E-19</v>
      </c>
      <c r="EY165" s="22">
        <f t="shared" si="181"/>
        <v>0.51251187309782842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-5.1431925385259092E-13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351.15781452544906</v>
      </c>
      <c r="T166" s="59">
        <f t="shared" si="142"/>
        <v>271.54361159160169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0.17291879536548688</v>
      </c>
      <c r="AA166" s="21">
        <f>EXP(-LN(2)/25)*AA165+(1-EXP(-LN(2)/25))/(LN(2)/25)*Calculateur!V166*Calculateur!X166*VLOOKUP('Données projet'!$B$9,Paramètres!$A$1:$I$89,3,0)*0.475*44/12</f>
        <v>0.28244768609257159</v>
      </c>
      <c r="AB166" s="21">
        <f>EXP(-LN(2)/2)*AB165+(1-EXP(-LN(2)/2))/(LN(2)/2)*V166*Y166*VLOOKUP('Données projet'!$B$9,Paramètres!$A$1:$I$89,3,0)*0.475*44/12</f>
        <v>2.0654743364560905E-19</v>
      </c>
      <c r="AC166" s="22">
        <f t="shared" si="163"/>
        <v>0.45536648145805847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9.7543306765146564E-14</v>
      </c>
      <c r="AK166" s="13">
        <f t="shared" si="164"/>
        <v>1.4696264278629426E-12</v>
      </c>
      <c r="AL166" s="20">
        <f t="shared" si="165"/>
        <v>2.7294872878105889E-12</v>
      </c>
      <c r="AM166" s="59">
        <f t="shared" si="113"/>
        <v>293.33333333333604</v>
      </c>
      <c r="AN166" s="59">
        <f ca="1">AVERAGE(OFFSET($AM$3,0,0,'Données projet'!$E$10+1,1))-AVERAGE(OFFSET($H$3,0,0,'Données projet'!$E$10+1,1))</f>
        <v>405.59933429804329</v>
      </c>
      <c r="AO166" s="59">
        <f t="shared" si="144"/>
        <v>208.64922573363776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0.10967948076452809</v>
      </c>
      <c r="AW166" s="21">
        <f>EXP(-LN(2)/2)*AW165+(1-EXP(-LN(2)/2))/(LN(2)/2)*AQ166*AT166*VLOOKUP('Données projet'!$B$10,Paramètres!$A$1:$I$89,3,0)*0.475*44/12</f>
        <v>6.7882045792249051E-20</v>
      </c>
      <c r="AX166" s="21">
        <f t="shared" si="166"/>
        <v>0.10967948076452809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-1.0995790944434703E-13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293.19327646293601</v>
      </c>
      <c r="BJ166" s="59">
        <f t="shared" si="146"/>
        <v>200.0769581869605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8.3114524634439982E-2</v>
      </c>
      <c r="BR166" s="21">
        <f>EXP(-LN(2)/2)*BR165+(1-EXP(-LN(2)/2))/(LN(2)/2)*BL166*BO166*VLOOKUP('Données projet'!$B$11,Paramètres!$A$1:$I$89,3,0)*0.475*44/12</f>
        <v>6.340359393998117E-20</v>
      </c>
      <c r="BS166" s="22">
        <f t="shared" si="169"/>
        <v>8.3114524634439982E-2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1.3301360013429075E-13</v>
      </c>
      <c r="CA166" s="13">
        <f t="shared" si="170"/>
        <v>1.9329766731057041E-12</v>
      </c>
      <c r="CB166" s="20">
        <f t="shared" si="171"/>
        <v>3.5982663925596575E-12</v>
      </c>
      <c r="CC166" s="59">
        <f t="shared" si="119"/>
        <v>293.3333333333369</v>
      </c>
      <c r="CD166" s="59">
        <f ca="1">AVERAGE(OFFSET($CC$3,0,0,'Données projet'!$E$12+1,1))-AVERAGE(OFFSET($H$3,0,0,'Données projet'!$E$12+1,1))</f>
        <v>295.95249585728561</v>
      </c>
      <c r="CE166" s="59">
        <f t="shared" si="148"/>
        <v>306.85862495052709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0.10381516347373755</v>
      </c>
      <c r="CL166" s="21">
        <f>EXP(-LN(2)/25)*CL165+(1-EXP(-LN(2)/25))/(LN(2)/25)*Calculateur!CG166*Calculateur!CI166*VLOOKUP('Données projet'!$B$12,Paramètres!$A$1:$I$89,3,0)*0.475*44/12</f>
        <v>0.20954792728224272</v>
      </c>
      <c r="CM166" s="21">
        <f>EXP(-LN(2)/2)*CM165+(1-EXP(-LN(2)/2))/(LN(2)/2)*CG166*CJ166*VLOOKUP('Données projet'!$B$12,Paramètres!$A$1:$I$89,3,0)*0.475*44/12</f>
        <v>1.2526221014943103E-19</v>
      </c>
      <c r="CN166" s="22">
        <f t="shared" si="172"/>
        <v>0.31336309075598029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1.0818439477588981E-13</v>
      </c>
      <c r="CV166" s="13">
        <f t="shared" si="173"/>
        <v>1.6104228458716316E-12</v>
      </c>
      <c r="CW166" s="20">
        <f t="shared" si="174"/>
        <v>2.9932409441277661E-12</v>
      </c>
      <c r="CX166" s="59">
        <f t="shared" si="122"/>
        <v>293.33333333333633</v>
      </c>
      <c r="CY166" s="59">
        <f ca="1">AVERAGE(OFFSET($CX$3,0,0,'Données projet'!$E$13+1,1))-AVERAGE(OFFSET($H$3,0,0,'Données projet'!$E$13+1,1))</f>
        <v>461.10546083340631</v>
      </c>
      <c r="CZ166" s="59">
        <f t="shared" si="150"/>
        <v>233.41883071412587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9.8692719741117582E-2</v>
      </c>
      <c r="DH166" s="21">
        <f>EXP(-LN(2)/2)*DH165+(1-EXP(-LN(2)/2))/(LN(2)/2)*DB166*DE166*VLOOKUP('Données projet'!$B$13,Paramètres!$A$1:$I$89,3,0)*0.475*44/12</f>
        <v>7.5287359878676991E-20</v>
      </c>
      <c r="DI166" s="22">
        <f t="shared" si="175"/>
        <v>9.8692719741117582E-2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-4.1500243241898714E-13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296.376932094327</v>
      </c>
      <c r="DU166" s="59">
        <f t="shared" si="152"/>
        <v>350.93658329210882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0.19378830515097686</v>
      </c>
      <c r="EB166" s="21">
        <f>EXP(-LN(2)/25)*EB165+(1-EXP(-LN(2)/25))/(LN(2)/25)*Calculateur!DW166*Calculateur!DY166*VLOOKUP('Données projet'!$B$14,Paramètres!$A$1:$I$89,3,0)*0.475*44/12</f>
        <v>0.42492778044783264</v>
      </c>
      <c r="EC166" s="21">
        <f>EXP(-LN(2)/2)*EC165+(1-EXP(-LN(2)/2))/(LN(2)/2)*DW166*DZ166*VLOOKUP('Données projet'!$B$14,Paramètres!$A$1:$I$89,3,0)*0.475*44/12</f>
        <v>2.3488510221633614E-19</v>
      </c>
      <c r="ED166" s="22">
        <f t="shared" si="178"/>
        <v>0.61871608559880953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-5.1159076974727213E-13</v>
      </c>
      <c r="EK166" s="17">
        <f>EJ166*VLOOKUP('Données projet'!$B$15,Paramètres!$A$1:$I$89,3,0)*VLOOKUP('Données projet'!$B$15,Paramètres!$A$1:$I$89,5,0)</f>
        <v>-3.3519427233841269E-13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231.03244099494077</v>
      </c>
      <c r="EP166" s="59">
        <f t="shared" si="154"/>
        <v>280.29723026390741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0.15652132339117364</v>
      </c>
      <c r="EW166" s="21">
        <f>EXP(-LN(2)/25)*EW165+(1-EXP(-LN(2)/25))/(LN(2)/25)*Calculateur!ER166*Calculateur!ET166*VLOOKUP('Données projet'!$B$15,Paramètres!$A$1:$I$89,3,0)*0.475*44/12</f>
        <v>0.34321089959247969</v>
      </c>
      <c r="EX166" s="21">
        <f>EXP(-LN(2)/2)*EX165+(1-EXP(-LN(2)/2))/(LN(2)/2)*ER166*EU166*VLOOKUP('Données projet'!$B$15,Paramètres!$A$1:$I$89,3,0)*0.475*44/12</f>
        <v>1.8971489025165602E-19</v>
      </c>
      <c r="EY166" s="22">
        <f t="shared" si="181"/>
        <v>0.49973222298365333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-5.1431925385259092E-13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351.15781452544906</v>
      </c>
      <c r="T167" s="59">
        <f t="shared" si="142"/>
        <v>271.54361159160169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0.16952796325842054</v>
      </c>
      <c r="AA167" s="21">
        <f>EXP(-LN(2)/25)*AA166+(1-EXP(-LN(2)/25))/(LN(2)/25)*Calculateur!V167*Calculateur!X167*VLOOKUP('Données projet'!$B$9,Paramètres!$A$1:$I$89,3,0)*0.475*44/12</f>
        <v>0.27472413926309197</v>
      </c>
      <c r="AB167" s="21">
        <f>EXP(-LN(2)/2)*AB166+(1-EXP(-LN(2)/2))/(LN(2)/2)*V167*Y167*VLOOKUP('Données projet'!$B$9,Paramètres!$A$1:$I$89,3,0)*0.475*44/12</f>
        <v>1.4605109096748862E-19</v>
      </c>
      <c r="AC167" s="22">
        <f t="shared" si="163"/>
        <v>0.44425210252151248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9.7543306765146564E-14</v>
      </c>
      <c r="AK167" s="13">
        <f t="shared" si="164"/>
        <v>1.4696264278629426E-12</v>
      </c>
      <c r="AL167" s="20">
        <f t="shared" si="165"/>
        <v>2.7294872878105889E-12</v>
      </c>
      <c r="AM167" s="59">
        <f t="shared" si="113"/>
        <v>293.33333333333604</v>
      </c>
      <c r="AN167" s="59">
        <f ca="1">AVERAGE(OFFSET($AM$3,0,0,'Données projet'!$E$10+1,1))-AVERAGE(OFFSET($H$3,0,0,'Données projet'!$E$10+1,1))</f>
        <v>405.59933429804329</v>
      </c>
      <c r="AO167" s="59">
        <f t="shared" si="144"/>
        <v>208.64922573363776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0.10668028959522885</v>
      </c>
      <c r="AW167" s="21">
        <f>EXP(-LN(2)/2)*AW166+(1-EXP(-LN(2)/2))/(LN(2)/2)*AQ167*AT167*VLOOKUP('Données projet'!$B$10,Paramètres!$A$1:$I$89,3,0)*0.475*44/12</f>
        <v>4.799985490051505E-20</v>
      </c>
      <c r="AX167" s="21">
        <f t="shared" si="166"/>
        <v>0.10668028959522885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-1.0995790944434703E-13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293.19327646293601</v>
      </c>
      <c r="BJ167" s="59">
        <f t="shared" si="146"/>
        <v>200.0769581869605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8.0841753587508336E-2</v>
      </c>
      <c r="BR167" s="21">
        <f>EXP(-LN(2)/2)*BR166+(1-EXP(-LN(2)/2))/(LN(2)/2)*BL167*BO167*VLOOKUP('Données projet'!$B$11,Paramètres!$A$1:$I$89,3,0)*0.475*44/12</f>
        <v>4.4833111226558977E-20</v>
      </c>
      <c r="BS167" s="22">
        <f t="shared" si="169"/>
        <v>8.0841753587508336E-2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1.3301360013429075E-13</v>
      </c>
      <c r="CA167" s="13">
        <f t="shared" si="170"/>
        <v>1.9329766731057041E-12</v>
      </c>
      <c r="CB167" s="20">
        <f t="shared" si="171"/>
        <v>3.5982663925596575E-12</v>
      </c>
      <c r="CC167" s="59">
        <f t="shared" si="119"/>
        <v>293.3333333333369</v>
      </c>
      <c r="CD167" s="59">
        <f ca="1">AVERAGE(OFFSET($CC$3,0,0,'Données projet'!$E$12+1,1))-AVERAGE(OFFSET($H$3,0,0,'Données projet'!$E$12+1,1))</f>
        <v>295.95249585728561</v>
      </c>
      <c r="CE167" s="59">
        <f t="shared" si="148"/>
        <v>306.85862495052709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0.10177941143901485</v>
      </c>
      <c r="CL167" s="21">
        <f>EXP(-LN(2)/25)*CL166+(1-EXP(-LN(2)/25))/(LN(2)/25)*Calculateur!CG167*Calculateur!CI167*VLOOKUP('Données projet'!$B$12,Paramètres!$A$1:$I$89,3,0)*0.475*44/12</f>
        <v>0.20381782819106323</v>
      </c>
      <c r="CM167" s="21">
        <f>EXP(-LN(2)/2)*CM166+(1-EXP(-LN(2)/2))/(LN(2)/2)*CG167*CJ167*VLOOKUP('Données projet'!$B$12,Paramètres!$A$1:$I$89,3,0)*0.475*44/12</f>
        <v>8.857375822307706E-20</v>
      </c>
      <c r="CN167" s="22">
        <f t="shared" si="172"/>
        <v>0.30559723963007807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1.0818439477588981E-13</v>
      </c>
      <c r="CV167" s="13">
        <f t="shared" si="173"/>
        <v>1.6104228458716316E-12</v>
      </c>
      <c r="CW167" s="20">
        <f t="shared" si="174"/>
        <v>2.9932409441277661E-12</v>
      </c>
      <c r="CX167" s="59">
        <f t="shared" si="122"/>
        <v>293.33333333333633</v>
      </c>
      <c r="CY167" s="59">
        <f ca="1">AVERAGE(OFFSET($CX$3,0,0,'Données projet'!$E$13+1,1))-AVERAGE(OFFSET($H$3,0,0,'Données projet'!$E$13+1,1))</f>
        <v>461.10546083340631</v>
      </c>
      <c r="CZ167" s="59">
        <f t="shared" si="150"/>
        <v>233.41883071412587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9.5993962129772153E-2</v>
      </c>
      <c r="DH167" s="21">
        <f>EXP(-LN(2)/2)*DH166+(1-EXP(-LN(2)/2))/(LN(2)/2)*DB167*DE167*VLOOKUP('Données projet'!$B$13,Paramètres!$A$1:$I$89,3,0)*0.475*44/12</f>
        <v>5.3236202707844512E-20</v>
      </c>
      <c r="DI167" s="22">
        <f t="shared" si="175"/>
        <v>9.5993962129772153E-2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-4.1500243241898714E-13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296.376932094327</v>
      </c>
      <c r="DU167" s="59">
        <f t="shared" si="152"/>
        <v>350.93658329210882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0.18998823468616116</v>
      </c>
      <c r="EB167" s="21">
        <f>EXP(-LN(2)/25)*EB166+(1-EXP(-LN(2)/25))/(LN(2)/25)*Calculateur!DW167*Calculateur!DY167*VLOOKUP('Données projet'!$B$14,Paramètres!$A$1:$I$89,3,0)*0.475*44/12</f>
        <v>0.41330810794550588</v>
      </c>
      <c r="EC167" s="21">
        <f>EXP(-LN(2)/2)*EC166+(1-EXP(-LN(2)/2))/(LN(2)/2)*DW167*DZ167*VLOOKUP('Données projet'!$B$14,Paramètres!$A$1:$I$89,3,0)*0.475*44/12</f>
        <v>1.6608884857686665E-19</v>
      </c>
      <c r="ED167" s="22">
        <f t="shared" si="178"/>
        <v>0.60329634263166709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-5.1159076974727213E-13</v>
      </c>
      <c r="EK167" s="17">
        <f>EJ167*VLOOKUP('Données projet'!$B$15,Paramètres!$A$1:$I$89,3,0)*VLOOKUP('Données projet'!$B$15,Paramètres!$A$1:$I$89,5,0)</f>
        <v>-3.3519427233841269E-13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231.03244099494077</v>
      </c>
      <c r="EP167" s="59">
        <f t="shared" si="154"/>
        <v>280.29723026390741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0.15345203570805324</v>
      </c>
      <c r="EW167" s="21">
        <f>EXP(-LN(2)/25)*EW166+(1-EXP(-LN(2)/25))/(LN(2)/25)*Calculateur!ER167*Calculateur!ET167*VLOOKUP('Données projet'!$B$15,Paramètres!$A$1:$I$89,3,0)*0.475*44/12</f>
        <v>0.33382577949444653</v>
      </c>
      <c r="EX167" s="21">
        <f>EXP(-LN(2)/2)*EX166+(1-EXP(-LN(2)/2))/(LN(2)/2)*ER167*EU167*VLOOKUP('Données projet'!$B$15,Paramètres!$A$1:$I$89,3,0)*0.475*44/12</f>
        <v>1.3414868538900761E-19</v>
      </c>
      <c r="EY167" s="22">
        <f t="shared" si="181"/>
        <v>0.4872778152024998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-5.1431925385259092E-13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351.15781452544906</v>
      </c>
      <c r="T168" s="59">
        <f t="shared" si="142"/>
        <v>271.54361159160169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0.1662036233007704</v>
      </c>
      <c r="AA168" s="21">
        <f>EXP(-LN(2)/25)*AA167+(1-EXP(-LN(2)/25))/(LN(2)/25)*Calculateur!V168*Calculateur!X168*VLOOKUP('Données projet'!$B$9,Paramètres!$A$1:$I$89,3,0)*0.475*44/12</f>
        <v>0.26721179322782812</v>
      </c>
      <c r="AB168" s="21">
        <f>EXP(-LN(2)/2)*AB167+(1-EXP(-LN(2)/2))/(LN(2)/2)*V168*Y168*VLOOKUP('Données projet'!$B$9,Paramètres!$A$1:$I$89,3,0)*0.475*44/12</f>
        <v>1.0327371682280452E-19</v>
      </c>
      <c r="AC168" s="22">
        <f t="shared" si="163"/>
        <v>0.4334154165285985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9.7543306765146564E-14</v>
      </c>
      <c r="AK168" s="13">
        <f t="shared" si="164"/>
        <v>1.4696264278629426E-12</v>
      </c>
      <c r="AL168" s="20">
        <f t="shared" si="165"/>
        <v>2.7294872878105889E-12</v>
      </c>
      <c r="AM168" s="59">
        <f t="shared" si="113"/>
        <v>293.33333333333604</v>
      </c>
      <c r="AN168" s="59">
        <f ca="1">AVERAGE(OFFSET($AM$3,0,0,'Données projet'!$E$10+1,1))-AVERAGE(OFFSET($H$3,0,0,'Données projet'!$E$10+1,1))</f>
        <v>405.59933429804329</v>
      </c>
      <c r="AO168" s="59">
        <f t="shared" si="144"/>
        <v>208.64922573363776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0.10376311146617472</v>
      </c>
      <c r="AW168" s="21">
        <f>EXP(-LN(2)/2)*AW167+(1-EXP(-LN(2)/2))/(LN(2)/2)*AQ168*AT168*VLOOKUP('Données projet'!$B$10,Paramètres!$A$1:$I$89,3,0)*0.475*44/12</f>
        <v>3.3941022896124526E-20</v>
      </c>
      <c r="AX168" s="21">
        <f t="shared" si="166"/>
        <v>0.10376311146617472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-1.0995790944434703E-13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293.19327646293601</v>
      </c>
      <c r="BJ168" s="59">
        <f t="shared" si="146"/>
        <v>200.0769581869605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7.8631131584374861E-2</v>
      </c>
      <c r="BR168" s="21">
        <f>EXP(-LN(2)/2)*BR167+(1-EXP(-LN(2)/2))/(LN(2)/2)*BL168*BO168*VLOOKUP('Données projet'!$B$11,Paramètres!$A$1:$I$89,3,0)*0.475*44/12</f>
        <v>3.1701796969990585E-20</v>
      </c>
      <c r="BS168" s="22">
        <f t="shared" si="169"/>
        <v>7.8631131584374861E-2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1.3301360013429075E-13</v>
      </c>
      <c r="CA168" s="13">
        <f t="shared" si="170"/>
        <v>1.9329766731057041E-12</v>
      </c>
      <c r="CB168" s="20">
        <f t="shared" si="171"/>
        <v>3.5982663925596575E-12</v>
      </c>
      <c r="CC168" s="59">
        <f t="shared" si="119"/>
        <v>293.3333333333369</v>
      </c>
      <c r="CD168" s="59">
        <f ca="1">AVERAGE(OFFSET($CC$3,0,0,'Données projet'!$E$12+1,1))-AVERAGE(OFFSET($H$3,0,0,'Données projet'!$E$12+1,1))</f>
        <v>295.95249585728561</v>
      </c>
      <c r="CE168" s="59">
        <f t="shared" si="148"/>
        <v>306.85862495052709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9.978357926000693E-2</v>
      </c>
      <c r="CL168" s="21">
        <f>EXP(-LN(2)/25)*CL167+(1-EXP(-LN(2)/25))/(LN(2)/25)*Calculateur!CG168*Calculateur!CI168*VLOOKUP('Données projet'!$B$12,Paramètres!$A$1:$I$89,3,0)*0.475*44/12</f>
        <v>0.19824441896086484</v>
      </c>
      <c r="CM168" s="21">
        <f>EXP(-LN(2)/2)*CM167+(1-EXP(-LN(2)/2))/(LN(2)/2)*CG168*CJ168*VLOOKUP('Données projet'!$B$12,Paramètres!$A$1:$I$89,3,0)*0.475*44/12</f>
        <v>6.2631105074715514E-20</v>
      </c>
      <c r="CN168" s="22">
        <f t="shared" si="172"/>
        <v>0.29802799822087178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1.0818439477588981E-13</v>
      </c>
      <c r="CV168" s="13">
        <f t="shared" si="173"/>
        <v>1.6104228458716316E-12</v>
      </c>
      <c r="CW168" s="20">
        <f t="shared" si="174"/>
        <v>2.9932409441277661E-12</v>
      </c>
      <c r="CX168" s="59">
        <f t="shared" si="122"/>
        <v>293.33333333333633</v>
      </c>
      <c r="CY168" s="59">
        <f ca="1">AVERAGE(OFFSET($CX$3,0,0,'Données projet'!$E$13+1,1))-AVERAGE(OFFSET($H$3,0,0,'Données projet'!$E$13+1,1))</f>
        <v>461.10546083340631</v>
      </c>
      <c r="CZ168" s="59">
        <f t="shared" si="150"/>
        <v>233.41883071412587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9.336900218723046E-2</v>
      </c>
      <c r="DH168" s="21">
        <f>EXP(-LN(2)/2)*DH167+(1-EXP(-LN(2)/2))/(LN(2)/2)*DB168*DE168*VLOOKUP('Données projet'!$B$13,Paramètres!$A$1:$I$89,3,0)*0.475*44/12</f>
        <v>3.7643679939338502E-20</v>
      </c>
      <c r="DI168" s="22">
        <f t="shared" si="175"/>
        <v>9.336900218723046E-2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-4.1500243241898714E-13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296.376932094327</v>
      </c>
      <c r="DU168" s="59">
        <f t="shared" si="152"/>
        <v>350.93658329210882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0.18626268128534637</v>
      </c>
      <c r="EB168" s="21">
        <f>EXP(-LN(2)/25)*EB167+(1-EXP(-LN(2)/25))/(LN(2)/25)*Calculateur!DW168*Calculateur!DY168*VLOOKUP('Données projet'!$B$14,Paramètres!$A$1:$I$89,3,0)*0.475*44/12</f>
        <v>0.40200617599880722</v>
      </c>
      <c r="EC168" s="21">
        <f>EXP(-LN(2)/2)*EC167+(1-EXP(-LN(2)/2))/(LN(2)/2)*DW168*DZ168*VLOOKUP('Données projet'!$B$14,Paramètres!$A$1:$I$89,3,0)*0.475*44/12</f>
        <v>1.1744255110816807E-19</v>
      </c>
      <c r="ED168" s="22">
        <f t="shared" si="178"/>
        <v>0.58826885728415357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-5.1159076974727213E-13</v>
      </c>
      <c r="EK168" s="17">
        <f>EJ168*VLOOKUP('Données projet'!$B$15,Paramètres!$A$1:$I$89,3,0)*VLOOKUP('Données projet'!$B$15,Paramètres!$A$1:$I$89,5,0)</f>
        <v>-3.3519427233841269E-13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231.03244099494077</v>
      </c>
      <c r="EP168" s="59">
        <f t="shared" si="154"/>
        <v>280.29723026390741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0.1504429348843182</v>
      </c>
      <c r="EW168" s="21">
        <f>EXP(-LN(2)/25)*EW167+(1-EXP(-LN(2)/25))/(LN(2)/25)*Calculateur!ER168*Calculateur!ET168*VLOOKUP('Données projet'!$B$15,Paramètres!$A$1:$I$89,3,0)*0.475*44/12</f>
        <v>0.32469729599903613</v>
      </c>
      <c r="EX168" s="21">
        <f>EXP(-LN(2)/2)*EX167+(1-EXP(-LN(2)/2))/(LN(2)/2)*ER168*EU168*VLOOKUP('Données projet'!$B$15,Paramètres!$A$1:$I$89,3,0)*0.475*44/12</f>
        <v>9.4857445125828008E-20</v>
      </c>
      <c r="EY168" s="22">
        <f t="shared" si="181"/>
        <v>0.47514023088335433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-5.1431925385259092E-13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351.15781452544906</v>
      </c>
      <c r="T169" s="59">
        <f t="shared" si="142"/>
        <v>271.54361159160169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0.16294447162204265</v>
      </c>
      <c r="AA169" s="21">
        <f>EXP(-LN(2)/25)*AA168+(1-EXP(-LN(2)/25))/(LN(2)/25)*Calculateur!V169*Calculateur!X169*VLOOKUP('Données projet'!$B$9,Paramètres!$A$1:$I$89,3,0)*0.475*44/12</f>
        <v>0.25990487268995566</v>
      </c>
      <c r="AB169" s="21">
        <f>EXP(-LN(2)/2)*AB168+(1-EXP(-LN(2)/2))/(LN(2)/2)*V169*Y169*VLOOKUP('Données projet'!$B$9,Paramètres!$A$1:$I$89,3,0)*0.475*44/12</f>
        <v>7.302554548374431E-20</v>
      </c>
      <c r="AC169" s="22">
        <f t="shared" si="163"/>
        <v>0.42284934431199828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9.7543306765146564E-14</v>
      </c>
      <c r="AK169" s="13">
        <f t="shared" si="164"/>
        <v>1.4696264278629426E-12</v>
      </c>
      <c r="AL169" s="20">
        <f t="shared" si="165"/>
        <v>2.7294872878105889E-12</v>
      </c>
      <c r="AM169" s="59">
        <f t="shared" si="113"/>
        <v>293.33333333333604</v>
      </c>
      <c r="AN169" s="59">
        <f ca="1">AVERAGE(OFFSET($AM$3,0,0,'Données projet'!$E$10+1,1))-AVERAGE(OFFSET($H$3,0,0,'Données projet'!$E$10+1,1))</f>
        <v>405.59933429804329</v>
      </c>
      <c r="AO169" s="59">
        <f t="shared" si="144"/>
        <v>208.64922573363776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0.10092570372646729</v>
      </c>
      <c r="AW169" s="21">
        <f>EXP(-LN(2)/2)*AW168+(1-EXP(-LN(2)/2))/(LN(2)/2)*AQ169*AT169*VLOOKUP('Données projet'!$B$10,Paramètres!$A$1:$I$89,3,0)*0.475*44/12</f>
        <v>2.3999927450257525E-20</v>
      </c>
      <c r="AX169" s="21">
        <f t="shared" si="166"/>
        <v>0.10092570372646729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-1.0995790944434703E-13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293.19327646293601</v>
      </c>
      <c r="BJ169" s="59">
        <f t="shared" si="146"/>
        <v>200.0769581869605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7.6480959156168635E-2</v>
      </c>
      <c r="BR169" s="21">
        <f>EXP(-LN(2)/2)*BR168+(1-EXP(-LN(2)/2))/(LN(2)/2)*BL169*BO169*VLOOKUP('Données projet'!$B$11,Paramètres!$A$1:$I$89,3,0)*0.475*44/12</f>
        <v>2.2416555613279488E-20</v>
      </c>
      <c r="BS169" s="22">
        <f t="shared" si="169"/>
        <v>7.6480959156168635E-2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1.3301360013429075E-13</v>
      </c>
      <c r="CA169" s="13">
        <f t="shared" si="170"/>
        <v>1.9329766731057041E-12</v>
      </c>
      <c r="CB169" s="20">
        <f t="shared" si="171"/>
        <v>3.5982663925596575E-12</v>
      </c>
      <c r="CC169" s="59">
        <f t="shared" si="119"/>
        <v>293.3333333333369</v>
      </c>
      <c r="CD169" s="59">
        <f ca="1">AVERAGE(OFFSET($CC$3,0,0,'Données projet'!$E$12+1,1))-AVERAGE(OFFSET($H$3,0,0,'Données projet'!$E$12+1,1))</f>
        <v>295.95249585728561</v>
      </c>
      <c r="CE169" s="59">
        <f t="shared" si="148"/>
        <v>306.85862495052709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9.7826884132691916E-2</v>
      </c>
      <c r="CL169" s="21">
        <f>EXP(-LN(2)/25)*CL168+(1-EXP(-LN(2)/25))/(LN(2)/25)*Calculateur!CG169*Calculateur!CI169*VLOOKUP('Données projet'!$B$12,Paramètres!$A$1:$I$89,3,0)*0.475*44/12</f>
        <v>0.19282341489915908</v>
      </c>
      <c r="CM169" s="21">
        <f>EXP(-LN(2)/2)*CM168+(1-EXP(-LN(2)/2))/(LN(2)/2)*CG169*CJ169*VLOOKUP('Données projet'!$B$12,Paramètres!$A$1:$I$89,3,0)*0.475*44/12</f>
        <v>4.428687911153853E-20</v>
      </c>
      <c r="CN169" s="22">
        <f t="shared" si="172"/>
        <v>0.29065029903185102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1.0818439477588981E-13</v>
      </c>
      <c r="CV169" s="13">
        <f t="shared" si="173"/>
        <v>1.6104228458716316E-12</v>
      </c>
      <c r="CW169" s="20">
        <f t="shared" si="174"/>
        <v>2.9932409441277661E-12</v>
      </c>
      <c r="CX169" s="59">
        <f t="shared" si="122"/>
        <v>293.33333333333633</v>
      </c>
      <c r="CY169" s="59">
        <f ca="1">AVERAGE(OFFSET($CX$3,0,0,'Données projet'!$E$13+1,1))-AVERAGE(OFFSET($H$3,0,0,'Données projet'!$E$13+1,1))</f>
        <v>461.10546083340631</v>
      </c>
      <c r="CZ169" s="59">
        <f t="shared" si="150"/>
        <v>233.41883071412587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9.0815821912358222E-2</v>
      </c>
      <c r="DH169" s="21">
        <f>EXP(-LN(2)/2)*DH168+(1-EXP(-LN(2)/2))/(LN(2)/2)*DB169*DE169*VLOOKUP('Données projet'!$B$13,Paramètres!$A$1:$I$89,3,0)*0.475*44/12</f>
        <v>2.6618101353922259E-20</v>
      </c>
      <c r="DI169" s="22">
        <f t="shared" si="175"/>
        <v>9.0815821912358222E-2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-4.1500243241898714E-13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296.376932094327</v>
      </c>
      <c r="DU169" s="59">
        <f t="shared" si="152"/>
        <v>350.93658329210882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0.18261018371435836</v>
      </c>
      <c r="EB169" s="21">
        <f>EXP(-LN(2)/25)*EB168+(1-EXP(-LN(2)/25))/(LN(2)/25)*Calculateur!DW169*Calculateur!DY169*VLOOKUP('Données projet'!$B$14,Paramètres!$A$1:$I$89,3,0)*0.475*44/12</f>
        <v>0.39101329597553386</v>
      </c>
      <c r="EC169" s="21">
        <f>EXP(-LN(2)/2)*EC168+(1-EXP(-LN(2)/2))/(LN(2)/2)*DW169*DZ169*VLOOKUP('Données projet'!$B$14,Paramètres!$A$1:$I$89,3,0)*0.475*44/12</f>
        <v>8.3044424288433324E-20</v>
      </c>
      <c r="ED169" s="22">
        <f t="shared" si="178"/>
        <v>0.57362347968989225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-5.1159076974727213E-13</v>
      </c>
      <c r="EK169" s="17">
        <f>EJ169*VLOOKUP('Données projet'!$B$15,Paramètres!$A$1:$I$89,3,0)*VLOOKUP('Données projet'!$B$15,Paramètres!$A$1:$I$89,5,0)</f>
        <v>-3.3519427233841269E-13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231.03244099494077</v>
      </c>
      <c r="EP169" s="59">
        <f t="shared" si="154"/>
        <v>280.29723026390741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0.14749284069236634</v>
      </c>
      <c r="EW169" s="21">
        <f>EXP(-LN(2)/25)*EW168+(1-EXP(-LN(2)/25))/(LN(2)/25)*Calculateur!ER169*Calculateur!ET169*VLOOKUP('Données projet'!$B$15,Paramètres!$A$1:$I$89,3,0)*0.475*44/12</f>
        <v>0.31581843136485377</v>
      </c>
      <c r="EX169" s="21">
        <f>EXP(-LN(2)/2)*EX168+(1-EXP(-LN(2)/2))/(LN(2)/2)*ER169*EU169*VLOOKUP('Données projet'!$B$15,Paramètres!$A$1:$I$89,3,0)*0.475*44/12</f>
        <v>6.7074342694503803E-20</v>
      </c>
      <c r="EY169" s="22">
        <f t="shared" si="181"/>
        <v>0.46331127205722011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-5.1431925385259092E-13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351.15781452544906</v>
      </c>
      <c r="T170" s="59">
        <f t="shared" si="142"/>
        <v>271.54361159160169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0.1597492299198485</v>
      </c>
      <c r="AA170" s="21">
        <f>EXP(-LN(2)/25)*AA169+(1-EXP(-LN(2)/25))/(LN(2)/25)*Calculateur!V170*Calculateur!X170*VLOOKUP('Données projet'!$B$9,Paramètres!$A$1:$I$89,3,0)*0.475*44/12</f>
        <v>0.25279776027844558</v>
      </c>
      <c r="AB170" s="21">
        <f>EXP(-LN(2)/2)*AB169+(1-EXP(-LN(2)/2))/(LN(2)/2)*V170*Y170*VLOOKUP('Données projet'!$B$9,Paramètres!$A$1:$I$89,3,0)*0.475*44/12</f>
        <v>5.1636858411402262E-20</v>
      </c>
      <c r="AC170" s="22">
        <f t="shared" si="163"/>
        <v>0.41254699019829411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9.7543306765146564E-14</v>
      </c>
      <c r="AK170" s="13">
        <f t="shared" si="164"/>
        <v>1.4696264278629426E-12</v>
      </c>
      <c r="AL170" s="20">
        <f t="shared" si="165"/>
        <v>2.7294872878105889E-12</v>
      </c>
      <c r="AM170" s="59">
        <f t="shared" si="113"/>
        <v>293.33333333333604</v>
      </c>
      <c r="AN170" s="59">
        <f ca="1">AVERAGE(OFFSET($AM$3,0,0,'Données projet'!$E$10+1,1))-AVERAGE(OFFSET($H$3,0,0,'Données projet'!$E$10+1,1))</f>
        <v>405.59933429804329</v>
      </c>
      <c r="AO170" s="59">
        <f t="shared" si="144"/>
        <v>208.64922573363776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9.8165885050614951E-2</v>
      </c>
      <c r="AW170" s="21">
        <f>EXP(-LN(2)/2)*AW169+(1-EXP(-LN(2)/2))/(LN(2)/2)*AQ170*AT170*VLOOKUP('Données projet'!$B$10,Paramètres!$A$1:$I$89,3,0)*0.475*44/12</f>
        <v>1.6970511448062263E-20</v>
      </c>
      <c r="AX170" s="21">
        <f t="shared" si="166"/>
        <v>9.8165885050614951E-2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-1.0995790944434703E-13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293.19327646293601</v>
      </c>
      <c r="BJ170" s="59">
        <f t="shared" si="146"/>
        <v>200.0769581869605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7.4389583306084361E-2</v>
      </c>
      <c r="BR170" s="21">
        <f>EXP(-LN(2)/2)*BR169+(1-EXP(-LN(2)/2))/(LN(2)/2)*BL170*BO170*VLOOKUP('Données projet'!$B$11,Paramètres!$A$1:$I$89,3,0)*0.475*44/12</f>
        <v>1.5850898484995292E-20</v>
      </c>
      <c r="BS170" s="22">
        <f t="shared" si="169"/>
        <v>7.4389583306084361E-2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1.3301360013429075E-13</v>
      </c>
      <c r="CA170" s="13">
        <f t="shared" si="170"/>
        <v>1.9329766731057041E-12</v>
      </c>
      <c r="CB170" s="20">
        <f t="shared" si="171"/>
        <v>3.5982663925596575E-12</v>
      </c>
      <c r="CC170" s="59">
        <f t="shared" si="119"/>
        <v>293.3333333333369</v>
      </c>
      <c r="CD170" s="59">
        <f ca="1">AVERAGE(OFFSET($CC$3,0,0,'Données projet'!$E$12+1,1))-AVERAGE(OFFSET($H$3,0,0,'Données projet'!$E$12+1,1))</f>
        <v>295.95249585728561</v>
      </c>
      <c r="CE170" s="59">
        <f t="shared" si="148"/>
        <v>306.85862495052709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9.5908558603357369E-2</v>
      </c>
      <c r="CL170" s="21">
        <f>EXP(-LN(2)/25)*CL169+(1-EXP(-LN(2)/25))/(LN(2)/25)*Calculateur!CG170*Calculateur!CI170*VLOOKUP('Données projet'!$B$12,Paramètres!$A$1:$I$89,3,0)*0.475*44/12</f>
        <v>0.1875506484785989</v>
      </c>
      <c r="CM170" s="21">
        <f>EXP(-LN(2)/2)*CM169+(1-EXP(-LN(2)/2))/(LN(2)/2)*CG170*CJ170*VLOOKUP('Données projet'!$B$12,Paramètres!$A$1:$I$89,3,0)*0.475*44/12</f>
        <v>3.1315552537357757E-20</v>
      </c>
      <c r="CN170" s="22">
        <f t="shared" si="172"/>
        <v>0.28345920708195627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1.0818439477588981E-13</v>
      </c>
      <c r="CV170" s="13">
        <f t="shared" si="173"/>
        <v>1.6104228458716316E-12</v>
      </c>
      <c r="CW170" s="20">
        <f t="shared" si="174"/>
        <v>2.9932409441277661E-12</v>
      </c>
      <c r="CX170" s="59">
        <f t="shared" si="122"/>
        <v>293.33333333333633</v>
      </c>
      <c r="CY170" s="59">
        <f ca="1">AVERAGE(OFFSET($CX$3,0,0,'Données projet'!$E$13+1,1))-AVERAGE(OFFSET($H$3,0,0,'Données projet'!$E$13+1,1))</f>
        <v>461.10546083340631</v>
      </c>
      <c r="CZ170" s="59">
        <f t="shared" si="150"/>
        <v>233.41883071412587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8.8332458486368268E-2</v>
      </c>
      <c r="DH170" s="21">
        <f>EXP(-LN(2)/2)*DH169+(1-EXP(-LN(2)/2))/(LN(2)/2)*DB170*DE170*VLOOKUP('Données projet'!$B$13,Paramètres!$A$1:$I$89,3,0)*0.475*44/12</f>
        <v>1.8821839969669254E-20</v>
      </c>
      <c r="DI170" s="22">
        <f t="shared" si="175"/>
        <v>8.8332458486368268E-2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-4.1500243241898714E-13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296.376932094327</v>
      </c>
      <c r="DU170" s="59">
        <f t="shared" si="152"/>
        <v>350.93658329210882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0.17902930939293388</v>
      </c>
      <c r="EB170" s="21">
        <f>EXP(-LN(2)/25)*EB169+(1-EXP(-LN(2)/25))/(LN(2)/25)*Calculateur!DW170*Calculateur!DY170*VLOOKUP('Données projet'!$B$14,Paramètres!$A$1:$I$89,3,0)*0.475*44/12</f>
        <v>0.3803210168345873</v>
      </c>
      <c r="EC170" s="21">
        <f>EXP(-LN(2)/2)*EC169+(1-EXP(-LN(2)/2))/(LN(2)/2)*DW170*DZ170*VLOOKUP('Données projet'!$B$14,Paramètres!$A$1:$I$89,3,0)*0.475*44/12</f>
        <v>5.8721275554084034E-20</v>
      </c>
      <c r="ED170" s="22">
        <f t="shared" si="178"/>
        <v>0.55935032622752123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-5.1159076974727213E-13</v>
      </c>
      <c r="EK170" s="17">
        <f>EJ170*VLOOKUP('Données projet'!$B$15,Paramètres!$A$1:$I$89,3,0)*VLOOKUP('Données projet'!$B$15,Paramètres!$A$1:$I$89,5,0)</f>
        <v>-3.3519427233841269E-13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231.03244099494077</v>
      </c>
      <c r="EP170" s="59">
        <f t="shared" si="154"/>
        <v>280.29723026390741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0.14460059604813888</v>
      </c>
      <c r="EW170" s="21">
        <f>EXP(-LN(2)/25)*EW169+(1-EXP(-LN(2)/25))/(LN(2)/25)*Calculateur!ER170*Calculateur!ET170*VLOOKUP('Données projet'!$B$15,Paramètres!$A$1:$I$89,3,0)*0.475*44/12</f>
        <v>0.30718235975101232</v>
      </c>
      <c r="EX170" s="21">
        <f>EXP(-LN(2)/2)*EX169+(1-EXP(-LN(2)/2))/(LN(2)/2)*ER170*EU170*VLOOKUP('Données projet'!$B$15,Paramètres!$A$1:$I$89,3,0)*0.475*44/12</f>
        <v>4.7428722562914004E-20</v>
      </c>
      <c r="EY170" s="22">
        <f t="shared" si="181"/>
        <v>0.45178295579915118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-5.1431925385259092E-13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351.15781452544906</v>
      </c>
      <c r="T171" s="59">
        <f t="shared" si="142"/>
        <v>271.54361159160169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0.15661664495852937</v>
      </c>
      <c r="AA171" s="21">
        <f>EXP(-LN(2)/25)*AA170+(1-EXP(-LN(2)/25))/(LN(2)/25)*Calculateur!V171*Calculateur!X171*VLOOKUP('Données projet'!$B$9,Paramètres!$A$1:$I$89,3,0)*0.475*44/12</f>
        <v>0.24588499222957505</v>
      </c>
      <c r="AB171" s="21">
        <f>EXP(-LN(2)/2)*AB170+(1-EXP(-LN(2)/2))/(LN(2)/2)*V171*Y171*VLOOKUP('Données projet'!$B$9,Paramètres!$A$1:$I$89,3,0)*0.475*44/12</f>
        <v>3.6512772741872155E-20</v>
      </c>
      <c r="AC171" s="22">
        <f t="shared" si="163"/>
        <v>0.40250163718810439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9.7543306765146564E-14</v>
      </c>
      <c r="AK171" s="13">
        <f t="shared" si="164"/>
        <v>1.4696264278629426E-12</v>
      </c>
      <c r="AL171" s="20">
        <f t="shared" si="165"/>
        <v>2.7294872878105889E-12</v>
      </c>
      <c r="AM171" s="59">
        <f t="shared" si="113"/>
        <v>293.33333333333604</v>
      </c>
      <c r="AN171" s="59">
        <f ca="1">AVERAGE(OFFSET($AM$3,0,0,'Données projet'!$E$10+1,1))-AVERAGE(OFFSET($H$3,0,0,'Données projet'!$E$10+1,1))</f>
        <v>405.59933429804329</v>
      </c>
      <c r="AO171" s="59">
        <f t="shared" si="144"/>
        <v>208.64922573363776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9.5481533761586357E-2</v>
      </c>
      <c r="AW171" s="21">
        <f>EXP(-LN(2)/2)*AW170+(1-EXP(-LN(2)/2))/(LN(2)/2)*AQ171*AT171*VLOOKUP('Données projet'!$B$10,Paramètres!$A$1:$I$89,3,0)*0.475*44/12</f>
        <v>1.1999963725128762E-20</v>
      </c>
      <c r="AX171" s="21">
        <f t="shared" si="166"/>
        <v>9.5481533761586357E-2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-1.0995790944434703E-13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293.19327646293601</v>
      </c>
      <c r="BJ171" s="59">
        <f t="shared" si="146"/>
        <v>200.0769581869605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7.2355396238601322E-2</v>
      </c>
      <c r="BR171" s="21">
        <f>EXP(-LN(2)/2)*BR170+(1-EXP(-LN(2)/2))/(LN(2)/2)*BL171*BO171*VLOOKUP('Données projet'!$B$11,Paramètres!$A$1:$I$89,3,0)*0.475*44/12</f>
        <v>1.1208277806639744E-20</v>
      </c>
      <c r="BS171" s="22">
        <f t="shared" si="169"/>
        <v>7.2355396238601322E-2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1.3301360013429075E-13</v>
      </c>
      <c r="CA171" s="13">
        <f t="shared" si="170"/>
        <v>1.9329766731057041E-12</v>
      </c>
      <c r="CB171" s="20">
        <f t="shared" si="171"/>
        <v>3.5982663925596575E-12</v>
      </c>
      <c r="CC171" s="59">
        <f t="shared" si="119"/>
        <v>293.3333333333369</v>
      </c>
      <c r="CD171" s="59">
        <f ca="1">AVERAGE(OFFSET($CC$3,0,0,'Données projet'!$E$12+1,1))-AVERAGE(OFFSET($H$3,0,0,'Données projet'!$E$12+1,1))</f>
        <v>295.95249585728561</v>
      </c>
      <c r="CE171" s="59">
        <f t="shared" si="148"/>
        <v>306.85862495052709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9.4027850267590043E-2</v>
      </c>
      <c r="CL171" s="21">
        <f>EXP(-LN(2)/25)*CL170+(1-EXP(-LN(2)/25))/(LN(2)/25)*Calculateur!CG171*Calculateur!CI171*VLOOKUP('Données projet'!$B$12,Paramètres!$A$1:$I$89,3,0)*0.475*44/12</f>
        <v>0.18242206613309167</v>
      </c>
      <c r="CM171" s="21">
        <f>EXP(-LN(2)/2)*CM170+(1-EXP(-LN(2)/2))/(LN(2)/2)*CG171*CJ171*VLOOKUP('Données projet'!$B$12,Paramètres!$A$1:$I$89,3,0)*0.475*44/12</f>
        <v>2.2143439555769265E-20</v>
      </c>
      <c r="CN171" s="22">
        <f t="shared" si="172"/>
        <v>0.27644991640068173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1.0818439477588981E-13</v>
      </c>
      <c r="CV171" s="13">
        <f t="shared" si="173"/>
        <v>1.6104228458716316E-12</v>
      </c>
      <c r="CW171" s="20">
        <f t="shared" si="174"/>
        <v>2.9932409441277661E-12</v>
      </c>
      <c r="CX171" s="59">
        <f t="shared" si="122"/>
        <v>293.33333333333633</v>
      </c>
      <c r="CY171" s="59">
        <f ca="1">AVERAGE(OFFSET($CX$3,0,0,'Données projet'!$E$13+1,1))-AVERAGE(OFFSET($H$3,0,0,'Données projet'!$E$13+1,1))</f>
        <v>461.10546083340631</v>
      </c>
      <c r="CZ171" s="59">
        <f t="shared" si="150"/>
        <v>233.41883071412587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8.5917002763856429E-2</v>
      </c>
      <c r="DH171" s="21">
        <f>EXP(-LN(2)/2)*DH170+(1-EXP(-LN(2)/2))/(LN(2)/2)*DB171*DE171*VLOOKUP('Données projet'!$B$13,Paramètres!$A$1:$I$89,3,0)*0.475*44/12</f>
        <v>1.3309050676961133E-20</v>
      </c>
      <c r="DI171" s="22">
        <f t="shared" si="175"/>
        <v>8.5917002763856429E-2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-4.1500243241898714E-13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296.376932094327</v>
      </c>
      <c r="DU171" s="59">
        <f t="shared" si="152"/>
        <v>350.93658329210882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0.17551865383283485</v>
      </c>
      <c r="EB171" s="21">
        <f>EXP(-LN(2)/25)*EB170+(1-EXP(-LN(2)/25))/(LN(2)/25)*Calculateur!DW171*Calculateur!DY171*VLOOKUP('Données projet'!$B$14,Paramètres!$A$1:$I$89,3,0)*0.475*44/12</f>
        <v>0.36992111862903249</v>
      </c>
      <c r="EC171" s="21">
        <f>EXP(-LN(2)/2)*EC170+(1-EXP(-LN(2)/2))/(LN(2)/2)*DW171*DZ171*VLOOKUP('Données projet'!$B$14,Paramètres!$A$1:$I$89,3,0)*0.475*44/12</f>
        <v>4.1522212144216662E-20</v>
      </c>
      <c r="ED171" s="22">
        <f t="shared" si="178"/>
        <v>0.54543977246186737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-5.1159076974727213E-13</v>
      </c>
      <c r="EK171" s="17">
        <f>EJ171*VLOOKUP('Données projet'!$B$15,Paramètres!$A$1:$I$89,3,0)*VLOOKUP('Données projet'!$B$15,Paramètres!$A$1:$I$89,5,0)</f>
        <v>-3.3519427233841269E-13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231.03244099494077</v>
      </c>
      <c r="EP171" s="59">
        <f t="shared" si="154"/>
        <v>280.29723026390741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0.14176506655728968</v>
      </c>
      <c r="EW171" s="21">
        <f>EXP(-LN(2)/25)*EW170+(1-EXP(-LN(2)/25))/(LN(2)/25)*Calculateur!ER171*Calculateur!ET171*VLOOKUP('Données projet'!$B$15,Paramètres!$A$1:$I$89,3,0)*0.475*44/12</f>
        <v>0.29878244196960269</v>
      </c>
      <c r="EX171" s="21">
        <f>EXP(-LN(2)/2)*EX170+(1-EXP(-LN(2)/2))/(LN(2)/2)*ER171*EU171*VLOOKUP('Données projet'!$B$15,Paramètres!$A$1:$I$89,3,0)*0.475*44/12</f>
        <v>3.3537171347251902E-20</v>
      </c>
      <c r="EY171" s="22">
        <f t="shared" si="181"/>
        <v>0.4405475085268924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-5.1431925385259092E-13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351.15781452544906</v>
      </c>
      <c r="T172" s="59">
        <f t="shared" si="142"/>
        <v>271.54361159160169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0.15354548807761356</v>
      </c>
      <c r="AA172" s="21">
        <f>EXP(-LN(2)/25)*AA171+(1-EXP(-LN(2)/25))/(LN(2)/25)*Calculateur!V172*Calculateur!X172*VLOOKUP('Données projet'!$B$9,Paramètres!$A$1:$I$89,3,0)*0.475*44/12</f>
        <v>0.23916125418652756</v>
      </c>
      <c r="AB172" s="21">
        <f>EXP(-LN(2)/2)*AB171+(1-EXP(-LN(2)/2))/(LN(2)/2)*V172*Y172*VLOOKUP('Données projet'!$B$9,Paramètres!$A$1:$I$89,3,0)*0.475*44/12</f>
        <v>2.5818429205701131E-20</v>
      </c>
      <c r="AC172" s="22">
        <f t="shared" si="163"/>
        <v>0.39270674226414115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9.7543306765146564E-14</v>
      </c>
      <c r="AK172" s="13">
        <f t="shared" si="164"/>
        <v>1.4696264278629426E-12</v>
      </c>
      <c r="AL172" s="20">
        <f t="shared" si="165"/>
        <v>2.7294872878105889E-12</v>
      </c>
      <c r="AM172" s="59">
        <f t="shared" si="113"/>
        <v>293.33333333333604</v>
      </c>
      <c r="AN172" s="59">
        <f ca="1">AVERAGE(OFFSET($AM$3,0,0,'Données projet'!$E$10+1,1))-AVERAGE(OFFSET($H$3,0,0,'Données projet'!$E$10+1,1))</f>
        <v>405.59933429804329</v>
      </c>
      <c r="AO172" s="59">
        <f t="shared" si="144"/>
        <v>208.64922573363776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9.2870586199720148E-2</v>
      </c>
      <c r="AW172" s="21">
        <f>EXP(-LN(2)/2)*AW171+(1-EXP(-LN(2)/2))/(LN(2)/2)*AQ172*AT172*VLOOKUP('Données projet'!$B$10,Paramètres!$A$1:$I$89,3,0)*0.475*44/12</f>
        <v>8.4852557240311314E-21</v>
      </c>
      <c r="AX172" s="21">
        <f t="shared" si="166"/>
        <v>9.2870586199720148E-2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-1.0995790944434703E-13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293.19327646293601</v>
      </c>
      <c r="BJ172" s="59">
        <f t="shared" si="146"/>
        <v>200.0769581869605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7.0376834123451845E-2</v>
      </c>
      <c r="BR172" s="21">
        <f>EXP(-LN(2)/2)*BR171+(1-EXP(-LN(2)/2))/(LN(2)/2)*BL172*BO172*VLOOKUP('Données projet'!$B$11,Paramètres!$A$1:$I$89,3,0)*0.475*44/12</f>
        <v>7.9254492424976462E-21</v>
      </c>
      <c r="BS172" s="22">
        <f t="shared" si="169"/>
        <v>7.0376834123451845E-2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1.3301360013429075E-13</v>
      </c>
      <c r="CA172" s="13">
        <f t="shared" si="170"/>
        <v>1.9329766731057041E-12</v>
      </c>
      <c r="CB172" s="20">
        <f t="shared" si="171"/>
        <v>3.5982663925596575E-12</v>
      </c>
      <c r="CC172" s="59">
        <f t="shared" si="119"/>
        <v>293.3333333333369</v>
      </c>
      <c r="CD172" s="59">
        <f ca="1">AVERAGE(OFFSET($CC$3,0,0,'Données projet'!$E$12+1,1))-AVERAGE(OFFSET($H$3,0,0,'Données projet'!$E$12+1,1))</f>
        <v>295.95249585728561</v>
      </c>
      <c r="CE172" s="59">
        <f t="shared" si="148"/>
        <v>306.85862495052709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9.2184021475168298E-2</v>
      </c>
      <c r="CL172" s="21">
        <f>EXP(-LN(2)/25)*CL171+(1-EXP(-LN(2)/25))/(LN(2)/25)*Calculateur!CG172*Calculateur!CI172*VLOOKUP('Données projet'!$B$12,Paramètres!$A$1:$I$89,3,0)*0.475*44/12</f>
        <v>0.17743372514152275</v>
      </c>
      <c r="CM172" s="21">
        <f>EXP(-LN(2)/2)*CM171+(1-EXP(-LN(2)/2))/(LN(2)/2)*CG172*CJ172*VLOOKUP('Données projet'!$B$12,Paramètres!$A$1:$I$89,3,0)*0.475*44/12</f>
        <v>1.5657776268678878E-20</v>
      </c>
      <c r="CN172" s="22">
        <f t="shared" si="172"/>
        <v>0.26961774661669102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1.0818439477588981E-13</v>
      </c>
      <c r="CV172" s="13">
        <f t="shared" si="173"/>
        <v>1.6104228458716316E-12</v>
      </c>
      <c r="CW172" s="20">
        <f t="shared" si="174"/>
        <v>2.9932409441277661E-12</v>
      </c>
      <c r="CX172" s="59">
        <f t="shared" si="122"/>
        <v>293.33333333333633</v>
      </c>
      <c r="CY172" s="59">
        <f ca="1">AVERAGE(OFFSET($CX$3,0,0,'Données projet'!$E$13+1,1))-AVERAGE(OFFSET($H$3,0,0,'Données projet'!$E$13+1,1))</f>
        <v>461.10546083340631</v>
      </c>
      <c r="CZ172" s="59">
        <f t="shared" si="150"/>
        <v>233.41883071412587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8.3567597805099966E-2</v>
      </c>
      <c r="DH172" s="21">
        <f>EXP(-LN(2)/2)*DH171+(1-EXP(-LN(2)/2))/(LN(2)/2)*DB172*DE172*VLOOKUP('Données projet'!$B$13,Paramètres!$A$1:$I$89,3,0)*0.475*44/12</f>
        <v>9.4109199848346284E-21</v>
      </c>
      <c r="DI172" s="22">
        <f t="shared" si="175"/>
        <v>8.3567597805099966E-2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-4.1500243241898714E-13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296.376932094327</v>
      </c>
      <c r="DU172" s="59">
        <f t="shared" si="152"/>
        <v>350.93658329210882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0.1720768400869809</v>
      </c>
      <c r="EB172" s="21">
        <f>EXP(-LN(2)/25)*EB171+(1-EXP(-LN(2)/25))/(LN(2)/25)*Calculateur!DW172*Calculateur!DY172*VLOOKUP('Données projet'!$B$14,Paramètres!$A$1:$I$89,3,0)*0.475*44/12</f>
        <v>0.35980560618681545</v>
      </c>
      <c r="EC172" s="21">
        <f>EXP(-LN(2)/2)*EC171+(1-EXP(-LN(2)/2))/(LN(2)/2)*DW172*DZ172*VLOOKUP('Données projet'!$B$14,Paramètres!$A$1:$I$89,3,0)*0.475*44/12</f>
        <v>2.9360637777042017E-20</v>
      </c>
      <c r="ED172" s="22">
        <f t="shared" si="178"/>
        <v>0.53188244627379633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-5.1159076974727213E-13</v>
      </c>
      <c r="EK172" s="17">
        <f>EJ172*VLOOKUP('Données projet'!$B$15,Paramètres!$A$1:$I$89,3,0)*VLOOKUP('Données projet'!$B$15,Paramètres!$A$1:$I$89,5,0)</f>
        <v>-3.3519427233841269E-13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231.03244099494077</v>
      </c>
      <c r="EP172" s="59">
        <f t="shared" si="154"/>
        <v>280.29723026390741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0.13898514007025381</v>
      </c>
      <c r="EW172" s="21">
        <f>EXP(-LN(2)/25)*EW171+(1-EXP(-LN(2)/25))/(LN(2)/25)*Calculateur!ER172*Calculateur!ET172*VLOOKUP('Données projet'!$B$15,Paramètres!$A$1:$I$89,3,0)*0.475*44/12</f>
        <v>0.29061222038165813</v>
      </c>
      <c r="EX172" s="21">
        <f>EXP(-LN(2)/2)*EX171+(1-EXP(-LN(2)/2))/(LN(2)/2)*ER172*EU172*VLOOKUP('Données projet'!$B$15,Paramètres!$A$1:$I$89,3,0)*0.475*44/12</f>
        <v>2.3714361281457002E-20</v>
      </c>
      <c r="EY172" s="22">
        <f t="shared" si="181"/>
        <v>0.42959736045191194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-5.1431925385259092E-13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351.15781452544906</v>
      </c>
      <c r="T173" s="59">
        <f t="shared" si="142"/>
        <v>271.54361159160169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0.15053455470991178</v>
      </c>
      <c r="AA173" s="21">
        <f>EXP(-LN(2)/25)*AA172+(1-EXP(-LN(2)/25))/(LN(2)/25)*Calculateur!V173*Calculateur!X173*VLOOKUP('Données projet'!$B$9,Paramètres!$A$1:$I$89,3,0)*0.475*44/12</f>
        <v>0.23262137711385322</v>
      </c>
      <c r="AB173" s="21">
        <f>EXP(-LN(2)/2)*AB172+(1-EXP(-LN(2)/2))/(LN(2)/2)*V173*Y173*VLOOKUP('Données projet'!$B$9,Paramètres!$A$1:$I$89,3,0)*0.475*44/12</f>
        <v>1.8256386370936077E-20</v>
      </c>
      <c r="AC173" s="22">
        <f t="shared" si="163"/>
        <v>0.38315593182376501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9.7543306765146564E-14</v>
      </c>
      <c r="AK173" s="13">
        <f t="shared" si="164"/>
        <v>1.4696264278629426E-12</v>
      </c>
      <c r="AL173" s="20">
        <f t="shared" si="165"/>
        <v>2.7294872878105889E-12</v>
      </c>
      <c r="AM173" s="59">
        <f t="shared" si="113"/>
        <v>293.33333333333604</v>
      </c>
      <c r="AN173" s="59">
        <f ca="1">AVERAGE(OFFSET($AM$3,0,0,'Données projet'!$E$10+1,1))-AVERAGE(OFFSET($H$3,0,0,'Données projet'!$E$10+1,1))</f>
        <v>405.59933429804329</v>
      </c>
      <c r="AO173" s="59">
        <f t="shared" si="144"/>
        <v>208.64922573363776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9.0331035136236928E-2</v>
      </c>
      <c r="AW173" s="21">
        <f>EXP(-LN(2)/2)*AW172+(1-EXP(-LN(2)/2))/(LN(2)/2)*AQ173*AT173*VLOOKUP('Données projet'!$B$10,Paramètres!$A$1:$I$89,3,0)*0.475*44/12</f>
        <v>5.9999818625643812E-21</v>
      </c>
      <c r="AX173" s="21">
        <f t="shared" si="166"/>
        <v>9.0331035136236928E-2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-1.0995790944434703E-13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293.19327646293601</v>
      </c>
      <c r="BJ173" s="59">
        <f t="shared" si="146"/>
        <v>200.0769581869605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6.8452375893389192E-2</v>
      </c>
      <c r="BR173" s="21">
        <f>EXP(-LN(2)/2)*BR172+(1-EXP(-LN(2)/2))/(LN(2)/2)*BL173*BO173*VLOOKUP('Données projet'!$B$11,Paramètres!$A$1:$I$89,3,0)*0.475*44/12</f>
        <v>5.6041389033198721E-21</v>
      </c>
      <c r="BS173" s="22">
        <f t="shared" si="169"/>
        <v>6.8452375893389192E-2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1.3301360013429075E-13</v>
      </c>
      <c r="CA173" s="13">
        <f t="shared" si="170"/>
        <v>1.9329766731057041E-12</v>
      </c>
      <c r="CB173" s="20">
        <f t="shared" si="171"/>
        <v>3.5982663925596575E-12</v>
      </c>
      <c r="CC173" s="59">
        <f t="shared" si="119"/>
        <v>293.3333333333369</v>
      </c>
      <c r="CD173" s="59">
        <f ca="1">AVERAGE(OFFSET($CC$3,0,0,'Données projet'!$E$12+1,1))-AVERAGE(OFFSET($H$3,0,0,'Données projet'!$E$12+1,1))</f>
        <v>295.95249585728561</v>
      </c>
      <c r="CE173" s="59">
        <f t="shared" si="148"/>
        <v>306.85862495052709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9.0376349040741419E-2</v>
      </c>
      <c r="CL173" s="21">
        <f>EXP(-LN(2)/25)*CL172+(1-EXP(-LN(2)/25))/(LN(2)/25)*Calculateur!CG173*Calculateur!CI173*VLOOKUP('Données projet'!$B$12,Paramètres!$A$1:$I$89,3,0)*0.475*44/12</f>
        <v>0.17258179059669373</v>
      </c>
      <c r="CM173" s="21">
        <f>EXP(-LN(2)/2)*CM172+(1-EXP(-LN(2)/2))/(LN(2)/2)*CG173*CJ173*VLOOKUP('Données projet'!$B$12,Paramètres!$A$1:$I$89,3,0)*0.475*44/12</f>
        <v>1.1071719777884633E-20</v>
      </c>
      <c r="CN173" s="22">
        <f t="shared" si="172"/>
        <v>0.26295813963743514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1.0818439477588981E-13</v>
      </c>
      <c r="CV173" s="13">
        <f t="shared" si="173"/>
        <v>1.6104228458716316E-12</v>
      </c>
      <c r="CW173" s="20">
        <f t="shared" si="174"/>
        <v>2.9932409441277661E-12</v>
      </c>
      <c r="CX173" s="59">
        <f t="shared" si="122"/>
        <v>293.33333333333633</v>
      </c>
      <c r="CY173" s="59">
        <f ca="1">AVERAGE(OFFSET($CX$3,0,0,'Données projet'!$E$13+1,1))-AVERAGE(OFFSET($H$3,0,0,'Données projet'!$E$13+1,1))</f>
        <v>461.10546083340631</v>
      </c>
      <c r="CZ173" s="59">
        <f t="shared" si="150"/>
        <v>233.41883071412587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8.1282437448490535E-2</v>
      </c>
      <c r="DH173" s="21">
        <f>EXP(-LN(2)/2)*DH172+(1-EXP(-LN(2)/2))/(LN(2)/2)*DB173*DE173*VLOOKUP('Données projet'!$B$13,Paramètres!$A$1:$I$89,3,0)*0.475*44/12</f>
        <v>6.654525338480567E-21</v>
      </c>
      <c r="DI173" s="22">
        <f t="shared" si="175"/>
        <v>8.1282437448490535E-2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-4.1500243241898714E-13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296.376932094327</v>
      </c>
      <c r="DU173" s="59">
        <f t="shared" si="152"/>
        <v>350.93658329210882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0.16870251820938406</v>
      </c>
      <c r="EB173" s="21">
        <f>EXP(-LN(2)/25)*EB172+(1-EXP(-LN(2)/25))/(LN(2)/25)*Calculateur!DW173*Calculateur!DY173*VLOOKUP('Données projet'!$B$14,Paramètres!$A$1:$I$89,3,0)*0.475*44/12</f>
        <v>0.34996670296428251</v>
      </c>
      <c r="EC173" s="21">
        <f>EXP(-LN(2)/2)*EC172+(1-EXP(-LN(2)/2))/(LN(2)/2)*DW173*DZ173*VLOOKUP('Données projet'!$B$14,Paramètres!$A$1:$I$89,3,0)*0.475*44/12</f>
        <v>2.0761106072108331E-20</v>
      </c>
      <c r="ED173" s="22">
        <f t="shared" si="178"/>
        <v>0.51866922117366654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-5.1159076974727213E-13</v>
      </c>
      <c r="EK173" s="17">
        <f>EJ173*VLOOKUP('Données projet'!$B$15,Paramètres!$A$1:$I$89,3,0)*VLOOKUP('Données projet'!$B$15,Paramètres!$A$1:$I$89,5,0)</f>
        <v>-3.3519427233841269E-13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231.03244099494077</v>
      </c>
      <c r="EP173" s="59">
        <f t="shared" si="154"/>
        <v>280.29723026390741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0.13625972624604099</v>
      </c>
      <c r="EW173" s="21">
        <f>EXP(-LN(2)/25)*EW172+(1-EXP(-LN(2)/25))/(LN(2)/25)*Calculateur!ER173*Calculateur!ET173*VLOOKUP('Données projet'!$B$15,Paramètres!$A$1:$I$89,3,0)*0.475*44/12</f>
        <v>0.28266541393268924</v>
      </c>
      <c r="EX173" s="21">
        <f>EXP(-LN(2)/2)*EX172+(1-EXP(-LN(2)/2))/(LN(2)/2)*ER173*EU173*VLOOKUP('Données projet'!$B$15,Paramètres!$A$1:$I$89,3,0)*0.475*44/12</f>
        <v>1.6768585673625951E-20</v>
      </c>
      <c r="EY173" s="22">
        <f t="shared" si="181"/>
        <v>0.41892514017873023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-5.1431925385259092E-13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351.15781452544906</v>
      </c>
      <c r="T174" s="59">
        <f t="shared" si="142"/>
        <v>271.54361159160169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0.14758266390906261</v>
      </c>
      <c r="AA174" s="21">
        <f>EXP(-LN(2)/25)*AA173+(1-EXP(-LN(2)/25))/(LN(2)/25)*Calculateur!V174*Calculateur!X174*VLOOKUP('Données projet'!$B$9,Paramètres!$A$1:$I$89,3,0)*0.475*44/12</f>
        <v>0.22626033332364834</v>
      </c>
      <c r="AB174" s="21">
        <f>EXP(-LN(2)/2)*AB173+(1-EXP(-LN(2)/2))/(LN(2)/2)*V174*Y174*VLOOKUP('Données projet'!$B$9,Paramètres!$A$1:$I$89,3,0)*0.475*44/12</f>
        <v>1.2909214602850566E-20</v>
      </c>
      <c r="AC174" s="22">
        <f t="shared" si="163"/>
        <v>0.37384299723271097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9.7543306765146564E-14</v>
      </c>
      <c r="AK174" s="13">
        <f t="shared" si="164"/>
        <v>1.4696264278629426E-12</v>
      </c>
      <c r="AL174" s="20">
        <f t="shared" si="165"/>
        <v>2.7294872878105889E-12</v>
      </c>
      <c r="AM174" s="59">
        <f t="shared" si="113"/>
        <v>293.33333333333604</v>
      </c>
      <c r="AN174" s="59">
        <f ca="1">AVERAGE(OFFSET($AM$3,0,0,'Données projet'!$E$10+1,1))-AVERAGE(OFFSET($H$3,0,0,'Données projet'!$E$10+1,1))</f>
        <v>405.59933429804329</v>
      </c>
      <c r="AO174" s="59">
        <f t="shared" si="144"/>
        <v>208.64922573363776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8.7860928230133847E-2</v>
      </c>
      <c r="AW174" s="21">
        <f>EXP(-LN(2)/2)*AW173+(1-EXP(-LN(2)/2))/(LN(2)/2)*AQ174*AT174*VLOOKUP('Données projet'!$B$10,Paramètres!$A$1:$I$89,3,0)*0.475*44/12</f>
        <v>4.2426278620155657E-21</v>
      </c>
      <c r="AX174" s="21">
        <f t="shared" si="166"/>
        <v>8.7860928230133847E-2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-1.0995790944434703E-13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293.19327646293601</v>
      </c>
      <c r="BJ174" s="59">
        <f t="shared" si="146"/>
        <v>200.0769581869605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6.6580542074830468E-2</v>
      </c>
      <c r="BR174" s="21">
        <f>EXP(-LN(2)/2)*BR173+(1-EXP(-LN(2)/2))/(LN(2)/2)*BL174*BO174*VLOOKUP('Données projet'!$B$11,Paramètres!$A$1:$I$89,3,0)*0.475*44/12</f>
        <v>3.9627246212488231E-21</v>
      </c>
      <c r="BS174" s="22">
        <f t="shared" si="169"/>
        <v>6.6580542074830468E-2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1.3301360013429075E-13</v>
      </c>
      <c r="CA174" s="13">
        <f t="shared" si="170"/>
        <v>1.9329766731057041E-12</v>
      </c>
      <c r="CB174" s="20">
        <f t="shared" si="171"/>
        <v>3.5982663925596575E-12</v>
      </c>
      <c r="CC174" s="59">
        <f t="shared" si="119"/>
        <v>293.3333333333369</v>
      </c>
      <c r="CD174" s="59">
        <f ca="1">AVERAGE(OFFSET($CC$3,0,0,'Données projet'!$E$12+1,1))-AVERAGE(OFFSET($H$3,0,0,'Données projet'!$E$12+1,1))</f>
        <v>295.95249585728561</v>
      </c>
      <c r="CE174" s="59">
        <f t="shared" si="148"/>
        <v>306.85862495052709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8.8604123960182343E-2</v>
      </c>
      <c r="CL174" s="21">
        <f>EXP(-LN(2)/25)*CL173+(1-EXP(-LN(2)/25))/(LN(2)/25)*Calculateur!CG174*Calculateur!CI174*VLOOKUP('Données projet'!$B$12,Paramètres!$A$1:$I$89,3,0)*0.475*44/12</f>
        <v>0.16786253245714522</v>
      </c>
      <c r="CM174" s="21">
        <f>EXP(-LN(2)/2)*CM173+(1-EXP(-LN(2)/2))/(LN(2)/2)*CG174*CJ174*VLOOKUP('Données projet'!$B$12,Paramètres!$A$1:$I$89,3,0)*0.475*44/12</f>
        <v>7.8288881343394392E-21</v>
      </c>
      <c r="CN174" s="22">
        <f t="shared" si="172"/>
        <v>0.25646665641732758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1.0818439477588981E-13</v>
      </c>
      <c r="CV174" s="13">
        <f t="shared" si="173"/>
        <v>1.6104228458716316E-12</v>
      </c>
      <c r="CW174" s="20">
        <f t="shared" si="174"/>
        <v>2.9932409441277661E-12</v>
      </c>
      <c r="CX174" s="59">
        <f t="shared" si="122"/>
        <v>293.33333333333633</v>
      </c>
      <c r="CY174" s="59">
        <f ca="1">AVERAGE(OFFSET($CX$3,0,0,'Données projet'!$E$13+1,1))-AVERAGE(OFFSET($H$3,0,0,'Données projet'!$E$13+1,1))</f>
        <v>461.10546083340631</v>
      </c>
      <c r="CZ174" s="59">
        <f t="shared" si="150"/>
        <v>233.41883071412587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7.905976492200395E-2</v>
      </c>
      <c r="DH174" s="21">
        <f>EXP(-LN(2)/2)*DH173+(1-EXP(-LN(2)/2))/(LN(2)/2)*DB174*DE174*VLOOKUP('Données projet'!$B$13,Paramètres!$A$1:$I$89,3,0)*0.475*44/12</f>
        <v>4.705459992417315E-21</v>
      </c>
      <c r="DI174" s="22">
        <f t="shared" si="175"/>
        <v>7.905976492200395E-2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-4.1500243241898714E-13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296.376932094327</v>
      </c>
      <c r="DU174" s="59">
        <f t="shared" si="152"/>
        <v>350.93658329210882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0.16539436472567379</v>
      </c>
      <c r="EB174" s="21">
        <f>EXP(-LN(2)/25)*EB173+(1-EXP(-LN(2)/25))/(LN(2)/25)*Calculateur!DW174*Calculateur!DY174*VLOOKUP('Données projet'!$B$14,Paramètres!$A$1:$I$89,3,0)*0.475*44/12</f>
        <v>0.34039684506777518</v>
      </c>
      <c r="EC174" s="21">
        <f>EXP(-LN(2)/2)*EC173+(1-EXP(-LN(2)/2))/(LN(2)/2)*DW174*DZ174*VLOOKUP('Données projet'!$B$14,Paramètres!$A$1:$I$89,3,0)*0.475*44/12</f>
        <v>1.4680318888521009E-20</v>
      </c>
      <c r="ED174" s="22">
        <f t="shared" si="178"/>
        <v>0.50579120979344894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-5.1159076974727213E-13</v>
      </c>
      <c r="EK174" s="17">
        <f>EJ174*VLOOKUP('Données projet'!$B$15,Paramètres!$A$1:$I$89,3,0)*VLOOKUP('Données projet'!$B$15,Paramètres!$A$1:$I$89,5,0)</f>
        <v>-3.3519427233841269E-13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231.03244099494077</v>
      </c>
      <c r="EP174" s="59">
        <f t="shared" si="154"/>
        <v>280.29723026390741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0.13358775612458268</v>
      </c>
      <c r="EW174" s="21">
        <f>EXP(-LN(2)/25)*EW173+(1-EXP(-LN(2)/25))/(LN(2)/25)*Calculateur!ER174*Calculateur!ET174*VLOOKUP('Données projet'!$B$15,Paramètres!$A$1:$I$89,3,0)*0.475*44/12</f>
        <v>0.27493591332397177</v>
      </c>
      <c r="EX174" s="21">
        <f>EXP(-LN(2)/2)*EX173+(1-EXP(-LN(2)/2))/(LN(2)/2)*ER174*EU174*VLOOKUP('Données projet'!$B$15,Paramètres!$A$1:$I$89,3,0)*0.475*44/12</f>
        <v>1.1857180640728501E-20</v>
      </c>
      <c r="EY174" s="22">
        <f t="shared" si="181"/>
        <v>0.40852366944855445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-5.1431925385259092E-13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351.15781452544906</v>
      </c>
      <c r="T175" s="59">
        <f t="shared" si="142"/>
        <v>271.54361159160169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0.14468865788634247</v>
      </c>
      <c r="AA175" s="21">
        <f>EXP(-LN(2)/25)*AA174+(1-EXP(-LN(2)/25))/(LN(2)/25)*Calculateur!V175*Calculateur!X175*VLOOKUP('Données projet'!$B$9,Paramètres!$A$1:$I$89,3,0)*0.475*44/12</f>
        <v>0.22007323261039938</v>
      </c>
      <c r="AB175" s="21">
        <f>EXP(-LN(2)/2)*AB174+(1-EXP(-LN(2)/2))/(LN(2)/2)*V175*Y175*VLOOKUP('Données projet'!$B$9,Paramètres!$A$1:$I$89,3,0)*0.475*44/12</f>
        <v>9.1281931854680387E-21</v>
      </c>
      <c r="AC175" s="22">
        <f t="shared" si="163"/>
        <v>0.36476189049674185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9.7543306765146564E-14</v>
      </c>
      <c r="AK175" s="13">
        <f t="shared" si="164"/>
        <v>1.4696264278629426E-12</v>
      </c>
      <c r="AL175" s="20">
        <f t="shared" si="165"/>
        <v>2.7294872878105889E-12</v>
      </c>
      <c r="AM175" s="59">
        <f t="shared" si="113"/>
        <v>293.33333333333604</v>
      </c>
      <c r="AN175" s="59">
        <f ca="1">AVERAGE(OFFSET($AM$3,0,0,'Données projet'!$E$10+1,1))-AVERAGE(OFFSET($H$3,0,0,'Données projet'!$E$10+1,1))</f>
        <v>405.59933429804329</v>
      </c>
      <c r="AO175" s="59">
        <f t="shared" si="144"/>
        <v>208.64922573363776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8.5458366527275426E-2</v>
      </c>
      <c r="AW175" s="21">
        <f>EXP(-LN(2)/2)*AW174+(1-EXP(-LN(2)/2))/(LN(2)/2)*AQ175*AT175*VLOOKUP('Données projet'!$B$10,Paramètres!$A$1:$I$89,3,0)*0.475*44/12</f>
        <v>2.9999909312821906E-21</v>
      </c>
      <c r="AX175" s="21">
        <f t="shared" si="166"/>
        <v>8.5458366527275426E-2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-1.0995790944434703E-13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293.19327646293601</v>
      </c>
      <c r="BJ175" s="59">
        <f t="shared" si="146"/>
        <v>200.0769581869605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6.4759893650475686E-2</v>
      </c>
      <c r="BR175" s="21">
        <f>EXP(-LN(2)/2)*BR174+(1-EXP(-LN(2)/2))/(LN(2)/2)*BL175*BO175*VLOOKUP('Données projet'!$B$11,Paramètres!$A$1:$I$89,3,0)*0.475*44/12</f>
        <v>2.802069451659936E-21</v>
      </c>
      <c r="BS175" s="22">
        <f t="shared" si="169"/>
        <v>6.4759893650475686E-2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1.3301360013429075E-13</v>
      </c>
      <c r="CA175" s="13">
        <f t="shared" si="170"/>
        <v>1.9329766731057041E-12</v>
      </c>
      <c r="CB175" s="20">
        <f t="shared" si="171"/>
        <v>3.5982663925596575E-12</v>
      </c>
      <c r="CC175" s="59">
        <f t="shared" si="119"/>
        <v>293.3333333333369</v>
      </c>
      <c r="CD175" s="59">
        <f ca="1">AVERAGE(OFFSET($CC$3,0,0,'Données projet'!$E$12+1,1))-AVERAGE(OFFSET($H$3,0,0,'Données projet'!$E$12+1,1))</f>
        <v>295.95249585728561</v>
      </c>
      <c r="CE175" s="59">
        <f t="shared" si="148"/>
        <v>306.85862495052709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8.6866651132502457E-2</v>
      </c>
      <c r="CL175" s="21">
        <f>EXP(-LN(2)/25)*CL174+(1-EXP(-LN(2)/25))/(LN(2)/25)*Calculateur!CG175*Calculateur!CI175*VLOOKUP('Données projet'!$B$12,Paramètres!$A$1:$I$89,3,0)*0.475*44/12</f>
        <v>0.16327232267959765</v>
      </c>
      <c r="CM175" s="21">
        <f>EXP(-LN(2)/2)*CM174+(1-EXP(-LN(2)/2))/(LN(2)/2)*CG175*CJ175*VLOOKUP('Données projet'!$B$12,Paramètres!$A$1:$I$89,3,0)*0.475*44/12</f>
        <v>5.5358598889423163E-21</v>
      </c>
      <c r="CN175" s="22">
        <f t="shared" si="172"/>
        <v>0.2501389738121001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1.0818439477588981E-13</v>
      </c>
      <c r="CV175" s="13">
        <f t="shared" si="173"/>
        <v>1.6104228458716316E-12</v>
      </c>
      <c r="CW175" s="20">
        <f t="shared" si="174"/>
        <v>2.9932409441277661E-12</v>
      </c>
      <c r="CX175" s="59">
        <f t="shared" si="122"/>
        <v>293.33333333333633</v>
      </c>
      <c r="CY175" s="59">
        <f ca="1">AVERAGE(OFFSET($CX$3,0,0,'Données projet'!$E$13+1,1))-AVERAGE(OFFSET($H$3,0,0,'Données projet'!$E$13+1,1))</f>
        <v>461.10546083340631</v>
      </c>
      <c r="CZ175" s="59">
        <f t="shared" si="150"/>
        <v>233.41883071412587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7.6897871492639408E-2</v>
      </c>
      <c r="DH175" s="21">
        <f>EXP(-LN(2)/2)*DH174+(1-EXP(-LN(2)/2))/(LN(2)/2)*DB175*DE175*VLOOKUP('Données projet'!$B$13,Paramètres!$A$1:$I$89,3,0)*0.475*44/12</f>
        <v>3.3272626692402843E-21</v>
      </c>
      <c r="DI175" s="22">
        <f t="shared" si="175"/>
        <v>7.6897871492639408E-2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-4.1500243241898714E-13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296.376932094327</v>
      </c>
      <c r="DU175" s="59">
        <f t="shared" si="152"/>
        <v>350.93658329210882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0.16215108211400467</v>
      </c>
      <c r="EB175" s="21">
        <f>EXP(-LN(2)/25)*EB174+(1-EXP(-LN(2)/25))/(LN(2)/25)*Calculateur!DW175*Calculateur!DY175*VLOOKUP('Données projet'!$B$14,Paramètres!$A$1:$I$89,3,0)*0.475*44/12</f>
        <v>0.33108867543870479</v>
      </c>
      <c r="EC175" s="21">
        <f>EXP(-LN(2)/2)*EC174+(1-EXP(-LN(2)/2))/(LN(2)/2)*DW175*DZ175*VLOOKUP('Données projet'!$B$14,Paramètres!$A$1:$I$89,3,0)*0.475*44/12</f>
        <v>1.0380553036054166E-20</v>
      </c>
      <c r="ED175" s="22">
        <f t="shared" si="178"/>
        <v>0.49323975755270943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-5.1159076974727213E-13</v>
      </c>
      <c r="EK175" s="17">
        <f>EJ175*VLOOKUP('Données projet'!$B$15,Paramètres!$A$1:$I$89,3,0)*VLOOKUP('Données projet'!$B$15,Paramètres!$A$1:$I$89,5,0)</f>
        <v>-3.3519427233841269E-13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231.03244099494077</v>
      </c>
      <c r="EP175" s="59">
        <f t="shared" si="154"/>
        <v>280.29723026390741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0.13096818170746533</v>
      </c>
      <c r="EW175" s="21">
        <f>EXP(-LN(2)/25)*EW174+(1-EXP(-LN(2)/25))/(LN(2)/25)*Calculateur!ER175*Calculateur!ET175*VLOOKUP('Données projet'!$B$15,Paramètres!$A$1:$I$89,3,0)*0.475*44/12</f>
        <v>0.26741777631587643</v>
      </c>
      <c r="EX175" s="21">
        <f>EXP(-LN(2)/2)*EX174+(1-EXP(-LN(2)/2))/(LN(2)/2)*ER175*EU175*VLOOKUP('Données projet'!$B$15,Paramètres!$A$1:$I$89,3,0)*0.475*44/12</f>
        <v>8.3842928368129754E-21</v>
      </c>
      <c r="EY175" s="22">
        <f t="shared" si="181"/>
        <v>0.39838595802334176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-5.1431925385259092E-13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351.15781452544906</v>
      </c>
      <c r="T176" s="59">
        <f t="shared" si="142"/>
        <v>271.54361159160169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0.14185140155655851</v>
      </c>
      <c r="AA176" s="21">
        <f>EXP(-LN(2)/25)*AA175+(1-EXP(-LN(2)/25))/(LN(2)/25)*Calculateur!V176*Calculateur!X176*VLOOKUP('Données projet'!$B$9,Paramètres!$A$1:$I$89,3,0)*0.475*44/12</f>
        <v>0.21405531849151968</v>
      </c>
      <c r="AB176" s="21">
        <f>EXP(-LN(2)/2)*AB175+(1-EXP(-LN(2)/2))/(LN(2)/2)*V176*Y176*VLOOKUP('Données projet'!$B$9,Paramètres!$A$1:$I$89,3,0)*0.475*44/12</f>
        <v>6.4546073014252828E-21</v>
      </c>
      <c r="AC176" s="22">
        <f t="shared" si="163"/>
        <v>0.35590672004807822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9.7543306765146564E-14</v>
      </c>
      <c r="AK176" s="13">
        <f t="shared" si="164"/>
        <v>1.4696264278629426E-12</v>
      </c>
      <c r="AL176" s="20">
        <f t="shared" si="165"/>
        <v>2.7294872878105889E-12</v>
      </c>
      <c r="AM176" s="59">
        <f t="shared" si="113"/>
        <v>293.33333333333604</v>
      </c>
      <c r="AN176" s="59">
        <f ca="1">AVERAGE(OFFSET($AM$3,0,0,'Données projet'!$E$10+1,1))-AVERAGE(OFFSET($H$3,0,0,'Données projet'!$E$10+1,1))</f>
        <v>405.59933429804329</v>
      </c>
      <c r="AO176" s="59">
        <f t="shared" si="144"/>
        <v>208.64922573363776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8.3121503000526897E-2</v>
      </c>
      <c r="AW176" s="21">
        <f>EXP(-LN(2)/2)*AW175+(1-EXP(-LN(2)/2))/(LN(2)/2)*AQ176*AT176*VLOOKUP('Données projet'!$B$10,Paramètres!$A$1:$I$89,3,0)*0.475*44/12</f>
        <v>2.1213139310077828E-21</v>
      </c>
      <c r="AX176" s="21">
        <f t="shared" si="166"/>
        <v>8.3121503000526897E-2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-1.0995790944434703E-13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293.19327646293601</v>
      </c>
      <c r="BJ176" s="59">
        <f t="shared" si="146"/>
        <v>200.0769581869605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6.298903095302863E-2</v>
      </c>
      <c r="BR176" s="21">
        <f>EXP(-LN(2)/2)*BR175+(1-EXP(-LN(2)/2))/(LN(2)/2)*BL176*BO176*VLOOKUP('Données projet'!$B$11,Paramètres!$A$1:$I$89,3,0)*0.475*44/12</f>
        <v>1.9813623106244116E-21</v>
      </c>
      <c r="BS176" s="22">
        <f t="shared" si="169"/>
        <v>6.298903095302863E-2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1.3301360013429075E-13</v>
      </c>
      <c r="CA176" s="13">
        <f t="shared" si="170"/>
        <v>1.9329766731057041E-12</v>
      </c>
      <c r="CB176" s="20">
        <f t="shared" si="171"/>
        <v>3.5982663925596575E-12</v>
      </c>
      <c r="CC176" s="59">
        <f t="shared" si="119"/>
        <v>293.3333333333369</v>
      </c>
      <c r="CD176" s="59">
        <f ca="1">AVERAGE(OFFSET($CC$3,0,0,'Données projet'!$E$12+1,1))-AVERAGE(OFFSET($H$3,0,0,'Données projet'!$E$12+1,1))</f>
        <v>295.95249585728561</v>
      </c>
      <c r="CE176" s="59">
        <f t="shared" si="148"/>
        <v>306.85862495052709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8.5163249087219589E-2</v>
      </c>
      <c r="CL176" s="21">
        <f>EXP(-LN(2)/25)*CL175+(1-EXP(-LN(2)/25))/(LN(2)/25)*Calculateur!CG176*Calculateur!CI176*VLOOKUP('Données projet'!$B$12,Paramètres!$A$1:$I$89,3,0)*0.475*44/12</f>
        <v>0.15880763242980578</v>
      </c>
      <c r="CM176" s="21">
        <f>EXP(-LN(2)/2)*CM175+(1-EXP(-LN(2)/2))/(LN(2)/2)*CG176*CJ176*VLOOKUP('Données projet'!$B$12,Paramètres!$A$1:$I$89,3,0)*0.475*44/12</f>
        <v>3.9144440671697196E-21</v>
      </c>
      <c r="CN176" s="22">
        <f t="shared" si="172"/>
        <v>0.24397088151702537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1.0818439477588981E-13</v>
      </c>
      <c r="CV176" s="13">
        <f t="shared" si="173"/>
        <v>1.6104228458716316E-12</v>
      </c>
      <c r="CW176" s="20">
        <f t="shared" si="174"/>
        <v>2.9932409441277661E-12</v>
      </c>
      <c r="CX176" s="59">
        <f t="shared" si="122"/>
        <v>293.33333333333633</v>
      </c>
      <c r="CY176" s="59">
        <f ca="1">AVERAGE(OFFSET($CX$3,0,0,'Données projet'!$E$13+1,1))-AVERAGE(OFFSET($H$3,0,0,'Données projet'!$E$13+1,1))</f>
        <v>461.10546083340631</v>
      </c>
      <c r="CZ176" s="59">
        <f t="shared" si="150"/>
        <v>233.41883071412587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7.479509515278987E-2</v>
      </c>
      <c r="DH176" s="21">
        <f>EXP(-LN(2)/2)*DH175+(1-EXP(-LN(2)/2))/(LN(2)/2)*DB176*DE176*VLOOKUP('Données projet'!$B$13,Paramètres!$A$1:$I$89,3,0)*0.475*44/12</f>
        <v>2.3527299962086579E-21</v>
      </c>
      <c r="DI176" s="22">
        <f t="shared" si="175"/>
        <v>7.479509515278987E-2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-4.1500243241898714E-13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296.376932094327</v>
      </c>
      <c r="DU176" s="59">
        <f t="shared" si="152"/>
        <v>350.93658329210882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0.15897139829614332</v>
      </c>
      <c r="EB176" s="21">
        <f>EXP(-LN(2)/25)*EB175+(1-EXP(-LN(2)/25))/(LN(2)/25)*Calculateur!DW176*Calculateur!DY176*VLOOKUP('Données projet'!$B$14,Paramètres!$A$1:$I$89,3,0)*0.475*44/12</f>
        <v>0.32203503819763668</v>
      </c>
      <c r="EC176" s="21">
        <f>EXP(-LN(2)/2)*EC175+(1-EXP(-LN(2)/2))/(LN(2)/2)*DW176*DZ176*VLOOKUP('Données projet'!$B$14,Paramètres!$A$1:$I$89,3,0)*0.475*44/12</f>
        <v>7.3401594442605043E-21</v>
      </c>
      <c r="ED176" s="22">
        <f t="shared" si="178"/>
        <v>0.48100643649378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-5.1159076974727213E-13</v>
      </c>
      <c r="EK176" s="17">
        <f>EJ176*VLOOKUP('Données projet'!$B$15,Paramètres!$A$1:$I$89,3,0)*VLOOKUP('Données projet'!$B$15,Paramètres!$A$1:$I$89,5,0)</f>
        <v>-3.3519427233841269E-13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231.03244099494077</v>
      </c>
      <c r="EP176" s="59">
        <f t="shared" si="154"/>
        <v>280.29723026390741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0.12839997554688501</v>
      </c>
      <c r="EW176" s="21">
        <f>EXP(-LN(2)/25)*EW175+(1-EXP(-LN(2)/25))/(LN(2)/25)*Calculateur!ER176*Calculateur!ET176*VLOOKUP('Données projet'!$B$15,Paramètres!$A$1:$I$89,3,0)*0.475*44/12</f>
        <v>0.26010522315962914</v>
      </c>
      <c r="EX176" s="21">
        <f>EXP(-LN(2)/2)*EX175+(1-EXP(-LN(2)/2))/(LN(2)/2)*ER176*EU176*VLOOKUP('Données projet'!$B$15,Paramètres!$A$1:$I$89,3,0)*0.475*44/12</f>
        <v>5.9285903203642505E-21</v>
      </c>
      <c r="EY176" s="22">
        <f t="shared" si="181"/>
        <v>0.38850519870651412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-5.1431925385259092E-13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351.15781452544906</v>
      </c>
      <c r="T177" s="59">
        <f t="shared" si="142"/>
        <v>271.54361159160169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0.13906978209284612</v>
      </c>
      <c r="AA177" s="21">
        <f>EXP(-LN(2)/25)*AA176+(1-EXP(-LN(2)/25))/(LN(2)/25)*Calculateur!V177*Calculateur!X177*VLOOKUP('Données projet'!$B$9,Paramètres!$A$1:$I$89,3,0)*0.475*44/12</f>
        <v>0.20820196455068909</v>
      </c>
      <c r="AB177" s="21">
        <f>EXP(-LN(2)/2)*AB176+(1-EXP(-LN(2)/2))/(LN(2)/2)*V177*Y177*VLOOKUP('Données projet'!$B$9,Paramètres!$A$1:$I$89,3,0)*0.475*44/12</f>
        <v>4.5640965927340194E-21</v>
      </c>
      <c r="AC177" s="22">
        <f t="shared" si="163"/>
        <v>0.34727174664353522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9.7543306765146564E-14</v>
      </c>
      <c r="AK177" s="13">
        <f t="shared" si="164"/>
        <v>1.4696264278629426E-12</v>
      </c>
      <c r="AL177" s="20">
        <f t="shared" si="165"/>
        <v>2.7294872878105889E-12</v>
      </c>
      <c r="AM177" s="59">
        <f t="shared" si="113"/>
        <v>293.33333333333604</v>
      </c>
      <c r="AN177" s="59">
        <f ca="1">AVERAGE(OFFSET($AM$3,0,0,'Données projet'!$E$10+1,1))-AVERAGE(OFFSET($H$3,0,0,'Données projet'!$E$10+1,1))</f>
        <v>405.59933429804329</v>
      </c>
      <c r="AO177" s="59">
        <f t="shared" si="144"/>
        <v>208.64922573363776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8.0848541129807619E-2</v>
      </c>
      <c r="AW177" s="21">
        <f>EXP(-LN(2)/2)*AW176+(1-EXP(-LN(2)/2))/(LN(2)/2)*AQ177*AT177*VLOOKUP('Données projet'!$B$10,Paramètres!$A$1:$I$89,3,0)*0.475*44/12</f>
        <v>1.4999954656410953E-21</v>
      </c>
      <c r="AX177" s="21">
        <f t="shared" si="166"/>
        <v>8.0848541129807619E-2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-1.0995790944434703E-13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293.19327646293601</v>
      </c>
      <c r="BJ177" s="59">
        <f t="shared" si="146"/>
        <v>200.0769581869605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6.1266592589168889E-2</v>
      </c>
      <c r="BR177" s="21">
        <f>EXP(-LN(2)/2)*BR176+(1-EXP(-LN(2)/2))/(LN(2)/2)*BL177*BO177*VLOOKUP('Données projet'!$B$11,Paramètres!$A$1:$I$89,3,0)*0.475*44/12</f>
        <v>1.401034725829968E-21</v>
      </c>
      <c r="BS177" s="22">
        <f t="shared" si="169"/>
        <v>6.1266592589168889E-2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1.3301360013429075E-13</v>
      </c>
      <c r="CA177" s="13">
        <f t="shared" si="170"/>
        <v>1.9329766731057041E-12</v>
      </c>
      <c r="CB177" s="20">
        <f t="shared" si="171"/>
        <v>3.5982663925596575E-12</v>
      </c>
      <c r="CC177" s="59">
        <f t="shared" si="119"/>
        <v>293.3333333333369</v>
      </c>
      <c r="CD177" s="59">
        <f ca="1">AVERAGE(OFFSET($CC$3,0,0,'Données projet'!$E$12+1,1))-AVERAGE(OFFSET($H$3,0,0,'Données projet'!$E$12+1,1))</f>
        <v>295.95249585728561</v>
      </c>
      <c r="CE177" s="59">
        <f t="shared" si="148"/>
        <v>306.85862495052709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8.3493249717072074E-2</v>
      </c>
      <c r="CL177" s="21">
        <f>EXP(-LN(2)/25)*CL176+(1-EXP(-LN(2)/25))/(LN(2)/25)*Calculateur!CG177*Calculateur!CI177*VLOOKUP('Données projet'!$B$12,Paramètres!$A$1:$I$89,3,0)*0.475*44/12</f>
        <v>0.15446502936968232</v>
      </c>
      <c r="CM177" s="21">
        <f>EXP(-LN(2)/2)*CM176+(1-EXP(-LN(2)/2))/(LN(2)/2)*CG177*CJ177*VLOOKUP('Données projet'!$B$12,Paramètres!$A$1:$I$89,3,0)*0.475*44/12</f>
        <v>2.7679299444711581E-21</v>
      </c>
      <c r="CN177" s="22">
        <f t="shared" si="172"/>
        <v>0.23795827908675438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1.0818439477588981E-13</v>
      </c>
      <c r="CV177" s="13">
        <f t="shared" si="173"/>
        <v>1.6104228458716316E-12</v>
      </c>
      <c r="CW177" s="20">
        <f t="shared" si="174"/>
        <v>2.9932409441277661E-12</v>
      </c>
      <c r="CX177" s="59">
        <f t="shared" si="122"/>
        <v>293.33333333333633</v>
      </c>
      <c r="CY177" s="59">
        <f ca="1">AVERAGE(OFFSET($CX$3,0,0,'Données projet'!$E$13+1,1))-AVERAGE(OFFSET($H$3,0,0,'Données projet'!$E$13+1,1))</f>
        <v>461.10546083340631</v>
      </c>
      <c r="CZ177" s="59">
        <f t="shared" si="150"/>
        <v>233.41883071412587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7.2749819342533717E-2</v>
      </c>
      <c r="DH177" s="21">
        <f>EXP(-LN(2)/2)*DH176+(1-EXP(-LN(2)/2))/(LN(2)/2)*DB177*DE177*VLOOKUP('Données projet'!$B$13,Paramètres!$A$1:$I$89,3,0)*0.475*44/12</f>
        <v>1.6636313346201423E-21</v>
      </c>
      <c r="DI177" s="22">
        <f t="shared" si="175"/>
        <v>7.2749819342533717E-2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-4.1500243241898714E-13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296.376932094327</v>
      </c>
      <c r="DU177" s="59">
        <f t="shared" si="152"/>
        <v>350.93658329210882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0.15585406613853461</v>
      </c>
      <c r="EB177" s="21">
        <f>EXP(-LN(2)/25)*EB176+(1-EXP(-LN(2)/25))/(LN(2)/25)*Calculateur!DW177*Calculateur!DY177*VLOOKUP('Données projet'!$B$14,Paramètres!$A$1:$I$89,3,0)*0.475*44/12</f>
        <v>0.31322897314303566</v>
      </c>
      <c r="EC177" s="21">
        <f>EXP(-LN(2)/2)*EC176+(1-EXP(-LN(2)/2))/(LN(2)/2)*DW177*DZ177*VLOOKUP('Données projet'!$B$14,Paramètres!$A$1:$I$89,3,0)*0.475*44/12</f>
        <v>5.1902765180270828E-21</v>
      </c>
      <c r="ED177" s="22">
        <f t="shared" si="178"/>
        <v>0.46908303928157025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-5.1159076974727213E-13</v>
      </c>
      <c r="EK177" s="17">
        <f>EJ177*VLOOKUP('Données projet'!$B$15,Paramètres!$A$1:$I$89,3,0)*VLOOKUP('Données projet'!$B$15,Paramètres!$A$1:$I$89,5,0)</f>
        <v>-3.3519427233841269E-13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231.03244099494077</v>
      </c>
      <c r="EP177" s="59">
        <f t="shared" si="154"/>
        <v>280.29723026390741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0.1258821303426626</v>
      </c>
      <c r="EW177" s="21">
        <f>EXP(-LN(2)/25)*EW176+(1-EXP(-LN(2)/25))/(LN(2)/25)*Calculateur!ER177*Calculateur!ET177*VLOOKUP('Données projet'!$B$15,Paramètres!$A$1:$I$89,3,0)*0.475*44/12</f>
        <v>0.25299263215398987</v>
      </c>
      <c r="EX177" s="21">
        <f>EXP(-LN(2)/2)*EX176+(1-EXP(-LN(2)/2))/(LN(2)/2)*ER177*EU177*VLOOKUP('Données projet'!$B$15,Paramètres!$A$1:$I$89,3,0)*0.475*44/12</f>
        <v>4.1921464184064877E-21</v>
      </c>
      <c r="EY177" s="22">
        <f t="shared" si="181"/>
        <v>0.37887476249665247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-5.1431925385259092E-13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351.15781452544906</v>
      </c>
      <c r="T178" s="59">
        <f t="shared" si="142"/>
        <v>271.54361159160169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0.13634270849019681</v>
      </c>
      <c r="AA178" s="21">
        <f>EXP(-LN(2)/25)*AA177+(1-EXP(-LN(2)/25))/(LN(2)/25)*Calculateur!V178*Calculateur!X178*VLOOKUP('Données projet'!$B$9,Paramètres!$A$1:$I$89,3,0)*0.475*44/12</f>
        <v>0.20250867088118504</v>
      </c>
      <c r="AB178" s="21">
        <f>EXP(-LN(2)/2)*AB177+(1-EXP(-LN(2)/2))/(LN(2)/2)*V178*Y178*VLOOKUP('Données projet'!$B$9,Paramètres!$A$1:$I$89,3,0)*0.475*44/12</f>
        <v>3.2273036507126414E-21</v>
      </c>
      <c r="AC178" s="22">
        <f t="shared" si="163"/>
        <v>0.33885137937138188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9.7543306765146564E-14</v>
      </c>
      <c r="AK178" s="13">
        <f t="shared" si="164"/>
        <v>1.4696264278629426E-12</v>
      </c>
      <c r="AL178" s="20">
        <f t="shared" si="165"/>
        <v>2.7294872878105889E-12</v>
      </c>
      <c r="AM178" s="59">
        <f t="shared" si="113"/>
        <v>293.33333333333604</v>
      </c>
      <c r="AN178" s="59">
        <f ca="1">AVERAGE(OFFSET($AM$3,0,0,'Données projet'!$E$10+1,1))-AVERAGE(OFFSET($H$3,0,0,'Données projet'!$E$10+1,1))</f>
        <v>405.59933429804329</v>
      </c>
      <c r="AO178" s="59">
        <f t="shared" si="144"/>
        <v>208.64922573363776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7.863773352097303E-2</v>
      </c>
      <c r="AW178" s="21">
        <f>EXP(-LN(2)/2)*AW177+(1-EXP(-LN(2)/2))/(LN(2)/2)*AQ178*AT178*VLOOKUP('Données projet'!$B$10,Paramètres!$A$1:$I$89,3,0)*0.475*44/12</f>
        <v>1.0606569655038914E-21</v>
      </c>
      <c r="AX178" s="21">
        <f t="shared" si="166"/>
        <v>7.863773352097303E-2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-1.0995790944434703E-13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293.19327646293601</v>
      </c>
      <c r="BJ178" s="59">
        <f t="shared" si="146"/>
        <v>200.0769581869605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5.959125439294799E-2</v>
      </c>
      <c r="BR178" s="21">
        <f>EXP(-LN(2)/2)*BR177+(1-EXP(-LN(2)/2))/(LN(2)/2)*BL178*BO178*VLOOKUP('Données projet'!$B$11,Paramètres!$A$1:$I$89,3,0)*0.475*44/12</f>
        <v>9.9068115531220578E-22</v>
      </c>
      <c r="BS178" s="22">
        <f t="shared" si="169"/>
        <v>5.959125439294799E-2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1.3301360013429075E-13</v>
      </c>
      <c r="CA178" s="13">
        <f t="shared" si="170"/>
        <v>1.9329766731057041E-12</v>
      </c>
      <c r="CB178" s="20">
        <f t="shared" si="171"/>
        <v>3.5982663925596575E-12</v>
      </c>
      <c r="CC178" s="59">
        <f t="shared" si="119"/>
        <v>293.3333333333369</v>
      </c>
      <c r="CD178" s="59">
        <f ca="1">AVERAGE(OFFSET($CC$3,0,0,'Données projet'!$E$12+1,1))-AVERAGE(OFFSET($H$3,0,0,'Données projet'!$E$12+1,1))</f>
        <v>295.95249585728561</v>
      </c>
      <c r="CE178" s="59">
        <f t="shared" si="148"/>
        <v>306.85862495052709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8.185599801597411E-2</v>
      </c>
      <c r="CL178" s="21">
        <f>EXP(-LN(2)/25)*CL177+(1-EXP(-LN(2)/25))/(LN(2)/25)*Calculateur!CG178*Calculateur!CI178*VLOOKUP('Données projet'!$B$12,Paramètres!$A$1:$I$89,3,0)*0.475*44/12</f>
        <v>0.15024117501860548</v>
      </c>
      <c r="CM178" s="21">
        <f>EXP(-LN(2)/2)*CM177+(1-EXP(-LN(2)/2))/(LN(2)/2)*CG178*CJ178*VLOOKUP('Données projet'!$B$12,Paramètres!$A$1:$I$89,3,0)*0.475*44/12</f>
        <v>1.9572220335848598E-21</v>
      </c>
      <c r="CN178" s="22">
        <f t="shared" si="172"/>
        <v>0.23209717303457961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1.0818439477588981E-13</v>
      </c>
      <c r="CV178" s="13">
        <f t="shared" si="173"/>
        <v>1.6104228458716316E-12</v>
      </c>
      <c r="CW178" s="20">
        <f t="shared" si="174"/>
        <v>2.9932409441277661E-12</v>
      </c>
      <c r="CX178" s="59">
        <f t="shared" si="122"/>
        <v>293.33333333333633</v>
      </c>
      <c r="CY178" s="59">
        <f ca="1">AVERAGE(OFFSET($CX$3,0,0,'Données projet'!$E$13+1,1))-AVERAGE(OFFSET($H$3,0,0,'Données projet'!$E$13+1,1))</f>
        <v>461.10546083340631</v>
      </c>
      <c r="CZ178" s="59">
        <f t="shared" si="150"/>
        <v>233.41883071412587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7.0760471706865405E-2</v>
      </c>
      <c r="DH178" s="21">
        <f>EXP(-LN(2)/2)*DH177+(1-EXP(-LN(2)/2))/(LN(2)/2)*DB178*DE178*VLOOKUP('Données projet'!$B$13,Paramètres!$A$1:$I$89,3,0)*0.475*44/12</f>
        <v>1.1763649981043291E-21</v>
      </c>
      <c r="DI178" s="22">
        <f t="shared" si="175"/>
        <v>7.0760471706865405E-2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-4.1500243241898714E-13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296.376932094327</v>
      </c>
      <c r="DU178" s="59">
        <f t="shared" si="152"/>
        <v>350.93658329210882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0.15279786296315173</v>
      </c>
      <c r="EB178" s="21">
        <f>EXP(-LN(2)/25)*EB177+(1-EXP(-LN(2)/25))/(LN(2)/25)*Calculateur!DW178*Calculateur!DY178*VLOOKUP('Données projet'!$B$14,Paramètres!$A$1:$I$89,3,0)*0.475*44/12</f>
        <v>0.30466371040044354</v>
      </c>
      <c r="EC178" s="21">
        <f>EXP(-LN(2)/2)*EC177+(1-EXP(-LN(2)/2))/(LN(2)/2)*DW178*DZ178*VLOOKUP('Données projet'!$B$14,Paramètres!$A$1:$I$89,3,0)*0.475*44/12</f>
        <v>3.6700797221302521E-21</v>
      </c>
      <c r="ED178" s="22">
        <f t="shared" si="178"/>
        <v>0.45746157336359528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-5.1159076974727213E-13</v>
      </c>
      <c r="EK178" s="17">
        <f>EJ178*VLOOKUP('Données projet'!$B$15,Paramètres!$A$1:$I$89,3,0)*VLOOKUP('Données projet'!$B$15,Paramètres!$A$1:$I$89,5,0)</f>
        <v>-3.3519427233841269E-13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231.03244099494077</v>
      </c>
      <c r="EP178" s="59">
        <f t="shared" si="154"/>
        <v>280.29723026390741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0.12341365854716105</v>
      </c>
      <c r="EW178" s="21">
        <f>EXP(-LN(2)/25)*EW177+(1-EXP(-LN(2)/25))/(LN(2)/25)*Calculateur!ER178*Calculateur!ET178*VLOOKUP('Données projet'!$B$15,Paramètres!$A$1:$I$89,3,0)*0.475*44/12</f>
        <v>0.24607453532343471</v>
      </c>
      <c r="EX178" s="21">
        <f>EXP(-LN(2)/2)*EX177+(1-EXP(-LN(2)/2))/(LN(2)/2)*ER178*EU178*VLOOKUP('Données projet'!$B$15,Paramètres!$A$1:$I$89,3,0)*0.475*44/12</f>
        <v>2.9642951601821252E-21</v>
      </c>
      <c r="EY178" s="22">
        <f t="shared" si="181"/>
        <v>0.36948819387059573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-5.1431925385259092E-13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351.15781452544906</v>
      </c>
      <c r="T179" s="59">
        <f t="shared" si="142"/>
        <v>271.54361159160169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0.13366911113754479</v>
      </c>
      <c r="AA179" s="21">
        <f>EXP(-LN(2)/25)*AA178+(1-EXP(-LN(2)/25))/(LN(2)/25)*Calculateur!V179*Calculateur!X179*VLOOKUP('Données projet'!$B$9,Paramètres!$A$1:$I$89,3,0)*0.475*44/12</f>
        <v>0.19697106062647088</v>
      </c>
      <c r="AB179" s="21">
        <f>EXP(-LN(2)/2)*AB178+(1-EXP(-LN(2)/2))/(LN(2)/2)*V179*Y179*VLOOKUP('Données projet'!$B$9,Paramètres!$A$1:$I$89,3,0)*0.475*44/12</f>
        <v>2.2820482963670097E-21</v>
      </c>
      <c r="AC179" s="22">
        <f t="shared" si="163"/>
        <v>0.33064017176401567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9.7543306765146564E-14</v>
      </c>
      <c r="AK179" s="13">
        <f t="shared" si="164"/>
        <v>1.4696264278629426E-12</v>
      </c>
      <c r="AL179" s="20">
        <f t="shared" si="165"/>
        <v>2.7294872878105889E-12</v>
      </c>
      <c r="AM179" s="59">
        <f t="shared" si="113"/>
        <v>293.33333333333604</v>
      </c>
      <c r="AN179" s="59">
        <f ca="1">AVERAGE(OFFSET($AM$3,0,0,'Données projet'!$E$10+1,1))-AVERAGE(OFFSET($H$3,0,0,'Données projet'!$E$10+1,1))</f>
        <v>405.59933429804329</v>
      </c>
      <c r="AO179" s="59">
        <f t="shared" si="144"/>
        <v>208.64922573363776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7.6487380562463347E-2</v>
      </c>
      <c r="AW179" s="21">
        <f>EXP(-LN(2)/2)*AW178+(1-EXP(-LN(2)/2))/(LN(2)/2)*AQ179*AT179*VLOOKUP('Données projet'!$B$10,Paramètres!$A$1:$I$89,3,0)*0.475*44/12</f>
        <v>7.4999773282054765E-22</v>
      </c>
      <c r="AX179" s="21">
        <f t="shared" si="166"/>
        <v>7.6487380562463347E-2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-1.0995790944434703E-13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293.19327646293601</v>
      </c>
      <c r="BJ179" s="59">
        <f t="shared" si="146"/>
        <v>200.0769581869605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5.7961728407804954E-2</v>
      </c>
      <c r="BR179" s="21">
        <f>EXP(-LN(2)/2)*BR178+(1-EXP(-LN(2)/2))/(LN(2)/2)*BL179*BO179*VLOOKUP('Données projet'!$B$11,Paramètres!$A$1:$I$89,3,0)*0.475*44/12</f>
        <v>7.0051736291498401E-22</v>
      </c>
      <c r="BS179" s="22">
        <f t="shared" si="169"/>
        <v>5.7961728407804954E-2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1.3301360013429075E-13</v>
      </c>
      <c r="CA179" s="13">
        <f t="shared" si="170"/>
        <v>1.9329766731057041E-12</v>
      </c>
      <c r="CB179" s="20">
        <f t="shared" si="171"/>
        <v>3.5982663925596575E-12</v>
      </c>
      <c r="CC179" s="59">
        <f t="shared" si="119"/>
        <v>293.3333333333369</v>
      </c>
      <c r="CD179" s="59">
        <f ca="1">AVERAGE(OFFSET($CC$3,0,0,'Données projet'!$E$12+1,1))-AVERAGE(OFFSET($H$3,0,0,'Données projet'!$E$12+1,1))</f>
        <v>295.95249585728561</v>
      </c>
      <c r="CE179" s="59">
        <f t="shared" si="148"/>
        <v>306.85862495052709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8.0250851822109739E-2</v>
      </c>
      <c r="CL179" s="21">
        <f>EXP(-LN(2)/25)*CL178+(1-EXP(-LN(2)/25))/(LN(2)/25)*Calculateur!CG179*Calculateur!CI179*VLOOKUP('Données projet'!$B$12,Paramètres!$A$1:$I$89,3,0)*0.475*44/12</f>
        <v>0.1461328221868817</v>
      </c>
      <c r="CM179" s="21">
        <f>EXP(-LN(2)/2)*CM178+(1-EXP(-LN(2)/2))/(LN(2)/2)*CG179*CJ179*VLOOKUP('Données projet'!$B$12,Paramètres!$A$1:$I$89,3,0)*0.475*44/12</f>
        <v>1.3839649722355791E-21</v>
      </c>
      <c r="CN179" s="22">
        <f t="shared" si="172"/>
        <v>0.22638367400899145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1.0818439477588981E-13</v>
      </c>
      <c r="CV179" s="13">
        <f t="shared" si="173"/>
        <v>1.6104228458716316E-12</v>
      </c>
      <c r="CW179" s="20">
        <f t="shared" si="174"/>
        <v>2.9932409441277661E-12</v>
      </c>
      <c r="CX179" s="59">
        <f t="shared" si="122"/>
        <v>293.33333333333633</v>
      </c>
      <c r="CY179" s="59">
        <f ca="1">AVERAGE(OFFSET($CX$3,0,0,'Données projet'!$E$13+1,1))-AVERAGE(OFFSET($H$3,0,0,'Données projet'!$E$13+1,1))</f>
        <v>461.10546083340631</v>
      </c>
      <c r="CZ179" s="59">
        <f t="shared" si="150"/>
        <v>233.41883071412587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6.8825522886909685E-2</v>
      </c>
      <c r="DH179" s="21">
        <f>EXP(-LN(2)/2)*DH178+(1-EXP(-LN(2)/2))/(LN(2)/2)*DB179*DE179*VLOOKUP('Données projet'!$B$13,Paramètres!$A$1:$I$89,3,0)*0.475*44/12</f>
        <v>8.3181566731007125E-22</v>
      </c>
      <c r="DI179" s="22">
        <f t="shared" si="175"/>
        <v>6.8825522886909685E-2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-4.1500243241898714E-13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296.376932094327</v>
      </c>
      <c r="DU179" s="59">
        <f t="shared" si="152"/>
        <v>350.93658329210882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0.14980159006793825</v>
      </c>
      <c r="EB179" s="21">
        <f>EXP(-LN(2)/25)*EB178+(1-EXP(-LN(2)/25))/(LN(2)/25)*Calculateur!DW179*Calculateur!DY179*VLOOKUP('Données projet'!$B$14,Paramètres!$A$1:$I$89,3,0)*0.475*44/12</f>
        <v>0.29633266521797519</v>
      </c>
      <c r="EC179" s="21">
        <f>EXP(-LN(2)/2)*EC178+(1-EXP(-LN(2)/2))/(LN(2)/2)*DW179*DZ179*VLOOKUP('Données projet'!$B$14,Paramètres!$A$1:$I$89,3,0)*0.475*44/12</f>
        <v>2.5951382590135414E-21</v>
      </c>
      <c r="ED179" s="22">
        <f t="shared" si="178"/>
        <v>0.44613425528591344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-5.1159076974727213E-13</v>
      </c>
      <c r="EK179" s="17">
        <f>EJ179*VLOOKUP('Données projet'!$B$15,Paramètres!$A$1:$I$89,3,0)*VLOOKUP('Données projet'!$B$15,Paramètres!$A$1:$I$89,5,0)</f>
        <v>-3.3519427233841269E-13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231.03244099494077</v>
      </c>
      <c r="EP179" s="59">
        <f t="shared" si="154"/>
        <v>280.29723026390741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0.12099359197795015</v>
      </c>
      <c r="EW179" s="21">
        <f>EXP(-LN(2)/25)*EW178+(1-EXP(-LN(2)/25))/(LN(2)/25)*Calculateur!ER179*Calculateur!ET179*VLOOKUP('Données projet'!$B$15,Paramètres!$A$1:$I$89,3,0)*0.475*44/12</f>
        <v>0.23934561421451797</v>
      </c>
      <c r="EX179" s="21">
        <f>EXP(-LN(2)/2)*EX178+(1-EXP(-LN(2)/2))/(LN(2)/2)*ER179*EU179*VLOOKUP('Données projet'!$B$15,Paramètres!$A$1:$I$89,3,0)*0.475*44/12</f>
        <v>2.0960732092032438E-21</v>
      </c>
      <c r="EY179" s="22">
        <f t="shared" si="181"/>
        <v>0.36033920619246812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-5.1431925385259092E-13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351.15781452544906</v>
      </c>
      <c r="T180" s="59">
        <f t="shared" si="142"/>
        <v>271.54361159160169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0.13104794139824491</v>
      </c>
      <c r="AA180" s="21">
        <f>EXP(-LN(2)/25)*AA179+(1-EXP(-LN(2)/25))/(LN(2)/25)*Calculateur!V180*Calculateur!X180*VLOOKUP('Données projet'!$B$9,Paramètres!$A$1:$I$89,3,0)*0.475*44/12</f>
        <v>0.19158487661538215</v>
      </c>
      <c r="AB180" s="21">
        <f>EXP(-LN(2)/2)*AB179+(1-EXP(-LN(2)/2))/(LN(2)/2)*V180*Y180*VLOOKUP('Données projet'!$B$9,Paramètres!$A$1:$I$89,3,0)*0.475*44/12</f>
        <v>1.6136518253563207E-21</v>
      </c>
      <c r="AC180" s="22">
        <f t="shared" si="163"/>
        <v>0.32263281801362709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9.7543306765146564E-14</v>
      </c>
      <c r="AK180" s="13">
        <f t="shared" si="164"/>
        <v>1.4696264278629426E-12</v>
      </c>
      <c r="AL180" s="20">
        <f t="shared" si="165"/>
        <v>2.7294872878105889E-12</v>
      </c>
      <c r="AM180" s="59">
        <f t="shared" si="113"/>
        <v>293.33333333333604</v>
      </c>
      <c r="AN180" s="59">
        <f ca="1">AVERAGE(OFFSET($AM$3,0,0,'Données projet'!$E$10+1,1))-AVERAGE(OFFSET($H$3,0,0,'Données projet'!$E$10+1,1))</f>
        <v>405.59933429804329</v>
      </c>
      <c r="AO180" s="59">
        <f t="shared" si="144"/>
        <v>208.64922573363776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7.4395829118686252E-2</v>
      </c>
      <c r="AW180" s="21">
        <f>EXP(-LN(2)/2)*AW179+(1-EXP(-LN(2)/2))/(LN(2)/2)*AQ180*AT180*VLOOKUP('Données projet'!$B$10,Paramètres!$A$1:$I$89,3,0)*0.475*44/12</f>
        <v>5.3032848275194571E-22</v>
      </c>
      <c r="AX180" s="21">
        <f t="shared" si="166"/>
        <v>7.4395829118686252E-2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-1.0995790944434703E-13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293.19327646293601</v>
      </c>
      <c r="BJ180" s="59">
        <f t="shared" si="146"/>
        <v>200.0769581869605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5.6376761896418701E-2</v>
      </c>
      <c r="BR180" s="21">
        <f>EXP(-LN(2)/2)*BR179+(1-EXP(-LN(2)/2))/(LN(2)/2)*BL180*BO180*VLOOKUP('Données projet'!$B$11,Paramètres!$A$1:$I$89,3,0)*0.475*44/12</f>
        <v>4.9534057765610289E-22</v>
      </c>
      <c r="BS180" s="22">
        <f t="shared" si="169"/>
        <v>5.6376761896418701E-2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1.3301360013429075E-13</v>
      </c>
      <c r="CA180" s="13">
        <f t="shared" si="170"/>
        <v>1.9329766731057041E-12</v>
      </c>
      <c r="CB180" s="20">
        <f t="shared" si="171"/>
        <v>3.5982663925596575E-12</v>
      </c>
      <c r="CC180" s="59">
        <f t="shared" si="119"/>
        <v>293.3333333333369</v>
      </c>
      <c r="CD180" s="59">
        <f ca="1">AVERAGE(OFFSET($CC$3,0,0,'Données projet'!$E$12+1,1))-AVERAGE(OFFSET($H$3,0,0,'Données projet'!$E$12+1,1))</f>
        <v>295.95249585728561</v>
      </c>
      <c r="CE180" s="59">
        <f t="shared" si="148"/>
        <v>306.85862495052709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7.8677181566064541E-2</v>
      </c>
      <c r="CL180" s="21">
        <f>EXP(-LN(2)/25)*CL179+(1-EXP(-LN(2)/25))/(LN(2)/25)*Calculateur!CG180*Calculateur!CI180*VLOOKUP('Données projet'!$B$12,Paramètres!$A$1:$I$89,3,0)*0.475*44/12</f>
        <v>0.14213681247939028</v>
      </c>
      <c r="CM180" s="21">
        <f>EXP(-LN(2)/2)*CM179+(1-EXP(-LN(2)/2))/(LN(2)/2)*CG180*CJ180*VLOOKUP('Données projet'!$B$12,Paramètres!$A$1:$I$89,3,0)*0.475*44/12</f>
        <v>9.786110167924299E-22</v>
      </c>
      <c r="CN180" s="22">
        <f t="shared" si="172"/>
        <v>0.22081399404545482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1.0818439477588981E-13</v>
      </c>
      <c r="CV180" s="13">
        <f t="shared" si="173"/>
        <v>1.6104228458716316E-12</v>
      </c>
      <c r="CW180" s="20">
        <f t="shared" si="174"/>
        <v>2.9932409441277661E-12</v>
      </c>
      <c r="CX180" s="59">
        <f t="shared" si="122"/>
        <v>293.33333333333633</v>
      </c>
      <c r="CY180" s="59">
        <f ca="1">AVERAGE(OFFSET($CX$3,0,0,'Données projet'!$E$13+1,1))-AVERAGE(OFFSET($H$3,0,0,'Données projet'!$E$13+1,1))</f>
        <v>461.10546083340631</v>
      </c>
      <c r="CZ180" s="59">
        <f t="shared" si="150"/>
        <v>233.41883071412587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6.6943485344190187E-2</v>
      </c>
      <c r="DH180" s="21">
        <f>EXP(-LN(2)/2)*DH179+(1-EXP(-LN(2)/2))/(LN(2)/2)*DB180*DE180*VLOOKUP('Données projet'!$B$13,Paramètres!$A$1:$I$89,3,0)*0.475*44/12</f>
        <v>5.8818249905216465E-22</v>
      </c>
      <c r="DI180" s="22">
        <f t="shared" si="175"/>
        <v>6.6943485344190187E-2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-4.1500243241898714E-13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296.376932094327</v>
      </c>
      <c r="DU180" s="59">
        <f t="shared" si="152"/>
        <v>350.93658329210882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0.14686407225665388</v>
      </c>
      <c r="EB180" s="21">
        <f>EXP(-LN(2)/25)*EB179+(1-EXP(-LN(2)/25))/(LN(2)/25)*Calculateur!DW180*Calculateur!DY180*VLOOKUP('Données projet'!$B$14,Paramètres!$A$1:$I$89,3,0)*0.475*44/12</f>
        <v>0.28822943290413205</v>
      </c>
      <c r="EC180" s="21">
        <f>EXP(-LN(2)/2)*EC179+(1-EXP(-LN(2)/2))/(LN(2)/2)*DW180*DZ180*VLOOKUP('Données projet'!$B$14,Paramètres!$A$1:$I$89,3,0)*0.475*44/12</f>
        <v>1.8350398610651261E-21</v>
      </c>
      <c r="ED180" s="22">
        <f t="shared" si="178"/>
        <v>0.43509350516078593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-5.1159076974727213E-13</v>
      </c>
      <c r="EK180" s="17">
        <f>EJ180*VLOOKUP('Données projet'!$B$15,Paramètres!$A$1:$I$89,3,0)*VLOOKUP('Données projet'!$B$15,Paramètres!$A$1:$I$89,5,0)</f>
        <v>-3.3519427233841269E-13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231.03244099494077</v>
      </c>
      <c r="EP180" s="59">
        <f t="shared" si="154"/>
        <v>280.29723026390741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0.11862098143806662</v>
      </c>
      <c r="EW180" s="21">
        <f>EXP(-LN(2)/25)*EW179+(1-EXP(-LN(2)/25))/(LN(2)/25)*Calculateur!ER180*Calculateur!ET180*VLOOKUP('Données projet'!$B$15,Paramètres!$A$1:$I$89,3,0)*0.475*44/12</f>
        <v>0.23280069580718316</v>
      </c>
      <c r="EX180" s="21">
        <f>EXP(-LN(2)/2)*EX179+(1-EXP(-LN(2)/2))/(LN(2)/2)*ER180*EU180*VLOOKUP('Données projet'!$B$15,Paramètres!$A$1:$I$89,3,0)*0.475*44/12</f>
        <v>1.4821475800910626E-21</v>
      </c>
      <c r="EY180" s="22">
        <f t="shared" si="181"/>
        <v>0.35142167724524975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-5.1431925385259092E-13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351.15781452544906</v>
      </c>
      <c r="T181" s="59">
        <f t="shared" si="142"/>
        <v>271.54361159160169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0.12847817119877702</v>
      </c>
      <c r="AA181" s="21">
        <f>EXP(-LN(2)/25)*AA180+(1-EXP(-LN(2)/25))/(LN(2)/25)*Calculateur!V181*Calculateur!X181*VLOOKUP('Données projet'!$B$9,Paramètres!$A$1:$I$89,3,0)*0.475*44/12</f>
        <v>0.18634597808932374</v>
      </c>
      <c r="AB181" s="21">
        <f>EXP(-LN(2)/2)*AB180+(1-EXP(-LN(2)/2))/(LN(2)/2)*V181*Y181*VLOOKUP('Données projet'!$B$9,Paramètres!$A$1:$I$89,3,0)*0.475*44/12</f>
        <v>1.1410241481835048E-21</v>
      </c>
      <c r="AC181" s="22">
        <f t="shared" si="163"/>
        <v>0.31482414928810076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9.7543306765146564E-14</v>
      </c>
      <c r="AK181" s="13">
        <f t="shared" si="164"/>
        <v>1.4696264278629426E-12</v>
      </c>
      <c r="AL181" s="20">
        <f t="shared" si="165"/>
        <v>2.7294872878105889E-12</v>
      </c>
      <c r="AM181" s="59">
        <f t="shared" si="113"/>
        <v>293.33333333333604</v>
      </c>
      <c r="AN181" s="59">
        <f ca="1">AVERAGE(OFFSET($AM$3,0,0,'Données projet'!$E$10+1,1))-AVERAGE(OFFSET($H$3,0,0,'Données projet'!$E$10+1,1))</f>
        <v>405.59933429804329</v>
      </c>
      <c r="AO181" s="59">
        <f t="shared" si="144"/>
        <v>208.64922573363776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7.2361471259129159E-2</v>
      </c>
      <c r="AW181" s="21">
        <f>EXP(-LN(2)/2)*AW180+(1-EXP(-LN(2)/2))/(LN(2)/2)*AQ181*AT181*VLOOKUP('Données projet'!$B$10,Paramètres!$A$1:$I$89,3,0)*0.475*44/12</f>
        <v>3.7499886641027383E-22</v>
      </c>
      <c r="AX181" s="21">
        <f t="shared" si="166"/>
        <v>7.2361471259129159E-2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-1.0995790944434703E-13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293.19327646293601</v>
      </c>
      <c r="BJ181" s="59">
        <f t="shared" si="146"/>
        <v>200.0769581869605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5.4835136377636075E-2</v>
      </c>
      <c r="BR181" s="21">
        <f>EXP(-LN(2)/2)*BR180+(1-EXP(-LN(2)/2))/(LN(2)/2)*BL181*BO181*VLOOKUP('Données projet'!$B$11,Paramètres!$A$1:$I$89,3,0)*0.475*44/12</f>
        <v>3.5025868145749201E-22</v>
      </c>
      <c r="BS181" s="22">
        <f t="shared" si="169"/>
        <v>5.4835136377636075E-2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1.3301360013429075E-13</v>
      </c>
      <c r="CA181" s="13">
        <f t="shared" si="170"/>
        <v>1.9329766731057041E-12</v>
      </c>
      <c r="CB181" s="20">
        <f t="shared" si="171"/>
        <v>3.5982663925596575E-12</v>
      </c>
      <c r="CC181" s="59">
        <f t="shared" si="119"/>
        <v>293.3333333333369</v>
      </c>
      <c r="CD181" s="59">
        <f ca="1">AVERAGE(OFFSET($CC$3,0,0,'Données projet'!$E$12+1,1))-AVERAGE(OFFSET($H$3,0,0,'Données projet'!$E$12+1,1))</f>
        <v>295.95249585728561</v>
      </c>
      <c r="CE181" s="59">
        <f t="shared" si="148"/>
        <v>306.85862495052709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7.7134370023896309E-2</v>
      </c>
      <c r="CL181" s="21">
        <f>EXP(-LN(2)/25)*CL180+(1-EXP(-LN(2)/25))/(LN(2)/25)*Calculateur!CG181*Calculateur!CI181*VLOOKUP('Données projet'!$B$12,Paramètres!$A$1:$I$89,3,0)*0.475*44/12</f>
        <v>0.13825007386749125</v>
      </c>
      <c r="CM181" s="21">
        <f>EXP(-LN(2)/2)*CM180+(1-EXP(-LN(2)/2))/(LN(2)/2)*CG181*CJ181*VLOOKUP('Données projet'!$B$12,Paramètres!$A$1:$I$89,3,0)*0.475*44/12</f>
        <v>6.9198248611778953E-22</v>
      </c>
      <c r="CN181" s="22">
        <f t="shared" si="172"/>
        <v>0.21538444389138756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1.0818439477588981E-13</v>
      </c>
      <c r="CV181" s="13">
        <f t="shared" si="173"/>
        <v>1.6104228458716316E-12</v>
      </c>
      <c r="CW181" s="20">
        <f t="shared" si="174"/>
        <v>2.9932409441277661E-12</v>
      </c>
      <c r="CX181" s="59">
        <f t="shared" si="122"/>
        <v>293.33333333333633</v>
      </c>
      <c r="CY181" s="59">
        <f ca="1">AVERAGE(OFFSET($CX$3,0,0,'Données projet'!$E$13+1,1))-AVERAGE(OFFSET($H$3,0,0,'Données projet'!$E$13+1,1))</f>
        <v>461.10546083340631</v>
      </c>
      <c r="CZ181" s="59">
        <f t="shared" si="150"/>
        <v>233.41883071412587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6.5112912217048416E-2</v>
      </c>
      <c r="DH181" s="21">
        <f>EXP(-LN(2)/2)*DH180+(1-EXP(-LN(2)/2))/(LN(2)/2)*DB181*DE181*VLOOKUP('Données projet'!$B$13,Paramètres!$A$1:$I$89,3,0)*0.475*44/12</f>
        <v>4.1590783365503572E-22</v>
      </c>
      <c r="DI181" s="22">
        <f t="shared" si="175"/>
        <v>6.5112912217048416E-2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-4.1500243241898714E-13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296.376932094327</v>
      </c>
      <c r="DU181" s="59">
        <f t="shared" si="152"/>
        <v>350.93658329210882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0.14398415737793985</v>
      </c>
      <c r="EB181" s="21">
        <f>EXP(-LN(2)/25)*EB180+(1-EXP(-LN(2)/25))/(LN(2)/25)*Calculateur!DW181*Calculateur!DY181*VLOOKUP('Données projet'!$B$14,Paramètres!$A$1:$I$89,3,0)*0.475*44/12</f>
        <v>0.28034778390404147</v>
      </c>
      <c r="EC181" s="21">
        <f>EXP(-LN(2)/2)*EC180+(1-EXP(-LN(2)/2))/(LN(2)/2)*DW181*DZ181*VLOOKUP('Données projet'!$B$14,Paramètres!$A$1:$I$89,3,0)*0.475*44/12</f>
        <v>1.2975691295067707E-21</v>
      </c>
      <c r="ED181" s="22">
        <f t="shared" si="178"/>
        <v>0.42433194128198132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-5.1159076974727213E-13</v>
      </c>
      <c r="EK181" s="17">
        <f>EJ181*VLOOKUP('Données projet'!$B$15,Paramètres!$A$1:$I$89,3,0)*VLOOKUP('Données projet'!$B$15,Paramètres!$A$1:$I$89,5,0)</f>
        <v>-3.3519427233841269E-13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231.03244099494077</v>
      </c>
      <c r="EP181" s="59">
        <f t="shared" si="154"/>
        <v>280.29723026390741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0.11629489634372069</v>
      </c>
      <c r="EW181" s="21">
        <f>EXP(-LN(2)/25)*EW180+(1-EXP(-LN(2)/25))/(LN(2)/25)*Calculateur!ER181*Calculateur!ET181*VLOOKUP('Données projet'!$B$15,Paramètres!$A$1:$I$89,3,0)*0.475*44/12</f>
        <v>0.2264347485378792</v>
      </c>
      <c r="EX181" s="21">
        <f>EXP(-LN(2)/2)*EX180+(1-EXP(-LN(2)/2))/(LN(2)/2)*ER181*EU181*VLOOKUP('Données projet'!$B$15,Paramètres!$A$1:$I$89,3,0)*0.475*44/12</f>
        <v>1.0480366046016219E-21</v>
      </c>
      <c r="EY181" s="22">
        <f t="shared" si="181"/>
        <v>0.3427296448815999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-5.1431925385259092E-13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351.15781452544906</v>
      </c>
      <c r="T182" s="59">
        <f t="shared" si="142"/>
        <v>271.54361159160169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0.12595879262551565</v>
      </c>
      <c r="AA182" s="21">
        <f>EXP(-LN(2)/25)*AA181+(1-EXP(-LN(2)/25))/(LN(2)/25)*Calculateur!V182*Calculateur!X182*VLOOKUP('Données projet'!$B$9,Paramètres!$A$1:$I$89,3,0)*0.475*44/12</f>
        <v>0.18125033751896208</v>
      </c>
      <c r="AB182" s="21">
        <f>EXP(-LN(2)/2)*AB181+(1-EXP(-LN(2)/2))/(LN(2)/2)*V182*Y182*VLOOKUP('Données projet'!$B$9,Paramètres!$A$1:$I$89,3,0)*0.475*44/12</f>
        <v>8.0682591267816035E-22</v>
      </c>
      <c r="AC182" s="22">
        <f t="shared" si="163"/>
        <v>0.3072091301444777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9.7543306765146564E-14</v>
      </c>
      <c r="AK182" s="13">
        <f t="shared" si="164"/>
        <v>1.4696264278629426E-12</v>
      </c>
      <c r="AL182" s="20">
        <f t="shared" si="165"/>
        <v>2.7294872878105889E-12</v>
      </c>
      <c r="AM182" s="59">
        <f t="shared" si="113"/>
        <v>293.33333333333604</v>
      </c>
      <c r="AN182" s="59">
        <f ca="1">AVERAGE(OFFSET($AM$3,0,0,'Données projet'!$E$10+1,1))-AVERAGE(OFFSET($H$3,0,0,'Données projet'!$E$10+1,1))</f>
        <v>405.59933429804329</v>
      </c>
      <c r="AO182" s="59">
        <f t="shared" si="144"/>
        <v>208.64922573363776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7.0382743022223887E-2</v>
      </c>
      <c r="AW182" s="21">
        <f>EXP(-LN(2)/2)*AW181+(1-EXP(-LN(2)/2))/(LN(2)/2)*AQ182*AT182*VLOOKUP('Données projet'!$B$10,Paramètres!$A$1:$I$89,3,0)*0.475*44/12</f>
        <v>2.6516424137597286E-22</v>
      </c>
      <c r="AX182" s="21">
        <f t="shared" si="166"/>
        <v>7.0382743022223887E-2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-1.0995790944434703E-13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293.19327646293601</v>
      </c>
      <c r="BJ182" s="59">
        <f t="shared" si="146"/>
        <v>200.0769581869605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5.333566668973512E-2</v>
      </c>
      <c r="BR182" s="21">
        <f>EXP(-LN(2)/2)*BR181+(1-EXP(-LN(2)/2))/(LN(2)/2)*BL182*BO182*VLOOKUP('Données projet'!$B$11,Paramètres!$A$1:$I$89,3,0)*0.475*44/12</f>
        <v>2.4767028882805144E-22</v>
      </c>
      <c r="BS182" s="22">
        <f t="shared" si="169"/>
        <v>5.333566668973512E-2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1.3301360013429075E-13</v>
      </c>
      <c r="CA182" s="13">
        <f t="shared" si="170"/>
        <v>1.9329766731057041E-12</v>
      </c>
      <c r="CB182" s="20">
        <f t="shared" si="171"/>
        <v>3.5982663925596575E-12</v>
      </c>
      <c r="CC182" s="59">
        <f t="shared" si="119"/>
        <v>293.3333333333369</v>
      </c>
      <c r="CD182" s="59">
        <f ca="1">AVERAGE(OFFSET($CC$3,0,0,'Données projet'!$E$12+1,1))-AVERAGE(OFFSET($H$3,0,0,'Données projet'!$E$12+1,1))</f>
        <v>295.95249585728561</v>
      </c>
      <c r="CE182" s="59">
        <f t="shared" si="148"/>
        <v>306.85862495052709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7.5621812075047881E-2</v>
      </c>
      <c r="CL182" s="21">
        <f>EXP(-LN(2)/25)*CL181+(1-EXP(-LN(2)/25))/(LN(2)/25)*Calculateur!CG182*Calculateur!CI182*VLOOKUP('Données projet'!$B$12,Paramètres!$A$1:$I$89,3,0)*0.475*44/12</f>
        <v>0.13446961832732929</v>
      </c>
      <c r="CM182" s="21">
        <f>EXP(-LN(2)/2)*CM181+(1-EXP(-LN(2)/2))/(LN(2)/2)*CG182*CJ182*VLOOKUP('Données projet'!$B$12,Paramètres!$A$1:$I$89,3,0)*0.475*44/12</f>
        <v>4.8930550839621495E-22</v>
      </c>
      <c r="CN182" s="22">
        <f t="shared" si="172"/>
        <v>0.21009143040237716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1.0818439477588981E-13</v>
      </c>
      <c r="CV182" s="13">
        <f t="shared" si="173"/>
        <v>1.6104228458716316E-12</v>
      </c>
      <c r="CW182" s="20">
        <f t="shared" si="174"/>
        <v>2.9932409441277661E-12</v>
      </c>
      <c r="CX182" s="59">
        <f t="shared" si="122"/>
        <v>293.33333333333633</v>
      </c>
      <c r="CY182" s="59">
        <f ca="1">AVERAGE(OFFSET($CX$3,0,0,'Données projet'!$E$13+1,1))-AVERAGE(OFFSET($H$3,0,0,'Données projet'!$E$13+1,1))</f>
        <v>461.10546083340631</v>
      </c>
      <c r="CZ182" s="59">
        <f t="shared" si="150"/>
        <v>233.41883071412587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6.3332396208333988E-2</v>
      </c>
      <c r="DH182" s="21">
        <f>EXP(-LN(2)/2)*DH181+(1-EXP(-LN(2)/2))/(LN(2)/2)*DB182*DE182*VLOOKUP('Données projet'!$B$13,Paramètres!$A$1:$I$89,3,0)*0.475*44/12</f>
        <v>2.9409124952608237E-22</v>
      </c>
      <c r="DI182" s="22">
        <f t="shared" si="175"/>
        <v>6.3332396208333988E-2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-4.1500243241898714E-13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296.376932094327</v>
      </c>
      <c r="DU182" s="59">
        <f t="shared" si="152"/>
        <v>350.93658329210882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0.14116071587342277</v>
      </c>
      <c r="EB182" s="21">
        <f>EXP(-LN(2)/25)*EB181+(1-EXP(-LN(2)/25))/(LN(2)/25)*Calculateur!DW182*Calculateur!DY182*VLOOKUP('Données projet'!$B$14,Paramètres!$A$1:$I$89,3,0)*0.475*44/12</f>
        <v>0.27268165901033625</v>
      </c>
      <c r="EC182" s="21">
        <f>EXP(-LN(2)/2)*EC181+(1-EXP(-LN(2)/2))/(LN(2)/2)*DW182*DZ182*VLOOKUP('Données projet'!$B$14,Paramètres!$A$1:$I$89,3,0)*0.475*44/12</f>
        <v>9.1751993053256303E-22</v>
      </c>
      <c r="ED182" s="22">
        <f t="shared" si="178"/>
        <v>0.41384237488375902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-5.1159076974727213E-13</v>
      </c>
      <c r="EK182" s="17">
        <f>EJ182*VLOOKUP('Données projet'!$B$15,Paramètres!$A$1:$I$89,3,0)*VLOOKUP('Données projet'!$B$15,Paramètres!$A$1:$I$89,5,0)</f>
        <v>-3.3519427233841269E-13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231.03244099494077</v>
      </c>
      <c r="EP182" s="59">
        <f t="shared" si="154"/>
        <v>280.29723026390741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0.11401442435930305</v>
      </c>
      <c r="EW182" s="21">
        <f>EXP(-LN(2)/25)*EW181+(1-EXP(-LN(2)/25))/(LN(2)/25)*Calculateur!ER182*Calculateur!ET182*VLOOKUP('Données projet'!$B$15,Paramètres!$A$1:$I$89,3,0)*0.475*44/12</f>
        <v>0.22024287843142498</v>
      </c>
      <c r="EX182" s="21">
        <f>EXP(-LN(2)/2)*EX181+(1-EXP(-LN(2)/2))/(LN(2)/2)*ER182*EU182*VLOOKUP('Données projet'!$B$15,Paramètres!$A$1:$I$89,3,0)*0.475*44/12</f>
        <v>7.4107379004553131E-22</v>
      </c>
      <c r="EY182" s="22">
        <f t="shared" si="181"/>
        <v>0.33425730279072802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-5.1431925385259092E-13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351.15781452544906</v>
      </c>
      <c r="T183" s="59">
        <f t="shared" si="142"/>
        <v>271.54361159160169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0.12348881752940673</v>
      </c>
      <c r="AA183" s="21">
        <f>EXP(-LN(2)/25)*AA182+(1-EXP(-LN(2)/25))/(LN(2)/25)*Calculateur!V183*Calculateur!X183*VLOOKUP('Données projet'!$B$9,Paramètres!$A$1:$I$89,3,0)*0.475*44/12</f>
        <v>0.17629403750796507</v>
      </c>
      <c r="AB183" s="21">
        <f>EXP(-LN(2)/2)*AB182+(1-EXP(-LN(2)/2))/(LN(2)/2)*V183*Y183*VLOOKUP('Données projet'!$B$9,Paramètres!$A$1:$I$89,3,0)*0.475*44/12</f>
        <v>5.7051207409175242E-22</v>
      </c>
      <c r="AC183" s="22">
        <f t="shared" si="163"/>
        <v>0.29978285503737179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9.7543306765146564E-14</v>
      </c>
      <c r="AK183" s="13">
        <f t="shared" si="164"/>
        <v>1.4696264278629426E-12</v>
      </c>
      <c r="AL183" s="20">
        <f t="shared" si="165"/>
        <v>2.7294872878105889E-12</v>
      </c>
      <c r="AM183" s="59">
        <f t="shared" si="113"/>
        <v>293.33333333333604</v>
      </c>
      <c r="AN183" s="59">
        <f ca="1">AVERAGE(OFFSET($AM$3,0,0,'Données projet'!$E$10+1,1))-AVERAGE(OFFSET($H$3,0,0,'Données projet'!$E$10+1,1))</f>
        <v>405.59933429804329</v>
      </c>
      <c r="AO183" s="59">
        <f t="shared" si="144"/>
        <v>208.64922573363776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6.8458123213013575E-2</v>
      </c>
      <c r="AW183" s="21">
        <f>EXP(-LN(2)/2)*AW182+(1-EXP(-LN(2)/2))/(LN(2)/2)*AQ183*AT183*VLOOKUP('Données projet'!$B$10,Paramètres!$A$1:$I$89,3,0)*0.475*44/12</f>
        <v>1.8749943320513691E-22</v>
      </c>
      <c r="AX183" s="21">
        <f t="shared" si="166"/>
        <v>6.8458123213013575E-2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-1.0995790944434703E-13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293.19327646293601</v>
      </c>
      <c r="BJ183" s="59">
        <f t="shared" si="146"/>
        <v>200.0769581869605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5.18772000793035E-2</v>
      </c>
      <c r="BR183" s="21">
        <f>EXP(-LN(2)/2)*BR182+(1-EXP(-LN(2)/2))/(LN(2)/2)*BL183*BO183*VLOOKUP('Données projet'!$B$11,Paramètres!$A$1:$I$89,3,0)*0.475*44/12</f>
        <v>1.75129340728746E-22</v>
      </c>
      <c r="BS183" s="22">
        <f t="shared" si="169"/>
        <v>5.18772000793035E-2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1.3301360013429075E-13</v>
      </c>
      <c r="CA183" s="13">
        <f t="shared" si="170"/>
        <v>1.9329766731057041E-12</v>
      </c>
      <c r="CB183" s="20">
        <f t="shared" si="171"/>
        <v>3.5982663925596575E-12</v>
      </c>
      <c r="CC183" s="59">
        <f t="shared" si="119"/>
        <v>293.3333333333369</v>
      </c>
      <c r="CD183" s="59">
        <f ca="1">AVERAGE(OFFSET($CC$3,0,0,'Données projet'!$E$12+1,1))-AVERAGE(OFFSET($H$3,0,0,'Données projet'!$E$12+1,1))</f>
        <v>295.95249585728561</v>
      </c>
      <c r="CE183" s="59">
        <f t="shared" si="148"/>
        <v>306.85862495052709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7.4138914465007116E-2</v>
      </c>
      <c r="CL183" s="21">
        <f>EXP(-LN(2)/25)*CL182+(1-EXP(-LN(2)/25))/(LN(2)/25)*Calculateur!CG183*Calculateur!CI183*VLOOKUP('Données projet'!$B$12,Paramètres!$A$1:$I$89,3,0)*0.475*44/12</f>
        <v>0.13079253954271858</v>
      </c>
      <c r="CM183" s="21">
        <f>EXP(-LN(2)/2)*CM182+(1-EXP(-LN(2)/2))/(LN(2)/2)*CG183*CJ183*VLOOKUP('Données projet'!$B$12,Paramètres!$A$1:$I$89,3,0)*0.475*44/12</f>
        <v>3.4599124305889477E-22</v>
      </c>
      <c r="CN183" s="22">
        <f t="shared" si="172"/>
        <v>0.20493145400772569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1.0818439477588981E-13</v>
      </c>
      <c r="CV183" s="13">
        <f t="shared" si="173"/>
        <v>1.6104228458716316E-12</v>
      </c>
      <c r="CW183" s="20">
        <f t="shared" si="174"/>
        <v>2.9932409441277661E-12</v>
      </c>
      <c r="CX183" s="59">
        <f t="shared" si="122"/>
        <v>293.33333333333633</v>
      </c>
      <c r="CY183" s="59">
        <f ca="1">AVERAGE(OFFSET($CX$3,0,0,'Données projet'!$E$13+1,1))-AVERAGE(OFFSET($H$3,0,0,'Données projet'!$E$13+1,1))</f>
        <v>461.10546083340631</v>
      </c>
      <c r="CZ183" s="59">
        <f t="shared" si="150"/>
        <v>233.41883071412587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6.160056850351113E-2</v>
      </c>
      <c r="DH183" s="21">
        <f>EXP(-LN(2)/2)*DH182+(1-EXP(-LN(2)/2))/(LN(2)/2)*DB183*DE183*VLOOKUP('Données projet'!$B$13,Paramètres!$A$1:$I$89,3,0)*0.475*44/12</f>
        <v>2.0795391682751788E-22</v>
      </c>
      <c r="DI183" s="22">
        <f t="shared" si="175"/>
        <v>6.160056850351113E-2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-4.1500243241898714E-13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296.376932094327</v>
      </c>
      <c r="DU183" s="59">
        <f t="shared" si="152"/>
        <v>350.93658329210882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0.13839264033468002</v>
      </c>
      <c r="EB183" s="21">
        <f>EXP(-LN(2)/25)*EB182+(1-EXP(-LN(2)/25))/(LN(2)/25)*Calculateur!DW183*Calculateur!DY183*VLOOKUP('Données projet'!$B$14,Paramètres!$A$1:$I$89,3,0)*0.475*44/12</f>
        <v>0.26522516470499341</v>
      </c>
      <c r="EC183" s="21">
        <f>EXP(-LN(2)/2)*EC182+(1-EXP(-LN(2)/2))/(LN(2)/2)*DW183*DZ183*VLOOKUP('Données projet'!$B$14,Paramètres!$A$1:$I$89,3,0)*0.475*44/12</f>
        <v>6.4878456475338535E-22</v>
      </c>
      <c r="ED183" s="22">
        <f t="shared" si="178"/>
        <v>0.40361780503967343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-5.1159076974727213E-13</v>
      </c>
      <c r="EK183" s="17">
        <f>EJ183*VLOOKUP('Données projet'!$B$15,Paramètres!$A$1:$I$89,3,0)*VLOOKUP('Données projet'!$B$15,Paramètres!$A$1:$I$89,5,0)</f>
        <v>-3.3519427233841269E-13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231.03244099494077</v>
      </c>
      <c r="EP183" s="59">
        <f t="shared" si="154"/>
        <v>280.29723026390741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0.11177867103954928</v>
      </c>
      <c r="EW183" s="21">
        <f>EXP(-LN(2)/25)*EW182+(1-EXP(-LN(2)/25))/(LN(2)/25)*Calculateur!ER183*Calculateur!ET183*VLOOKUP('Données projet'!$B$15,Paramètres!$A$1:$I$89,3,0)*0.475*44/12</f>
        <v>0.21422032533864807</v>
      </c>
      <c r="EX183" s="21">
        <f>EXP(-LN(2)/2)*EX182+(1-EXP(-LN(2)/2))/(LN(2)/2)*ER183*EU183*VLOOKUP('Données projet'!$B$15,Paramètres!$A$1:$I$89,3,0)*0.475*44/12</f>
        <v>5.2401830230081096E-22</v>
      </c>
      <c r="EY183" s="22">
        <f t="shared" si="181"/>
        <v>0.32599899637819735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-5.1431925385259092E-13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351.15781452544906</v>
      </c>
      <c r="T184" s="59">
        <f t="shared" si="142"/>
        <v>271.54361159160169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0.12106727713839645</v>
      </c>
      <c r="AA184" s="21">
        <f>EXP(-LN(2)/25)*AA183+(1-EXP(-LN(2)/25))/(LN(2)/25)*Calculateur!V184*Calculateur!X184*VLOOKUP('Données projet'!$B$9,Paramètres!$A$1:$I$89,3,0)*0.475*44/12</f>
        <v>0.17147326778140926</v>
      </c>
      <c r="AB184" s="21">
        <f>EXP(-LN(2)/2)*AB183+(1-EXP(-LN(2)/2))/(LN(2)/2)*V184*Y184*VLOOKUP('Données projet'!$B$9,Paramètres!$A$1:$I$89,3,0)*0.475*44/12</f>
        <v>4.0341295633908017E-22</v>
      </c>
      <c r="AC184" s="22">
        <f t="shared" si="163"/>
        <v>0.29254054491980569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9.7543306765146564E-14</v>
      </c>
      <c r="AK184" s="13">
        <f t="shared" si="164"/>
        <v>1.4696264278629426E-12</v>
      </c>
      <c r="AL184" s="20">
        <f t="shared" si="165"/>
        <v>2.7294872878105889E-12</v>
      </c>
      <c r="AM184" s="59">
        <f t="shared" si="113"/>
        <v>293.33333333333604</v>
      </c>
      <c r="AN184" s="59">
        <f ca="1">AVERAGE(OFFSET($AM$3,0,0,'Données projet'!$E$10+1,1))-AVERAGE(OFFSET($H$3,0,0,'Données projet'!$E$10+1,1))</f>
        <v>405.59933429804329</v>
      </c>
      <c r="AO184" s="59">
        <f t="shared" si="144"/>
        <v>208.64922573363776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6.6586132233697484E-2</v>
      </c>
      <c r="AW184" s="21">
        <f>EXP(-LN(2)/2)*AW183+(1-EXP(-LN(2)/2))/(LN(2)/2)*AQ184*AT184*VLOOKUP('Données projet'!$B$10,Paramètres!$A$1:$I$89,3,0)*0.475*44/12</f>
        <v>1.3258212068798643E-22</v>
      </c>
      <c r="AX184" s="21">
        <f t="shared" si="166"/>
        <v>6.6586132233697484E-2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-1.0995790944434703E-13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293.19327646293601</v>
      </c>
      <c r="BJ184" s="59">
        <f t="shared" si="146"/>
        <v>200.0769581869605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5.0458615315031562E-2</v>
      </c>
      <c r="BR184" s="21">
        <f>EXP(-LN(2)/2)*BR183+(1-EXP(-LN(2)/2))/(LN(2)/2)*BL184*BO184*VLOOKUP('Données projet'!$B$11,Paramètres!$A$1:$I$89,3,0)*0.475*44/12</f>
        <v>1.2383514441402572E-22</v>
      </c>
      <c r="BS184" s="22">
        <f t="shared" si="169"/>
        <v>5.0458615315031562E-2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1.3301360013429075E-13</v>
      </c>
      <c r="CA184" s="13">
        <f t="shared" si="170"/>
        <v>1.9329766731057041E-12</v>
      </c>
      <c r="CB184" s="20">
        <f t="shared" si="171"/>
        <v>3.5982663925596575E-12</v>
      </c>
      <c r="CC184" s="59">
        <f t="shared" si="119"/>
        <v>293.3333333333369</v>
      </c>
      <c r="CD184" s="59">
        <f ca="1">AVERAGE(OFFSET($CC$3,0,0,'Données projet'!$E$12+1,1))-AVERAGE(OFFSET($H$3,0,0,'Données projet'!$E$12+1,1))</f>
        <v>295.95249585728561</v>
      </c>
      <c r="CE184" s="59">
        <f t="shared" si="148"/>
        <v>306.85862495052709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7.2685095572621025E-2</v>
      </c>
      <c r="CL184" s="21">
        <f>EXP(-LN(2)/25)*CL183+(1-EXP(-LN(2)/25))/(LN(2)/25)*Calculateur!CG184*Calculateur!CI184*VLOOKUP('Données projet'!$B$12,Paramètres!$A$1:$I$89,3,0)*0.475*44/12</f>
        <v>0.12721601067084221</v>
      </c>
      <c r="CM184" s="21">
        <f>EXP(-LN(2)/2)*CM183+(1-EXP(-LN(2)/2))/(LN(2)/2)*CG184*CJ184*VLOOKUP('Données projet'!$B$12,Paramètres!$A$1:$I$89,3,0)*0.475*44/12</f>
        <v>2.4465275419810748E-22</v>
      </c>
      <c r="CN184" s="22">
        <f t="shared" si="172"/>
        <v>0.19990110624346324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1.0818439477588981E-13</v>
      </c>
      <c r="CV184" s="13">
        <f t="shared" si="173"/>
        <v>1.6104228458716316E-12</v>
      </c>
      <c r="CW184" s="20">
        <f t="shared" si="174"/>
        <v>2.9932409441277661E-12</v>
      </c>
      <c r="CX184" s="59">
        <f t="shared" si="122"/>
        <v>293.33333333333633</v>
      </c>
      <c r="CY184" s="59">
        <f ca="1">AVERAGE(OFFSET($CX$3,0,0,'Données projet'!$E$13+1,1))-AVERAGE(OFFSET($H$3,0,0,'Données projet'!$E$13+1,1))</f>
        <v>461.10546083340631</v>
      </c>
      <c r="CZ184" s="59">
        <f t="shared" si="150"/>
        <v>233.41883071412587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5.9916097718349513E-2</v>
      </c>
      <c r="DH184" s="21">
        <f>EXP(-LN(2)/2)*DH183+(1-EXP(-LN(2)/2))/(LN(2)/2)*DB184*DE184*VLOOKUP('Données projet'!$B$13,Paramètres!$A$1:$I$89,3,0)*0.475*44/12</f>
        <v>1.4704562476304121E-22</v>
      </c>
      <c r="DI184" s="22">
        <f t="shared" si="175"/>
        <v>5.9916097718349513E-2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-4.1500243241898714E-13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296.376932094327</v>
      </c>
      <c r="DU184" s="59">
        <f t="shared" si="152"/>
        <v>350.93658329210882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0.13567884506889263</v>
      </c>
      <c r="EB184" s="21">
        <f>EXP(-LN(2)/25)*EB183+(1-EXP(-LN(2)/25))/(LN(2)/25)*Calculateur!DW184*Calculateur!DY184*VLOOKUP('Données projet'!$B$14,Paramètres!$A$1:$I$89,3,0)*0.475*44/12</f>
        <v>0.25797256862855011</v>
      </c>
      <c r="EC184" s="21">
        <f>EXP(-LN(2)/2)*EC183+(1-EXP(-LN(2)/2))/(LN(2)/2)*DW184*DZ184*VLOOKUP('Données projet'!$B$14,Paramètres!$A$1:$I$89,3,0)*0.475*44/12</f>
        <v>4.5875996526628152E-22</v>
      </c>
      <c r="ED184" s="22">
        <f t="shared" si="178"/>
        <v>0.39365141369744272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-5.1159076974727213E-13</v>
      </c>
      <c r="EK184" s="17">
        <f>EJ184*VLOOKUP('Données projet'!$B$15,Paramètres!$A$1:$I$89,3,0)*VLOOKUP('Données projet'!$B$15,Paramètres!$A$1:$I$89,5,0)</f>
        <v>-3.3519427233841269E-13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231.03244099494077</v>
      </c>
      <c r="EP184" s="59">
        <f t="shared" si="154"/>
        <v>280.29723026390741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0.109586759478721</v>
      </c>
      <c r="EW184" s="21">
        <f>EXP(-LN(2)/25)*EW183+(1-EXP(-LN(2)/25))/(LN(2)/25)*Calculateur!ER184*Calculateur!ET184*VLOOKUP('Données projet'!$B$15,Paramètres!$A$1:$I$89,3,0)*0.475*44/12</f>
        <v>0.20836245927690544</v>
      </c>
      <c r="EX184" s="21">
        <f>EXP(-LN(2)/2)*EX183+(1-EXP(-LN(2)/2))/(LN(2)/2)*ER184*EU184*VLOOKUP('Données projet'!$B$15,Paramètres!$A$1:$I$89,3,0)*0.475*44/12</f>
        <v>3.7053689502276566E-22</v>
      </c>
      <c r="EY184" s="22">
        <f t="shared" si="181"/>
        <v>0.31794921875562643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-5.1431925385259092E-13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351.15781452544906</v>
      </c>
      <c r="T185" s="59">
        <f t="shared" si="142"/>
        <v>271.54361159160169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0.11869322167746009</v>
      </c>
      <c r="AA185" s="21">
        <f>EXP(-LN(2)/25)*AA184+(1-EXP(-LN(2)/25))/(LN(2)/25)*Calculateur!V185*Calculateur!X185*VLOOKUP('Données projet'!$B$9,Paramètres!$A$1:$I$89,3,0)*0.475*44/12</f>
        <v>0.16678432225653939</v>
      </c>
      <c r="AB185" s="21">
        <f>EXP(-LN(2)/2)*AB184+(1-EXP(-LN(2)/2))/(LN(2)/2)*V185*Y185*VLOOKUP('Données projet'!$B$9,Paramètres!$A$1:$I$89,3,0)*0.475*44/12</f>
        <v>2.8525603704587621E-22</v>
      </c>
      <c r="AC185" s="22">
        <f t="shared" si="163"/>
        <v>0.28547754393399949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9.7543306765146564E-14</v>
      </c>
      <c r="AK185" s="13">
        <f t="shared" si="164"/>
        <v>1.4696264278629426E-12</v>
      </c>
      <c r="AL185" s="20">
        <f t="shared" si="165"/>
        <v>2.7294872878105889E-12</v>
      </c>
      <c r="AM185" s="59">
        <f t="shared" si="113"/>
        <v>293.33333333333604</v>
      </c>
      <c r="AN185" s="59">
        <f ca="1">AVERAGE(OFFSET($AM$3,0,0,'Données projet'!$E$10+1,1))-AVERAGE(OFFSET($H$3,0,0,'Données projet'!$E$10+1,1))</f>
        <v>405.59933429804329</v>
      </c>
      <c r="AO185" s="59">
        <f t="shared" si="144"/>
        <v>208.64922573363776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6.4765330946154512E-2</v>
      </c>
      <c r="AW185" s="21">
        <f>EXP(-LN(2)/2)*AW184+(1-EXP(-LN(2)/2))/(LN(2)/2)*AQ185*AT185*VLOOKUP('Données projet'!$B$10,Paramètres!$A$1:$I$89,3,0)*0.475*44/12</f>
        <v>9.3749716602568456E-23</v>
      </c>
      <c r="AX185" s="21">
        <f t="shared" si="166"/>
        <v>6.4765330946154512E-2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-1.0995790944434703E-13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293.19327646293601</v>
      </c>
      <c r="BJ185" s="59">
        <f t="shared" si="146"/>
        <v>200.0769581869605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4.9078821825738771E-2</v>
      </c>
      <c r="BR185" s="21">
        <f>EXP(-LN(2)/2)*BR184+(1-EXP(-LN(2)/2))/(LN(2)/2)*BL185*BO185*VLOOKUP('Données projet'!$B$11,Paramètres!$A$1:$I$89,3,0)*0.475*44/12</f>
        <v>8.7564670364373001E-23</v>
      </c>
      <c r="BS185" s="22">
        <f t="shared" si="169"/>
        <v>4.9078821825738771E-2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1.3301360013429075E-13</v>
      </c>
      <c r="CA185" s="13">
        <f t="shared" si="170"/>
        <v>1.9329766731057041E-12</v>
      </c>
      <c r="CB185" s="20">
        <f t="shared" si="171"/>
        <v>3.5982663925596575E-12</v>
      </c>
      <c r="CC185" s="59">
        <f t="shared" si="119"/>
        <v>293.3333333333369</v>
      </c>
      <c r="CD185" s="59">
        <f ca="1">AVERAGE(OFFSET($CC$3,0,0,'Données projet'!$E$12+1,1))-AVERAGE(OFFSET($H$3,0,0,'Données projet'!$E$12+1,1))</f>
        <v>295.95249585728561</v>
      </c>
      <c r="CE185" s="59">
        <f t="shared" si="148"/>
        <v>306.85862495052709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7.1259785181972651E-2</v>
      </c>
      <c r="CL185" s="21">
        <f>EXP(-LN(2)/25)*CL184+(1-EXP(-LN(2)/25))/(LN(2)/25)*Calculateur!CG185*Calculateur!CI185*VLOOKUP('Données projet'!$B$12,Paramètres!$A$1:$I$89,3,0)*0.475*44/12</f>
        <v>0.12373728216904878</v>
      </c>
      <c r="CM185" s="21">
        <f>EXP(-LN(2)/2)*CM184+(1-EXP(-LN(2)/2))/(LN(2)/2)*CG185*CJ185*VLOOKUP('Données projet'!$B$12,Paramètres!$A$1:$I$89,3,0)*0.475*44/12</f>
        <v>1.7299562152944738E-22</v>
      </c>
      <c r="CN185" s="22">
        <f t="shared" si="172"/>
        <v>0.19499706735102143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1.0818439477588981E-13</v>
      </c>
      <c r="CV185" s="13">
        <f t="shared" si="173"/>
        <v>1.6104228458716316E-12</v>
      </c>
      <c r="CW185" s="20">
        <f t="shared" si="174"/>
        <v>2.9932409441277661E-12</v>
      </c>
      <c r="CX185" s="59">
        <f t="shared" si="122"/>
        <v>293.33333333333633</v>
      </c>
      <c r="CY185" s="59">
        <f ca="1">AVERAGE(OFFSET($CX$3,0,0,'Données projet'!$E$13+1,1))-AVERAGE(OFFSET($H$3,0,0,'Données projet'!$E$13+1,1))</f>
        <v>461.10546083340631</v>
      </c>
      <c r="CZ185" s="59">
        <f t="shared" si="150"/>
        <v>233.41883071412587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5.8277688875390608E-2</v>
      </c>
      <c r="DH185" s="21">
        <f>EXP(-LN(2)/2)*DH184+(1-EXP(-LN(2)/2))/(LN(2)/2)*DB185*DE185*VLOOKUP('Données projet'!$B$13,Paramètres!$A$1:$I$89,3,0)*0.475*44/12</f>
        <v>1.0397695841375897E-22</v>
      </c>
      <c r="DI185" s="22">
        <f t="shared" si="175"/>
        <v>5.8277688875390608E-2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-4.1500243241898714E-13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296.376932094327</v>
      </c>
      <c r="DU185" s="59">
        <f t="shared" si="152"/>
        <v>350.93658329210882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0.13301826567301567</v>
      </c>
      <c r="EB185" s="21">
        <f>EXP(-LN(2)/25)*EB184+(1-EXP(-LN(2)/25))/(LN(2)/25)*Calculateur!DW185*Calculateur!DY185*VLOOKUP('Données projet'!$B$14,Paramètres!$A$1:$I$89,3,0)*0.475*44/12</f>
        <v>0.25091829517321462</v>
      </c>
      <c r="EC185" s="21">
        <f>EXP(-LN(2)/2)*EC184+(1-EXP(-LN(2)/2))/(LN(2)/2)*DW185*DZ185*VLOOKUP('Données projet'!$B$14,Paramètres!$A$1:$I$89,3,0)*0.475*44/12</f>
        <v>3.2439228237669267E-22</v>
      </c>
      <c r="ED185" s="22">
        <f t="shared" si="178"/>
        <v>0.38393656084623029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-5.1159076974727213E-13</v>
      </c>
      <c r="EK185" s="17">
        <f>EJ185*VLOOKUP('Données projet'!$B$15,Paramètres!$A$1:$I$89,3,0)*VLOOKUP('Données projet'!$B$15,Paramètres!$A$1:$I$89,5,0)</f>
        <v>-3.3519427233841269E-13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231.03244099494077</v>
      </c>
      <c r="EP185" s="59">
        <f t="shared" si="154"/>
        <v>280.29723026390741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0.10743782996666652</v>
      </c>
      <c r="EW185" s="21">
        <f>EXP(-LN(2)/25)*EW184+(1-EXP(-LN(2)/25))/(LN(2)/25)*Calculateur!ER185*Calculateur!ET185*VLOOKUP('Données projet'!$B$15,Paramètres!$A$1:$I$89,3,0)*0.475*44/12</f>
        <v>0.20266477687067294</v>
      </c>
      <c r="EX185" s="21">
        <f>EXP(-LN(2)/2)*EX184+(1-EXP(-LN(2)/2))/(LN(2)/2)*ER185*EU185*VLOOKUP('Données projet'!$B$15,Paramètres!$A$1:$I$89,3,0)*0.475*44/12</f>
        <v>2.6200915115040548E-22</v>
      </c>
      <c r="EY185" s="22">
        <f t="shared" si="181"/>
        <v>0.31010260683733948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-5.1431925385259092E-13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351.15781452544906</v>
      </c>
      <c r="T186" s="59">
        <f t="shared" si="142"/>
        <v>271.54361159160169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0.11636571999608183</v>
      </c>
      <c r="AA186" s="21">
        <f>EXP(-LN(2)/25)*AA185+(1-EXP(-LN(2)/25))/(LN(2)/25)*Calculateur!V186*Calculateur!X186*VLOOKUP('Données projet'!$B$9,Paramètres!$A$1:$I$89,3,0)*0.475*44/12</f>
        <v>0.162223596193628</v>
      </c>
      <c r="AB186" s="21">
        <f>EXP(-LN(2)/2)*AB185+(1-EXP(-LN(2)/2))/(LN(2)/2)*V186*Y186*VLOOKUP('Données projet'!$B$9,Paramètres!$A$1:$I$89,3,0)*0.475*44/12</f>
        <v>2.0170647816954009E-22</v>
      </c>
      <c r="AC186" s="22">
        <f t="shared" si="163"/>
        <v>0.27858931618970983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9.7543306765146564E-14</v>
      </c>
      <c r="AK186" s="13">
        <f t="shared" si="164"/>
        <v>1.4696264278629426E-12</v>
      </c>
      <c r="AL186" s="20">
        <f t="shared" si="165"/>
        <v>2.7294872878105889E-12</v>
      </c>
      <c r="AM186" s="59">
        <f t="shared" si="113"/>
        <v>293.33333333333604</v>
      </c>
      <c r="AN186" s="59">
        <f ca="1">AVERAGE(OFFSET($AM$3,0,0,'Données projet'!$E$10+1,1))-AVERAGE(OFFSET($H$3,0,0,'Données projet'!$E$10+1,1))</f>
        <v>405.59933429804329</v>
      </c>
      <c r="AO186" s="59">
        <f t="shared" si="144"/>
        <v>208.64922573363776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6.299431956557118E-2</v>
      </c>
      <c r="AW186" s="21">
        <f>EXP(-LN(2)/2)*AW185+(1-EXP(-LN(2)/2))/(LN(2)/2)*AQ186*AT186*VLOOKUP('Données projet'!$B$10,Paramètres!$A$1:$I$89,3,0)*0.475*44/12</f>
        <v>6.6291060343993214E-23</v>
      </c>
      <c r="AX186" s="21">
        <f t="shared" si="166"/>
        <v>6.299431956557118E-2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-1.0995790944434703E-13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293.19327646293601</v>
      </c>
      <c r="BJ186" s="59">
        <f t="shared" si="146"/>
        <v>200.0769581869605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4.7736758861970874E-2</v>
      </c>
      <c r="BR186" s="21">
        <f>EXP(-LN(2)/2)*BR185+(1-EXP(-LN(2)/2))/(LN(2)/2)*BL186*BO186*VLOOKUP('Données projet'!$B$11,Paramètres!$A$1:$I$89,3,0)*0.475*44/12</f>
        <v>6.1917572207012861E-23</v>
      </c>
      <c r="BS186" s="22">
        <f t="shared" si="169"/>
        <v>4.7736758861970874E-2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1.3301360013429075E-13</v>
      </c>
      <c r="CA186" s="13">
        <f t="shared" si="170"/>
        <v>1.9329766731057041E-12</v>
      </c>
      <c r="CB186" s="20">
        <f t="shared" si="171"/>
        <v>3.5982663925596575E-12</v>
      </c>
      <c r="CC186" s="59">
        <f t="shared" si="119"/>
        <v>293.3333333333369</v>
      </c>
      <c r="CD186" s="59">
        <f ca="1">AVERAGE(OFFSET($CC$3,0,0,'Données projet'!$E$12+1,1))-AVERAGE(OFFSET($H$3,0,0,'Données projet'!$E$12+1,1))</f>
        <v>295.95249585728561</v>
      </c>
      <c r="CE186" s="59">
        <f t="shared" si="148"/>
        <v>306.85862495052709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6.9862424258731404E-2</v>
      </c>
      <c r="CL186" s="21">
        <f>EXP(-LN(2)/25)*CL185+(1-EXP(-LN(2)/25))/(LN(2)/25)*Calculateur!CG186*Calculateur!CI186*VLOOKUP('Données projet'!$B$12,Paramètres!$A$1:$I$89,3,0)*0.475*44/12</f>
        <v>0.12035367968107527</v>
      </c>
      <c r="CM186" s="21">
        <f>EXP(-LN(2)/2)*CM185+(1-EXP(-LN(2)/2))/(LN(2)/2)*CG186*CJ186*VLOOKUP('Données projet'!$B$12,Paramètres!$A$1:$I$89,3,0)*0.475*44/12</f>
        <v>1.2232637709905374E-22</v>
      </c>
      <c r="CN186" s="22">
        <f t="shared" si="172"/>
        <v>0.19021610393980667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1.0818439477588981E-13</v>
      </c>
      <c r="CV186" s="13">
        <f t="shared" si="173"/>
        <v>1.6104228458716316E-12</v>
      </c>
      <c r="CW186" s="20">
        <f t="shared" si="174"/>
        <v>2.9932409441277661E-12</v>
      </c>
      <c r="CX186" s="59">
        <f t="shared" si="122"/>
        <v>293.33333333333633</v>
      </c>
      <c r="CY186" s="59">
        <f ca="1">AVERAGE(OFFSET($CX$3,0,0,'Données projet'!$E$13+1,1))-AVERAGE(OFFSET($H$3,0,0,'Données projet'!$E$13+1,1))</f>
        <v>461.10546083340631</v>
      </c>
      <c r="CZ186" s="59">
        <f t="shared" si="150"/>
        <v>233.41883071412587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5.6684082408402586E-2</v>
      </c>
      <c r="DH186" s="21">
        <f>EXP(-LN(2)/2)*DH185+(1-EXP(-LN(2)/2))/(LN(2)/2)*DB186*DE186*VLOOKUP('Données projet'!$B$13,Paramètres!$A$1:$I$89,3,0)*0.475*44/12</f>
        <v>7.3522812381520617E-23</v>
      </c>
      <c r="DI186" s="22">
        <f t="shared" si="175"/>
        <v>5.6684082408402586E-2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-4.1500243241898714E-13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296.376932094327</v>
      </c>
      <c r="DU186" s="59">
        <f t="shared" si="152"/>
        <v>350.93658329210882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0.13040985861629867</v>
      </c>
      <c r="EB186" s="21">
        <f>EXP(-LN(2)/25)*EB185+(1-EXP(-LN(2)/25))/(LN(2)/25)*Calculateur!DW186*Calculateur!DY186*VLOOKUP('Données projet'!$B$14,Paramètres!$A$1:$I$89,3,0)*0.475*44/12</f>
        <v>0.2440569211964834</v>
      </c>
      <c r="EC186" s="21">
        <f>EXP(-LN(2)/2)*EC185+(1-EXP(-LN(2)/2))/(LN(2)/2)*DW186*DZ186*VLOOKUP('Données projet'!$B$14,Paramètres!$A$1:$I$89,3,0)*0.475*44/12</f>
        <v>2.2937998263314076E-22</v>
      </c>
      <c r="ED186" s="22">
        <f t="shared" si="178"/>
        <v>0.37446677981278209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-5.1159076974727213E-13</v>
      </c>
      <c r="EK186" s="17">
        <f>EJ186*VLOOKUP('Données projet'!$B$15,Paramètres!$A$1:$I$89,3,0)*VLOOKUP('Données projet'!$B$15,Paramètres!$A$1:$I$89,5,0)</f>
        <v>-3.3519427233841269E-13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231.03244099494077</v>
      </c>
      <c r="EP186" s="59">
        <f t="shared" si="154"/>
        <v>280.29723026390741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0.10533103965162587</v>
      </c>
      <c r="EW186" s="21">
        <f>EXP(-LN(2)/25)*EW185+(1-EXP(-LN(2)/25))/(LN(2)/25)*Calculateur!ER186*Calculateur!ET186*VLOOKUP('Données projet'!$B$15,Paramètres!$A$1:$I$89,3,0)*0.475*44/12</f>
        <v>0.19712289788946696</v>
      </c>
      <c r="EX186" s="21">
        <f>EXP(-LN(2)/2)*EX185+(1-EXP(-LN(2)/2))/(LN(2)/2)*ER186*EU186*VLOOKUP('Données projet'!$B$15,Paramètres!$A$1:$I$89,3,0)*0.475*44/12</f>
        <v>1.8526844751138283E-22</v>
      </c>
      <c r="EY186" s="22">
        <f t="shared" si="181"/>
        <v>0.30245393754109284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-5.1431925385259092E-13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351.15781452544906</v>
      </c>
      <c r="T187" s="59">
        <f t="shared" si="142"/>
        <v>271.54361159160169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0.11408385920303957</v>
      </c>
      <c r="AA187" s="21">
        <f>EXP(-LN(2)/25)*AA186+(1-EXP(-LN(2)/25))/(LN(2)/25)*Calculateur!V187*Calculateur!X187*VLOOKUP('Données projet'!$B$9,Paramètres!$A$1:$I$89,3,0)*0.475*44/12</f>
        <v>0.15778758342474508</v>
      </c>
      <c r="AB187" s="21">
        <f>EXP(-LN(2)/2)*AB186+(1-EXP(-LN(2)/2))/(LN(2)/2)*V187*Y187*VLOOKUP('Données projet'!$B$9,Paramètres!$A$1:$I$89,3,0)*0.475*44/12</f>
        <v>1.4262801852293811E-22</v>
      </c>
      <c r="AC187" s="22">
        <f t="shared" si="163"/>
        <v>0.27187144262778462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9.7543306765146564E-14</v>
      </c>
      <c r="AK187" s="13">
        <f t="shared" si="164"/>
        <v>1.4696264278629426E-12</v>
      </c>
      <c r="AL187" s="20">
        <f t="shared" si="165"/>
        <v>2.7294872878105889E-12</v>
      </c>
      <c r="AM187" s="59">
        <f t="shared" si="113"/>
        <v>293.33333333333604</v>
      </c>
      <c r="AN187" s="59">
        <f ca="1">AVERAGE(OFFSET($AM$3,0,0,'Données projet'!$E$10+1,1))-AVERAGE(OFFSET($H$3,0,0,'Données projet'!$E$10+1,1))</f>
        <v>405.59933429804329</v>
      </c>
      <c r="AO187" s="59">
        <f t="shared" si="144"/>
        <v>208.64922573363776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6.1271736584323347E-2</v>
      </c>
      <c r="AW187" s="21">
        <f>EXP(-LN(2)/2)*AW186+(1-EXP(-LN(2)/2))/(LN(2)/2)*AQ187*AT187*VLOOKUP('Données projet'!$B$10,Paramètres!$A$1:$I$89,3,0)*0.475*44/12</f>
        <v>4.6874858301284228E-23</v>
      </c>
      <c r="AX187" s="21">
        <f t="shared" si="166"/>
        <v>6.1271736584323347E-2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-1.0995790944434703E-13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293.19327646293601</v>
      </c>
      <c r="BJ187" s="59">
        <f t="shared" si="146"/>
        <v>200.0769581869605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4.6431394680523236E-2</v>
      </c>
      <c r="BR187" s="21">
        <f>EXP(-LN(2)/2)*BR186+(1-EXP(-LN(2)/2))/(LN(2)/2)*BL187*BO187*VLOOKUP('Données projet'!$B$11,Paramètres!$A$1:$I$89,3,0)*0.475*44/12</f>
        <v>4.3782335182186501E-23</v>
      </c>
      <c r="BS187" s="22">
        <f t="shared" si="169"/>
        <v>4.6431394680523236E-2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1.3301360013429075E-13</v>
      </c>
      <c r="CA187" s="13">
        <f t="shared" si="170"/>
        <v>1.9329766731057041E-12</v>
      </c>
      <c r="CB187" s="20">
        <f t="shared" si="171"/>
        <v>3.5982663925596575E-12</v>
      </c>
      <c r="CC187" s="59">
        <f t="shared" si="119"/>
        <v>293.3333333333369</v>
      </c>
      <c r="CD187" s="59">
        <f ca="1">AVERAGE(OFFSET($CC$3,0,0,'Données projet'!$E$12+1,1))-AVERAGE(OFFSET($H$3,0,0,'Données projet'!$E$12+1,1))</f>
        <v>295.95249585728561</v>
      </c>
      <c r="CE187" s="59">
        <f t="shared" si="148"/>
        <v>306.85862495052709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6.8492464730888908E-2</v>
      </c>
      <c r="CL187" s="21">
        <f>EXP(-LN(2)/25)*CL186+(1-EXP(-LN(2)/25))/(LN(2)/25)*Calculateur!CG187*Calculateur!CI187*VLOOKUP('Données projet'!$B$12,Paramètres!$A$1:$I$89,3,0)*0.475*44/12</f>
        <v>0.11706260198107132</v>
      </c>
      <c r="CM187" s="21">
        <f>EXP(-LN(2)/2)*CM186+(1-EXP(-LN(2)/2))/(LN(2)/2)*CG187*CJ187*VLOOKUP('Données projet'!$B$12,Paramètres!$A$1:$I$89,3,0)*0.475*44/12</f>
        <v>8.6497810764723691E-23</v>
      </c>
      <c r="CN187" s="22">
        <f t="shared" si="172"/>
        <v>0.18555506671196023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1.0818439477588981E-13</v>
      </c>
      <c r="CV187" s="13">
        <f t="shared" si="173"/>
        <v>1.6104228458716316E-12</v>
      </c>
      <c r="CW187" s="20">
        <f t="shared" si="174"/>
        <v>2.9932409441277661E-12</v>
      </c>
      <c r="CX187" s="59">
        <f t="shared" si="122"/>
        <v>293.33333333333633</v>
      </c>
      <c r="CY187" s="59">
        <f ca="1">AVERAGE(OFFSET($CX$3,0,0,'Données projet'!$E$13+1,1))-AVERAGE(OFFSET($H$3,0,0,'Données projet'!$E$13+1,1))</f>
        <v>461.10546083340631</v>
      </c>
      <c r="CZ187" s="59">
        <f t="shared" si="150"/>
        <v>233.41883071412587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5.513405319405848E-2</v>
      </c>
      <c r="DH187" s="21">
        <f>EXP(-LN(2)/2)*DH186+(1-EXP(-LN(2)/2))/(LN(2)/2)*DB187*DE187*VLOOKUP('Données projet'!$B$13,Paramètres!$A$1:$I$89,3,0)*0.475*44/12</f>
        <v>5.1988479206879489E-23</v>
      </c>
      <c r="DI187" s="22">
        <f t="shared" si="175"/>
        <v>5.513405319405848E-2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-4.1500243241898714E-13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296.376932094327</v>
      </c>
      <c r="DU187" s="59">
        <f t="shared" si="152"/>
        <v>350.93658329210882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0.12785260083099267</v>
      </c>
      <c r="EB187" s="21">
        <f>EXP(-LN(2)/25)*EB186+(1-EXP(-LN(2)/25))/(LN(2)/25)*Calculateur!DW187*Calculateur!DY187*VLOOKUP('Données projet'!$B$14,Paramètres!$A$1:$I$89,3,0)*0.475*44/12</f>
        <v>0.23738317185196986</v>
      </c>
      <c r="EC187" s="21">
        <f>EXP(-LN(2)/2)*EC186+(1-EXP(-LN(2)/2))/(LN(2)/2)*DW187*DZ187*VLOOKUP('Données projet'!$B$14,Paramètres!$A$1:$I$89,3,0)*0.475*44/12</f>
        <v>1.6219614118834634E-22</v>
      </c>
      <c r="ED187" s="22">
        <f t="shared" si="178"/>
        <v>0.36523577268296253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-5.1159076974727213E-13</v>
      </c>
      <c r="EK187" s="17">
        <f>EJ187*VLOOKUP('Données projet'!$B$15,Paramètres!$A$1:$I$89,3,0)*VLOOKUP('Données projet'!$B$15,Paramètres!$A$1:$I$89,5,0)</f>
        <v>-3.3519427233841269E-13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231.03244099494077</v>
      </c>
      <c r="EP187" s="59">
        <f t="shared" si="154"/>
        <v>280.29723026390741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0.10326556220964794</v>
      </c>
      <c r="EW187" s="21">
        <f>EXP(-LN(2)/25)*EW186+(1-EXP(-LN(2)/25))/(LN(2)/25)*Calculateur!ER187*Calculateur!ET187*VLOOKUP('Données projet'!$B$15,Paramètres!$A$1:$I$89,3,0)*0.475*44/12</f>
        <v>0.19173256188043683</v>
      </c>
      <c r="EX187" s="21">
        <f>EXP(-LN(2)/2)*EX186+(1-EXP(-LN(2)/2))/(LN(2)/2)*ER187*EU187*VLOOKUP('Données projet'!$B$15,Paramètres!$A$1:$I$89,3,0)*0.475*44/12</f>
        <v>1.3100457557520274E-22</v>
      </c>
      <c r="EY187" s="22">
        <f t="shared" si="181"/>
        <v>0.29499812409008475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-5.1431925385259092E-13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351.15781452544906</v>
      </c>
      <c r="T188" s="59">
        <f t="shared" si="142"/>
        <v>271.54361159160169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0.1118467443083512</v>
      </c>
      <c r="AA188" s="21">
        <f>EXP(-LN(2)/25)*AA187+(1-EXP(-LN(2)/25))/(LN(2)/25)*Calculateur!V188*Calculateur!X188*VLOOKUP('Données projet'!$B$9,Paramètres!$A$1:$I$89,3,0)*0.475*44/12</f>
        <v>0.15347287365830703</v>
      </c>
      <c r="AB188" s="21">
        <f>EXP(-LN(2)/2)*AB187+(1-EXP(-LN(2)/2))/(LN(2)/2)*V188*Y188*VLOOKUP('Données projet'!$B$9,Paramètres!$A$1:$I$89,3,0)*0.475*44/12</f>
        <v>1.0085323908477004E-22</v>
      </c>
      <c r="AC188" s="22">
        <f t="shared" si="163"/>
        <v>0.26531961796665826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9.7543306765146564E-14</v>
      </c>
      <c r="AK188" s="13">
        <f t="shared" si="164"/>
        <v>1.4696264278629426E-12</v>
      </c>
      <c r="AL188" s="20">
        <f t="shared" si="165"/>
        <v>2.7294872878105889E-12</v>
      </c>
      <c r="AM188" s="59">
        <f t="shared" si="113"/>
        <v>293.33333333333604</v>
      </c>
      <c r="AN188" s="59">
        <f ca="1">AVERAGE(OFFSET($AM$3,0,0,'Données projet'!$E$10+1,1))-AVERAGE(OFFSET($H$3,0,0,'Données projet'!$E$10+1,1))</f>
        <v>405.59933429804329</v>
      </c>
      <c r="AO188" s="59">
        <f t="shared" si="144"/>
        <v>208.64922573363776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5.9596257725284436E-2</v>
      </c>
      <c r="AW188" s="21">
        <f>EXP(-LN(2)/2)*AW187+(1-EXP(-LN(2)/2))/(LN(2)/2)*AQ188*AT188*VLOOKUP('Données projet'!$B$10,Paramètres!$A$1:$I$89,3,0)*0.475*44/12</f>
        <v>3.3145530171996607E-23</v>
      </c>
      <c r="AX188" s="21">
        <f t="shared" si="166"/>
        <v>5.9596257725284436E-2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-1.0995790944434703E-13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293.19327646293601</v>
      </c>
      <c r="BJ188" s="59">
        <f t="shared" si="146"/>
        <v>200.0769581869605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4.5161725751263405E-2</v>
      </c>
      <c r="BR188" s="21">
        <f>EXP(-LN(2)/2)*BR187+(1-EXP(-LN(2)/2))/(LN(2)/2)*BL188*BO188*VLOOKUP('Données projet'!$B$11,Paramètres!$A$1:$I$89,3,0)*0.475*44/12</f>
        <v>3.0958786103506431E-23</v>
      </c>
      <c r="BS188" s="22">
        <f t="shared" si="169"/>
        <v>4.5161725751263405E-2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1.3301360013429075E-13</v>
      </c>
      <c r="CA188" s="13">
        <f t="shared" si="170"/>
        <v>1.9329766731057041E-12</v>
      </c>
      <c r="CB188" s="20">
        <f t="shared" si="171"/>
        <v>3.5982663925596575E-12</v>
      </c>
      <c r="CC188" s="59">
        <f t="shared" si="119"/>
        <v>293.3333333333369</v>
      </c>
      <c r="CD188" s="59">
        <f ca="1">AVERAGE(OFFSET($CC$3,0,0,'Données projet'!$E$12+1,1))-AVERAGE(OFFSET($H$3,0,0,'Données projet'!$E$12+1,1))</f>
        <v>295.95249585728561</v>
      </c>
      <c r="CE188" s="59">
        <f t="shared" si="148"/>
        <v>306.85862495052709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6.7149369273794599E-2</v>
      </c>
      <c r="CL188" s="21">
        <f>EXP(-LN(2)/25)*CL187+(1-EXP(-LN(2)/25))/(LN(2)/25)*Calculateur!CG188*Calculateur!CI188*VLOOKUP('Données projet'!$B$12,Paramètres!$A$1:$I$89,3,0)*0.475*44/12</f>
        <v>0.11386151897384424</v>
      </c>
      <c r="CM188" s="21">
        <f>EXP(-LN(2)/2)*CM187+(1-EXP(-LN(2)/2))/(LN(2)/2)*CG188*CJ188*VLOOKUP('Données projet'!$B$12,Paramètres!$A$1:$I$89,3,0)*0.475*44/12</f>
        <v>6.1163188549526869E-23</v>
      </c>
      <c r="CN188" s="22">
        <f t="shared" si="172"/>
        <v>0.18101088824763883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1.0818439477588981E-13</v>
      </c>
      <c r="CV188" s="13">
        <f t="shared" si="173"/>
        <v>1.6104228458716316E-12</v>
      </c>
      <c r="CW188" s="20">
        <f t="shared" si="174"/>
        <v>2.9932409441277661E-12</v>
      </c>
      <c r="CX188" s="59">
        <f t="shared" si="122"/>
        <v>293.33333333333633</v>
      </c>
      <c r="CY188" s="59">
        <f ca="1">AVERAGE(OFFSET($CX$3,0,0,'Données projet'!$E$13+1,1))-AVERAGE(OFFSET($H$3,0,0,'Données projet'!$E$13+1,1))</f>
        <v>461.10546083340631</v>
      </c>
      <c r="CZ188" s="59">
        <f t="shared" si="150"/>
        <v>233.41883071412587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5.3626409610093101E-2</v>
      </c>
      <c r="DH188" s="21">
        <f>EXP(-LN(2)/2)*DH187+(1-EXP(-LN(2)/2))/(LN(2)/2)*DB188*DE188*VLOOKUP('Données projet'!$B$13,Paramètres!$A$1:$I$89,3,0)*0.475*44/12</f>
        <v>3.6761406190760314E-23</v>
      </c>
      <c r="DI188" s="22">
        <f t="shared" si="175"/>
        <v>5.3626409610093101E-2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-4.1500243241898714E-13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296.376932094327</v>
      </c>
      <c r="DU188" s="59">
        <f t="shared" si="152"/>
        <v>350.93658329210882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0.1253454893110833</v>
      </c>
      <c r="EB188" s="21">
        <f>EXP(-LN(2)/25)*EB187+(1-EXP(-LN(2)/25))/(LN(2)/25)*Calculateur!DW188*Calculateur!DY188*VLOOKUP('Données projet'!$B$14,Paramètres!$A$1:$I$89,3,0)*0.475*44/12</f>
        <v>0.23089191653423929</v>
      </c>
      <c r="EC188" s="21">
        <f>EXP(-LN(2)/2)*EC187+(1-EXP(-LN(2)/2))/(LN(2)/2)*DW188*DZ188*VLOOKUP('Données projet'!$B$14,Paramètres!$A$1:$I$89,3,0)*0.475*44/12</f>
        <v>1.1468999131657038E-22</v>
      </c>
      <c r="ED188" s="22">
        <f t="shared" si="178"/>
        <v>0.3562374058453226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-5.1159076974727213E-13</v>
      </c>
      <c r="EK188" s="17">
        <f>EJ188*VLOOKUP('Données projet'!$B$15,Paramètres!$A$1:$I$89,3,0)*VLOOKUP('Données projet'!$B$15,Paramètres!$A$1:$I$89,5,0)</f>
        <v>-3.3519427233841269E-13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231.03244099494077</v>
      </c>
      <c r="EP188" s="59">
        <f t="shared" si="154"/>
        <v>280.29723026390741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0.10124058752049037</v>
      </c>
      <c r="EW188" s="21">
        <f>EXP(-LN(2)/25)*EW187+(1-EXP(-LN(2)/25))/(LN(2)/25)*Calculateur!ER188*Calculateur!ET188*VLOOKUP('Données projet'!$B$15,Paramètres!$A$1:$I$89,3,0)*0.475*44/12</f>
        <v>0.18648962489303908</v>
      </c>
      <c r="EX188" s="21">
        <f>EXP(-LN(2)/2)*EX187+(1-EXP(-LN(2)/2))/(LN(2)/2)*ER188*EU188*VLOOKUP('Données projet'!$B$15,Paramètres!$A$1:$I$89,3,0)*0.475*44/12</f>
        <v>9.2634223755691414E-23</v>
      </c>
      <c r="EY188" s="22">
        <f t="shared" si="181"/>
        <v>0.28773021241352947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-5.1431925385259092E-13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351.15781452544906</v>
      </c>
      <c r="T189" s="59">
        <f t="shared" si="142"/>
        <v>271.54361159160169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0.10965349787224232</v>
      </c>
      <c r="AA189" s="21">
        <f>EXP(-LN(2)/25)*AA188+(1-EXP(-LN(2)/25))/(LN(2)/25)*Calculateur!V189*Calculateur!X189*VLOOKUP('Données projet'!$B$9,Paramètres!$A$1:$I$89,3,0)*0.475*44/12</f>
        <v>0.14927614985733295</v>
      </c>
      <c r="AB189" s="21">
        <f>EXP(-LN(2)/2)*AB188+(1-EXP(-LN(2)/2))/(LN(2)/2)*V189*Y189*VLOOKUP('Données projet'!$B$9,Paramètres!$A$1:$I$89,3,0)*0.475*44/12</f>
        <v>7.1314009261469053E-23</v>
      </c>
      <c r="AC189" s="22">
        <f t="shared" si="163"/>
        <v>0.25892964772957527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9.7543306765146564E-14</v>
      </c>
      <c r="AK189" s="13">
        <f t="shared" si="164"/>
        <v>1.4696264278629426E-12</v>
      </c>
      <c r="AL189" s="20">
        <f t="shared" si="165"/>
        <v>2.7294872878105889E-12</v>
      </c>
      <c r="AM189" s="59">
        <f t="shared" si="113"/>
        <v>293.33333333333604</v>
      </c>
      <c r="AN189" s="59">
        <f ca="1">AVERAGE(OFFSET($AM$3,0,0,'Données projet'!$E$10+1,1))-AVERAGE(OFFSET($H$3,0,0,'Données projet'!$E$10+1,1))</f>
        <v>405.59933429804329</v>
      </c>
      <c r="AO189" s="59">
        <f t="shared" si="144"/>
        <v>208.64922573363776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5.7966594923755548E-2</v>
      </c>
      <c r="AW189" s="21">
        <f>EXP(-LN(2)/2)*AW188+(1-EXP(-LN(2)/2))/(LN(2)/2)*AQ189*AT189*VLOOKUP('Données projet'!$B$10,Paramètres!$A$1:$I$89,3,0)*0.475*44/12</f>
        <v>2.3437429150642114E-23</v>
      </c>
      <c r="AX189" s="21">
        <f t="shared" si="166"/>
        <v>5.7966594923755548E-2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-1.0995790944434703E-13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293.19327646293601</v>
      </c>
      <c r="BJ189" s="59">
        <f t="shared" si="146"/>
        <v>200.0769581869605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4.3926775985643166E-2</v>
      </c>
      <c r="BR189" s="21">
        <f>EXP(-LN(2)/2)*BR188+(1-EXP(-LN(2)/2))/(LN(2)/2)*BL189*BO189*VLOOKUP('Données projet'!$B$11,Paramètres!$A$1:$I$89,3,0)*0.475*44/12</f>
        <v>2.189116759109325E-23</v>
      </c>
      <c r="BS189" s="22">
        <f t="shared" si="169"/>
        <v>4.3926775985643166E-2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1.3301360013429075E-13</v>
      </c>
      <c r="CA189" s="13">
        <f t="shared" si="170"/>
        <v>1.9329766731057041E-12</v>
      </c>
      <c r="CB189" s="20">
        <f t="shared" si="171"/>
        <v>3.5982663925596575E-12</v>
      </c>
      <c r="CC189" s="59">
        <f t="shared" si="119"/>
        <v>293.3333333333369</v>
      </c>
      <c r="CD189" s="59">
        <f ca="1">AVERAGE(OFFSET($CC$3,0,0,'Données projet'!$E$12+1,1))-AVERAGE(OFFSET($H$3,0,0,'Données projet'!$E$12+1,1))</f>
        <v>295.95249585728561</v>
      </c>
      <c r="CE189" s="59">
        <f t="shared" si="148"/>
        <v>306.85862495052709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6.5832611099406566E-2</v>
      </c>
      <c r="CL189" s="21">
        <f>EXP(-LN(2)/25)*CL188+(1-EXP(-LN(2)/25))/(LN(2)/25)*Calculateur!CG189*Calculateur!CI189*VLOOKUP('Données projet'!$B$12,Paramètres!$A$1:$I$89,3,0)*0.475*44/12</f>
        <v>0.11074796974978741</v>
      </c>
      <c r="CM189" s="21">
        <f>EXP(-LN(2)/2)*CM188+(1-EXP(-LN(2)/2))/(LN(2)/2)*CG189*CJ189*VLOOKUP('Données projet'!$B$12,Paramètres!$A$1:$I$89,3,0)*0.475*44/12</f>
        <v>4.3248905382361846E-23</v>
      </c>
      <c r="CN189" s="22">
        <f t="shared" si="172"/>
        <v>0.17658058084919398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1.0818439477588981E-13</v>
      </c>
      <c r="CV189" s="13">
        <f t="shared" si="173"/>
        <v>1.6104228458716316E-12</v>
      </c>
      <c r="CW189" s="20">
        <f t="shared" si="174"/>
        <v>2.9932409441277661E-12</v>
      </c>
      <c r="CX189" s="59">
        <f t="shared" si="122"/>
        <v>293.33333333333633</v>
      </c>
      <c r="CY189" s="59">
        <f ca="1">AVERAGE(OFFSET($CX$3,0,0,'Données projet'!$E$13+1,1))-AVERAGE(OFFSET($H$3,0,0,'Données projet'!$E$13+1,1))</f>
        <v>461.10546083340631</v>
      </c>
      <c r="CZ189" s="59">
        <f t="shared" si="150"/>
        <v>233.41883071412587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5.2159992619214786E-2</v>
      </c>
      <c r="DH189" s="21">
        <f>EXP(-LN(2)/2)*DH188+(1-EXP(-LN(2)/2))/(LN(2)/2)*DB189*DE189*VLOOKUP('Données projet'!$B$13,Paramètres!$A$1:$I$89,3,0)*0.475*44/12</f>
        <v>2.599423960343975E-23</v>
      </c>
      <c r="DI189" s="22">
        <f t="shared" si="175"/>
        <v>5.2159992619214786E-2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-4.1500243241898714E-13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296.376932094327</v>
      </c>
      <c r="DU189" s="59">
        <f t="shared" si="152"/>
        <v>350.93658329210882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0.12288754071889231</v>
      </c>
      <c r="EB189" s="21">
        <f>EXP(-LN(2)/25)*EB188+(1-EXP(-LN(2)/25))/(LN(2)/25)*Calculateur!DW189*Calculateur!DY189*VLOOKUP('Données projet'!$B$14,Paramètres!$A$1:$I$89,3,0)*0.475*44/12</f>
        <v>0.22457816493453234</v>
      </c>
      <c r="EC189" s="21">
        <f>EXP(-LN(2)/2)*EC188+(1-EXP(-LN(2)/2))/(LN(2)/2)*DW189*DZ189*VLOOKUP('Données projet'!$B$14,Paramètres!$A$1:$I$89,3,0)*0.475*44/12</f>
        <v>8.1098070594173168E-23</v>
      </c>
      <c r="ED189" s="22">
        <f t="shared" si="178"/>
        <v>0.34746570565342466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-5.1159076974727213E-13</v>
      </c>
      <c r="EK189" s="17">
        <f>EJ189*VLOOKUP('Données projet'!$B$15,Paramètres!$A$1:$I$89,3,0)*VLOOKUP('Données projet'!$B$15,Paramètres!$A$1:$I$89,5,0)</f>
        <v>-3.3519427233841269E-13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231.03244099494077</v>
      </c>
      <c r="EP189" s="59">
        <f t="shared" si="154"/>
        <v>280.29723026390741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9.9255321349874567E-2</v>
      </c>
      <c r="EW189" s="21">
        <f>EXP(-LN(2)/25)*EW188+(1-EXP(-LN(2)/25))/(LN(2)/25)*Calculateur!ER189*Calculateur!ET189*VLOOKUP('Données projet'!$B$15,Paramètres!$A$1:$I$89,3,0)*0.475*44/12</f>
        <v>0.18139005629327579</v>
      </c>
      <c r="EX189" s="21">
        <f>EXP(-LN(2)/2)*EX188+(1-EXP(-LN(2)/2))/(LN(2)/2)*ER189*EU189*VLOOKUP('Données projet'!$B$15,Paramètres!$A$1:$I$89,3,0)*0.475*44/12</f>
        <v>6.550228778760137E-23</v>
      </c>
      <c r="EY189" s="22">
        <f t="shared" si="181"/>
        <v>0.28064537764315034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-5.1431925385259092E-13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351.15781452544906</v>
      </c>
      <c r="T190" s="59">
        <f t="shared" si="142"/>
        <v>271.54361159160169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0.1075032596609973</v>
      </c>
      <c r="AA190" s="21">
        <f>EXP(-LN(2)/25)*AA189+(1-EXP(-LN(2)/25))/(LN(2)/25)*Calculateur!V190*Calculateur!X190*VLOOKUP('Données projet'!$B$9,Paramètres!$A$1:$I$89,3,0)*0.475*44/12</f>
        <v>0.14519418568939263</v>
      </c>
      <c r="AB190" s="21">
        <f>EXP(-LN(2)/2)*AB189+(1-EXP(-LN(2)/2))/(LN(2)/2)*V190*Y190*VLOOKUP('Données projet'!$B$9,Paramètres!$A$1:$I$89,3,0)*0.475*44/12</f>
        <v>5.0426619542385022E-23</v>
      </c>
      <c r="AC190" s="22">
        <f t="shared" si="163"/>
        <v>0.25269744535038996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9.7543306765146564E-14</v>
      </c>
      <c r="AK190" s="13">
        <f t="shared" si="164"/>
        <v>1.4696264278629426E-12</v>
      </c>
      <c r="AL190" s="20">
        <f t="shared" si="165"/>
        <v>2.7294872878105889E-12</v>
      </c>
      <c r="AM190" s="59">
        <f t="shared" si="113"/>
        <v>293.33333333333604</v>
      </c>
      <c r="AN190" s="59">
        <f ca="1">AVERAGE(OFFSET($AM$3,0,0,'Données projet'!$E$10+1,1))-AVERAGE(OFFSET($H$3,0,0,'Données projet'!$E$10+1,1))</f>
        <v>405.59933429804329</v>
      </c>
      <c r="AO190" s="59">
        <f t="shared" si="144"/>
        <v>208.64922573363776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5.6381495337234709E-2</v>
      </c>
      <c r="AW190" s="21">
        <f>EXP(-LN(2)/2)*AW189+(1-EXP(-LN(2)/2))/(LN(2)/2)*AQ190*AT190*VLOOKUP('Données projet'!$B$10,Paramètres!$A$1:$I$89,3,0)*0.475*44/12</f>
        <v>1.6572765085998303E-23</v>
      </c>
      <c r="AX190" s="21">
        <f t="shared" si="166"/>
        <v>5.6381495337234709E-2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-1.0995790944434703E-13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293.19327646293601</v>
      </c>
      <c r="BJ190" s="59">
        <f t="shared" si="146"/>
        <v>200.0769581869605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4.2725595986307E-2</v>
      </c>
      <c r="BR190" s="21">
        <f>EXP(-LN(2)/2)*BR189+(1-EXP(-LN(2)/2))/(LN(2)/2)*BL190*BO190*VLOOKUP('Données projet'!$B$11,Paramètres!$A$1:$I$89,3,0)*0.475*44/12</f>
        <v>1.5479393051753215E-23</v>
      </c>
      <c r="BS190" s="22">
        <f t="shared" si="169"/>
        <v>4.2725595986307E-2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1.3301360013429075E-13</v>
      </c>
      <c r="CA190" s="13">
        <f t="shared" si="170"/>
        <v>1.9329766731057041E-12</v>
      </c>
      <c r="CB190" s="20">
        <f t="shared" si="171"/>
        <v>3.5982663925596575E-12</v>
      </c>
      <c r="CC190" s="59">
        <f t="shared" si="119"/>
        <v>293.3333333333369</v>
      </c>
      <c r="CD190" s="59">
        <f ca="1">AVERAGE(OFFSET($CC$3,0,0,'Données projet'!$E$12+1,1))-AVERAGE(OFFSET($H$3,0,0,'Données projet'!$E$12+1,1))</f>
        <v>295.95249585728561</v>
      </c>
      <c r="CE190" s="59">
        <f t="shared" si="148"/>
        <v>306.85862495052709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6.4541673749675108E-2</v>
      </c>
      <c r="CL190" s="21">
        <f>EXP(-LN(2)/25)*CL189+(1-EXP(-LN(2)/25))/(LN(2)/25)*Calculateur!CG190*Calculateur!CI190*VLOOKUP('Données projet'!$B$12,Paramètres!$A$1:$I$89,3,0)*0.475*44/12</f>
        <v>0.10771956069299686</v>
      </c>
      <c r="CM190" s="21">
        <f>EXP(-LN(2)/2)*CM189+(1-EXP(-LN(2)/2))/(LN(2)/2)*CG190*CJ190*VLOOKUP('Données projet'!$B$12,Paramètres!$A$1:$I$89,3,0)*0.475*44/12</f>
        <v>3.0581594274763434E-23</v>
      </c>
      <c r="CN190" s="22">
        <f t="shared" si="172"/>
        <v>0.17226123444267197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1.0818439477588981E-13</v>
      </c>
      <c r="CV190" s="13">
        <f t="shared" si="173"/>
        <v>1.6104228458716316E-12</v>
      </c>
      <c r="CW190" s="20">
        <f t="shared" si="174"/>
        <v>2.9932409441277661E-12</v>
      </c>
      <c r="CX190" s="59">
        <f t="shared" si="122"/>
        <v>293.33333333333633</v>
      </c>
      <c r="CY190" s="59">
        <f ca="1">AVERAGE(OFFSET($CX$3,0,0,'Données projet'!$E$13+1,1))-AVERAGE(OFFSET($H$3,0,0,'Données projet'!$E$13+1,1))</f>
        <v>461.10546083340631</v>
      </c>
      <c r="CZ190" s="59">
        <f t="shared" si="150"/>
        <v>233.41883071412587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5.0733674878067556E-2</v>
      </c>
      <c r="DH190" s="21">
        <f>EXP(-LN(2)/2)*DH189+(1-EXP(-LN(2)/2))/(LN(2)/2)*DB190*DE190*VLOOKUP('Données projet'!$B$13,Paramètres!$A$1:$I$89,3,0)*0.475*44/12</f>
        <v>1.838070309538016E-23</v>
      </c>
      <c r="DI190" s="22">
        <f t="shared" si="175"/>
        <v>5.0733674878067556E-2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-4.1500243241898714E-13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296.376932094327</v>
      </c>
      <c r="DU190" s="59">
        <f t="shared" si="152"/>
        <v>350.93658329210882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0.12047779099939358</v>
      </c>
      <c r="EB190" s="21">
        <f>EXP(-LN(2)/25)*EB189+(1-EXP(-LN(2)/25))/(LN(2)/25)*Calculateur!DW190*Calculateur!DY190*VLOOKUP('Données projet'!$B$14,Paramètres!$A$1:$I$89,3,0)*0.475*44/12</f>
        <v>0.21843706320434514</v>
      </c>
      <c r="EC190" s="21">
        <f>EXP(-LN(2)/2)*EC189+(1-EXP(-LN(2)/2))/(LN(2)/2)*DW190*DZ190*VLOOKUP('Données projet'!$B$14,Paramètres!$A$1:$I$89,3,0)*0.475*44/12</f>
        <v>5.734499565828519E-23</v>
      </c>
      <c r="ED190" s="22">
        <f t="shared" si="178"/>
        <v>0.33891485420373874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-5.1159076974727213E-13</v>
      </c>
      <c r="EK190" s="17">
        <f>EJ190*VLOOKUP('Données projet'!$B$15,Paramètres!$A$1:$I$89,3,0)*VLOOKUP('Données projet'!$B$15,Paramètres!$A$1:$I$89,5,0)</f>
        <v>-3.3519427233841269E-13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231.03244099494077</v>
      </c>
      <c r="EP190" s="59">
        <f t="shared" si="154"/>
        <v>280.29723026390741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9.7308985037971751E-2</v>
      </c>
      <c r="EW190" s="21">
        <f>EXP(-LN(2)/25)*EW189+(1-EXP(-LN(2)/25))/(LN(2)/25)*Calculateur!ER190*Calculateur!ET190*VLOOKUP('Données projet'!$B$15,Paramètres!$A$1:$I$89,3,0)*0.475*44/12</f>
        <v>0.17642993566504767</v>
      </c>
      <c r="EX190" s="21">
        <f>EXP(-LN(2)/2)*EX189+(1-EXP(-LN(2)/2))/(LN(2)/2)*ER190*EU190*VLOOKUP('Données projet'!$B$15,Paramètres!$A$1:$I$89,3,0)*0.475*44/12</f>
        <v>4.6317111877845707E-23</v>
      </c>
      <c r="EY190" s="22">
        <f t="shared" si="181"/>
        <v>0.27373892070301942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-5.1431925385259092E-13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351.15781452544906</v>
      </c>
      <c r="T191" s="59">
        <f t="shared" si="142"/>
        <v>271.54361159160169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0.10539518630955899</v>
      </c>
      <c r="AA191" s="21">
        <f>EXP(-LN(2)/25)*AA190+(1-EXP(-LN(2)/25))/(LN(2)/25)*Calculateur!V191*Calculateur!X191*VLOOKUP('Données projet'!$B$9,Paramètres!$A$1:$I$89,3,0)*0.475*44/12</f>
        <v>0.1412238430462858</v>
      </c>
      <c r="AB191" s="21">
        <f>EXP(-LN(2)/2)*AB190+(1-EXP(-LN(2)/2))/(LN(2)/2)*V191*Y191*VLOOKUP('Données projet'!$B$9,Paramètres!$A$1:$I$89,3,0)*0.475*44/12</f>
        <v>3.5657004630734526E-23</v>
      </c>
      <c r="AC191" s="22">
        <f t="shared" si="163"/>
        <v>0.24661902935584479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9.7543306765146564E-14</v>
      </c>
      <c r="AK191" s="13">
        <f t="shared" si="164"/>
        <v>1.4696264278629426E-12</v>
      </c>
      <c r="AL191" s="20">
        <f t="shared" si="165"/>
        <v>2.7294872878105889E-12</v>
      </c>
      <c r="AM191" s="59">
        <f t="shared" si="113"/>
        <v>293.33333333333604</v>
      </c>
      <c r="AN191" s="59">
        <f ca="1">AVERAGE(OFFSET($AM$3,0,0,'Données projet'!$E$10+1,1))-AVERAGE(OFFSET($H$3,0,0,'Données projet'!$E$10+1,1))</f>
        <v>405.59933429804329</v>
      </c>
      <c r="AO191" s="59">
        <f t="shared" si="144"/>
        <v>208.64922573363776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5.4839740382264045E-2</v>
      </c>
      <c r="AW191" s="21">
        <f>EXP(-LN(2)/2)*AW190+(1-EXP(-LN(2)/2))/(LN(2)/2)*AQ191*AT191*VLOOKUP('Données projet'!$B$10,Paramètres!$A$1:$I$89,3,0)*0.475*44/12</f>
        <v>1.1718714575321057E-23</v>
      </c>
      <c r="AX191" s="21">
        <f t="shared" si="166"/>
        <v>5.4839740382264045E-2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-1.0995790944434703E-13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293.19327646293601</v>
      </c>
      <c r="BJ191" s="59">
        <f t="shared" si="146"/>
        <v>200.0769581869605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4.1557262317219991E-2</v>
      </c>
      <c r="BR191" s="21">
        <f>EXP(-LN(2)/2)*BR190+(1-EXP(-LN(2)/2))/(LN(2)/2)*BL191*BO191*VLOOKUP('Données projet'!$B$11,Paramètres!$A$1:$I$89,3,0)*0.475*44/12</f>
        <v>1.0945583795546625E-23</v>
      </c>
      <c r="BS191" s="22">
        <f t="shared" si="169"/>
        <v>4.1557262317219991E-2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1.3301360013429075E-13</v>
      </c>
      <c r="CA191" s="13">
        <f t="shared" si="170"/>
        <v>1.9329766731057041E-12</v>
      </c>
      <c r="CB191" s="20">
        <f t="shared" si="171"/>
        <v>3.5982663925596575E-12</v>
      </c>
      <c r="CC191" s="59">
        <f t="shared" si="119"/>
        <v>293.3333333333369</v>
      </c>
      <c r="CD191" s="59">
        <f ca="1">AVERAGE(OFFSET($CC$3,0,0,'Données projet'!$E$12+1,1))-AVERAGE(OFFSET($H$3,0,0,'Données projet'!$E$12+1,1))</f>
        <v>295.95249585728561</v>
      </c>
      <c r="CE191" s="59">
        <f t="shared" si="148"/>
        <v>306.85862495052709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6.327605089397785E-2</v>
      </c>
      <c r="CL191" s="21">
        <f>EXP(-LN(2)/25)*CL190+(1-EXP(-LN(2)/25))/(LN(2)/25)*Calculateur!CG191*Calculateur!CI191*VLOOKUP('Données projet'!$B$12,Paramètres!$A$1:$I$89,3,0)*0.475*44/12</f>
        <v>0.10477396364112136</v>
      </c>
      <c r="CM191" s="21">
        <f>EXP(-LN(2)/2)*CM190+(1-EXP(-LN(2)/2))/(LN(2)/2)*CG191*CJ191*VLOOKUP('Données projet'!$B$12,Paramètres!$A$1:$I$89,3,0)*0.475*44/12</f>
        <v>2.1624452691180923E-23</v>
      </c>
      <c r="CN191" s="22">
        <f t="shared" si="172"/>
        <v>0.16805001453509921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1.0818439477588981E-13</v>
      </c>
      <c r="CV191" s="13">
        <f t="shared" si="173"/>
        <v>1.6104228458716316E-12</v>
      </c>
      <c r="CW191" s="20">
        <f t="shared" si="174"/>
        <v>2.9932409441277661E-12</v>
      </c>
      <c r="CX191" s="59">
        <f t="shared" si="122"/>
        <v>293.33333333333633</v>
      </c>
      <c r="CY191" s="59">
        <f ca="1">AVERAGE(OFFSET($CX$3,0,0,'Données projet'!$E$13+1,1))-AVERAGE(OFFSET($H$3,0,0,'Données projet'!$E$13+1,1))</f>
        <v>461.10546083340631</v>
      </c>
      <c r="CZ191" s="59">
        <f t="shared" si="150"/>
        <v>233.41883071412587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4.9346359870558791E-2</v>
      </c>
      <c r="DH191" s="21">
        <f>EXP(-LN(2)/2)*DH190+(1-EXP(-LN(2)/2))/(LN(2)/2)*DB191*DE191*VLOOKUP('Données projet'!$B$13,Paramètres!$A$1:$I$89,3,0)*0.475*44/12</f>
        <v>1.2997119801719877E-23</v>
      </c>
      <c r="DI191" s="22">
        <f t="shared" si="175"/>
        <v>4.9346359870558791E-2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-4.1500243241898714E-13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296.376932094327</v>
      </c>
      <c r="DU191" s="59">
        <f t="shared" si="152"/>
        <v>350.93658329210882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0.11811529500209202</v>
      </c>
      <c r="EB191" s="21">
        <f>EXP(-LN(2)/25)*EB190+(1-EXP(-LN(2)/25))/(LN(2)/25)*Calculateur!DW191*Calculateur!DY191*VLOOKUP('Données projet'!$B$14,Paramètres!$A$1:$I$89,3,0)*0.475*44/12</f>
        <v>0.2124638902239164</v>
      </c>
      <c r="EC191" s="21">
        <f>EXP(-LN(2)/2)*EC190+(1-EXP(-LN(2)/2))/(LN(2)/2)*DW191*DZ191*VLOOKUP('Données projet'!$B$14,Paramètres!$A$1:$I$89,3,0)*0.475*44/12</f>
        <v>4.0549035297086584E-23</v>
      </c>
      <c r="ED191" s="22">
        <f t="shared" si="178"/>
        <v>0.33057918522600843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-5.1159076974727213E-13</v>
      </c>
      <c r="EK191" s="17">
        <f>EJ191*VLOOKUP('Données projet'!$B$15,Paramètres!$A$1:$I$89,3,0)*VLOOKUP('Données projet'!$B$15,Paramètres!$A$1:$I$89,5,0)</f>
        <v>-3.3519427233841269E-13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231.03244099494077</v>
      </c>
      <c r="EP191" s="59">
        <f t="shared" si="154"/>
        <v>280.29723026390741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9.5400815193997415E-2</v>
      </c>
      <c r="EW191" s="21">
        <f>EXP(-LN(2)/25)*EW190+(1-EXP(-LN(2)/25))/(LN(2)/25)*Calculateur!ER191*Calculateur!ET191*VLOOKUP('Données projet'!$B$15,Paramètres!$A$1:$I$89,3,0)*0.475*44/12</f>
        <v>0.17160544979623985</v>
      </c>
      <c r="EX191" s="21">
        <f>EXP(-LN(2)/2)*EX190+(1-EXP(-LN(2)/2))/(LN(2)/2)*ER191*EU191*VLOOKUP('Données projet'!$B$15,Paramètres!$A$1:$I$89,3,0)*0.475*44/12</f>
        <v>3.2751143893800685E-23</v>
      </c>
      <c r="EY191" s="22">
        <f t="shared" si="181"/>
        <v>0.26700626499023727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-5.1431925385259092E-13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351.15781452544906</v>
      </c>
      <c r="T192" s="59">
        <f t="shared" si="142"/>
        <v>271.54361159160169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0.1033284509907446</v>
      </c>
      <c r="AA192" s="21">
        <f>EXP(-LN(2)/25)*AA191+(1-EXP(-LN(2)/25))/(LN(2)/25)*Calculateur!V192*Calculateur!X192*VLOOKUP('Données projet'!$B$9,Paramètres!$A$1:$I$89,3,0)*0.475*44/12</f>
        <v>0.13736206963154599</v>
      </c>
      <c r="AB192" s="21">
        <f>EXP(-LN(2)/2)*AB191+(1-EXP(-LN(2)/2))/(LN(2)/2)*V192*Y192*VLOOKUP('Données projet'!$B$9,Paramètres!$A$1:$I$89,3,0)*0.475*44/12</f>
        <v>2.5213309771192511E-23</v>
      </c>
      <c r="AC192" s="22">
        <f t="shared" si="163"/>
        <v>0.24069052062229057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9.7543306765146564E-14</v>
      </c>
      <c r="AK192" s="13">
        <f t="shared" si="164"/>
        <v>1.4696264278629426E-12</v>
      </c>
      <c r="AL192" s="20">
        <f t="shared" si="165"/>
        <v>2.7294872878105889E-12</v>
      </c>
      <c r="AM192" s="59">
        <f t="shared" si="113"/>
        <v>293.33333333333604</v>
      </c>
      <c r="AN192" s="59">
        <f ca="1">AVERAGE(OFFSET($AM$3,0,0,'Données projet'!$E$10+1,1))-AVERAGE(OFFSET($H$3,0,0,'Données projet'!$E$10+1,1))</f>
        <v>405.59933429804329</v>
      </c>
      <c r="AO192" s="59">
        <f t="shared" si="144"/>
        <v>208.64922573363776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5.3340144797614425E-2</v>
      </c>
      <c r="AW192" s="21">
        <f>EXP(-LN(2)/2)*AW191+(1-EXP(-LN(2)/2))/(LN(2)/2)*AQ192*AT192*VLOOKUP('Données projet'!$B$10,Paramètres!$A$1:$I$89,3,0)*0.475*44/12</f>
        <v>8.2863825429991517E-24</v>
      </c>
      <c r="AX192" s="21">
        <f t="shared" si="166"/>
        <v>5.3340144797614425E-2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-1.0995790944434703E-13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293.19327646293601</v>
      </c>
      <c r="BJ192" s="59">
        <f t="shared" si="146"/>
        <v>200.0769581869605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4.0420876793754168E-2</v>
      </c>
      <c r="BR192" s="21">
        <f>EXP(-LN(2)/2)*BR191+(1-EXP(-LN(2)/2))/(LN(2)/2)*BL192*BO192*VLOOKUP('Données projet'!$B$11,Paramètres!$A$1:$I$89,3,0)*0.475*44/12</f>
        <v>7.7396965258766076E-24</v>
      </c>
      <c r="BS192" s="22">
        <f t="shared" si="169"/>
        <v>4.0420876793754168E-2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1.3301360013429075E-13</v>
      </c>
      <c r="CA192" s="13">
        <f t="shared" si="170"/>
        <v>1.9329766731057041E-12</v>
      </c>
      <c r="CB192" s="20">
        <f t="shared" si="171"/>
        <v>3.5982663925596575E-12</v>
      </c>
      <c r="CC192" s="59">
        <f t="shared" si="119"/>
        <v>293.3333333333369</v>
      </c>
      <c r="CD192" s="59">
        <f ca="1">AVERAGE(OFFSET($CC$3,0,0,'Données projet'!$E$12+1,1))-AVERAGE(OFFSET($H$3,0,0,'Données projet'!$E$12+1,1))</f>
        <v>295.95249585728561</v>
      </c>
      <c r="CE192" s="59">
        <f t="shared" si="148"/>
        <v>306.85862495052709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6.2035246130527091E-2</v>
      </c>
      <c r="CL192" s="21">
        <f>EXP(-LN(2)/25)*CL191+(1-EXP(-LN(2)/25))/(LN(2)/25)*Calculateur!CG192*Calculateur!CI192*VLOOKUP('Données projet'!$B$12,Paramètres!$A$1:$I$89,3,0)*0.475*44/12</f>
        <v>0.10190891409553161</v>
      </c>
      <c r="CM192" s="21">
        <f>EXP(-LN(2)/2)*CM191+(1-EXP(-LN(2)/2))/(LN(2)/2)*CG192*CJ192*VLOOKUP('Données projet'!$B$12,Paramètres!$A$1:$I$89,3,0)*0.475*44/12</f>
        <v>1.5290797137381717E-23</v>
      </c>
      <c r="CN192" s="22">
        <f t="shared" si="172"/>
        <v>0.1639441602260587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1.0818439477588981E-13</v>
      </c>
      <c r="CV192" s="13">
        <f t="shared" si="173"/>
        <v>1.6104228458716316E-12</v>
      </c>
      <c r="CW192" s="20">
        <f t="shared" si="174"/>
        <v>2.9932409441277661E-12</v>
      </c>
      <c r="CX192" s="59">
        <f t="shared" si="122"/>
        <v>293.33333333333633</v>
      </c>
      <c r="CY192" s="59">
        <f ca="1">AVERAGE(OFFSET($CX$3,0,0,'Données projet'!$E$13+1,1))-AVERAGE(OFFSET($H$3,0,0,'Données projet'!$E$13+1,1))</f>
        <v>461.10546083340631</v>
      </c>
      <c r="CZ192" s="59">
        <f t="shared" si="150"/>
        <v>233.41883071412587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4.7996981064886077E-2</v>
      </c>
      <c r="DH192" s="21">
        <f>EXP(-LN(2)/2)*DH191+(1-EXP(-LN(2)/2))/(LN(2)/2)*DB192*DE192*VLOOKUP('Données projet'!$B$13,Paramètres!$A$1:$I$89,3,0)*0.475*44/12</f>
        <v>9.1903515476900815E-24</v>
      </c>
      <c r="DI192" s="22">
        <f t="shared" si="175"/>
        <v>4.7996981064886077E-2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-4.1500243241898714E-13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296.376932094327</v>
      </c>
      <c r="DU192" s="59">
        <f t="shared" si="152"/>
        <v>350.93658329210882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0.11579912611031727</v>
      </c>
      <c r="EB192" s="21">
        <f>EXP(-LN(2)/25)*EB191+(1-EXP(-LN(2)/25))/(LN(2)/25)*Calculateur!DW192*Calculateur!DY192*VLOOKUP('Données projet'!$B$14,Paramètres!$A$1:$I$89,3,0)*0.475*44/12</f>
        <v>0.20665405397275302</v>
      </c>
      <c r="EC192" s="21">
        <f>EXP(-LN(2)/2)*EC191+(1-EXP(-LN(2)/2))/(LN(2)/2)*DW192*DZ192*VLOOKUP('Données projet'!$B$14,Paramètres!$A$1:$I$89,3,0)*0.475*44/12</f>
        <v>2.8672497829142595E-23</v>
      </c>
      <c r="ED192" s="22">
        <f t="shared" si="178"/>
        <v>0.32245318008307028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-5.1159076974727213E-13</v>
      </c>
      <c r="EK192" s="17">
        <f>EJ192*VLOOKUP('Données projet'!$B$15,Paramètres!$A$1:$I$89,3,0)*VLOOKUP('Données projet'!$B$15,Paramètres!$A$1:$I$89,5,0)</f>
        <v>-3.3519427233841269E-13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231.03244099494077</v>
      </c>
      <c r="EP192" s="59">
        <f t="shared" si="154"/>
        <v>280.29723026390741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9.3530063396794733E-2</v>
      </c>
      <c r="EW192" s="21">
        <f>EXP(-LN(2)/25)*EW191+(1-EXP(-LN(2)/25))/(LN(2)/25)*Calculateur!ER192*Calculateur!ET192*VLOOKUP('Données projet'!$B$15,Paramètres!$A$1:$I$89,3,0)*0.475*44/12</f>
        <v>0.16691288974722326</v>
      </c>
      <c r="EX192" s="21">
        <f>EXP(-LN(2)/2)*EX191+(1-EXP(-LN(2)/2))/(LN(2)/2)*ER192*EU192*VLOOKUP('Données projet'!$B$15,Paramètres!$A$1:$I$89,3,0)*0.475*44/12</f>
        <v>2.3158555938922853E-23</v>
      </c>
      <c r="EY192" s="22">
        <f t="shared" si="181"/>
        <v>0.260442953144018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-5.1431925385259092E-13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351.15781452544906</v>
      </c>
      <c r="T193" s="59">
        <f t="shared" si="142"/>
        <v>271.54361159160169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0.10130224309094808</v>
      </c>
      <c r="AA193" s="21">
        <f>EXP(-LN(2)/25)*AA192+(1-EXP(-LN(2)/25))/(LN(2)/25)*Calculateur!V193*Calculateur!X193*VLOOKUP('Données projet'!$B$9,Paramètres!$A$1:$I$89,3,0)*0.475*44/12</f>
        <v>0.13360589661391406</v>
      </c>
      <c r="AB193" s="21">
        <f>EXP(-LN(2)/2)*AB192+(1-EXP(-LN(2)/2))/(LN(2)/2)*V193*Y193*VLOOKUP('Données projet'!$B$9,Paramètres!$A$1:$I$89,3,0)*0.475*44/12</f>
        <v>1.7828502315367263E-23</v>
      </c>
      <c r="AC193" s="22">
        <f t="shared" si="163"/>
        <v>0.23490813970486213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9.7543306765146564E-14</v>
      </c>
      <c r="AK193" s="13">
        <f t="shared" si="164"/>
        <v>1.4696264278629426E-12</v>
      </c>
      <c r="AL193" s="20">
        <f t="shared" si="165"/>
        <v>2.7294872878105889E-12</v>
      </c>
      <c r="AM193" s="59">
        <f t="shared" si="113"/>
        <v>293.33333333333604</v>
      </c>
      <c r="AN193" s="59">
        <f ca="1">AVERAGE(OFFSET($AM$3,0,0,'Données projet'!$E$10+1,1))-AVERAGE(OFFSET($H$3,0,0,'Données projet'!$E$10+1,1))</f>
        <v>405.59933429804329</v>
      </c>
      <c r="AO193" s="59">
        <f t="shared" si="144"/>
        <v>208.64922573363776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5.1881555733087358E-2</v>
      </c>
      <c r="AW193" s="21">
        <f>EXP(-LN(2)/2)*AW192+(1-EXP(-LN(2)/2))/(LN(2)/2)*AQ193*AT193*VLOOKUP('Données projet'!$B$10,Paramètres!$A$1:$I$89,3,0)*0.475*44/12</f>
        <v>5.8593572876605285E-24</v>
      </c>
      <c r="AX193" s="21">
        <f t="shared" si="166"/>
        <v>5.1881555733087358E-2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-1.0995790944434703E-13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293.19327646293601</v>
      </c>
      <c r="BJ193" s="59">
        <f t="shared" si="146"/>
        <v>200.0769581869605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3.931556579218743E-2</v>
      </c>
      <c r="BR193" s="21">
        <f>EXP(-LN(2)/2)*BR192+(1-EXP(-LN(2)/2))/(LN(2)/2)*BL193*BO193*VLOOKUP('Données projet'!$B$11,Paramètres!$A$1:$I$89,3,0)*0.475*44/12</f>
        <v>5.4727918977733126E-24</v>
      </c>
      <c r="BS193" s="22">
        <f t="shared" si="169"/>
        <v>3.931556579218743E-2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1.3301360013429075E-13</v>
      </c>
      <c r="CA193" s="13">
        <f t="shared" si="170"/>
        <v>1.9329766731057041E-12</v>
      </c>
      <c r="CB193" s="20">
        <f t="shared" si="171"/>
        <v>3.5982663925596575E-12</v>
      </c>
      <c r="CC193" s="59">
        <f t="shared" si="119"/>
        <v>293.3333333333369</v>
      </c>
      <c r="CD193" s="59">
        <f ca="1">AVERAGE(OFFSET($CC$3,0,0,'Données projet'!$E$12+1,1))-AVERAGE(OFFSET($H$3,0,0,'Données projet'!$E$12+1,1))</f>
        <v>295.95249585728561</v>
      </c>
      <c r="CE193" s="59">
        <f t="shared" si="148"/>
        <v>306.85862495052709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6.0818772791671423E-2</v>
      </c>
      <c r="CL193" s="21">
        <f>EXP(-LN(2)/25)*CL192+(1-EXP(-LN(2)/25))/(LN(2)/25)*Calculateur!CG193*Calculateur!CI193*VLOOKUP('Données projet'!$B$12,Paramètres!$A$1:$I$89,3,0)*0.475*44/12</f>
        <v>9.9122209480432419E-2</v>
      </c>
      <c r="CM193" s="21">
        <f>EXP(-LN(2)/2)*CM192+(1-EXP(-LN(2)/2))/(LN(2)/2)*CG193*CJ193*VLOOKUP('Données projet'!$B$12,Paramètres!$A$1:$I$89,3,0)*0.475*44/12</f>
        <v>1.0812226345590461E-23</v>
      </c>
      <c r="CN193" s="22">
        <f t="shared" si="172"/>
        <v>0.15994098227210385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1.0818439477588981E-13</v>
      </c>
      <c r="CV193" s="13">
        <f t="shared" si="173"/>
        <v>1.6104228458716316E-12</v>
      </c>
      <c r="CW193" s="20">
        <f t="shared" si="174"/>
        <v>2.9932409441277661E-12</v>
      </c>
      <c r="CX193" s="59">
        <f t="shared" si="122"/>
        <v>293.33333333333633</v>
      </c>
      <c r="CY193" s="59">
        <f ca="1">AVERAGE(OFFSET($CX$3,0,0,'Données projet'!$E$13+1,1))-AVERAGE(OFFSET($H$3,0,0,'Données projet'!$E$13+1,1))</f>
        <v>461.10546083340631</v>
      </c>
      <c r="CZ193" s="59">
        <f t="shared" si="150"/>
        <v>233.41883071412587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4.668450109361523E-2</v>
      </c>
      <c r="DH193" s="21">
        <f>EXP(-LN(2)/2)*DH192+(1-EXP(-LN(2)/2))/(LN(2)/2)*DB193*DE193*VLOOKUP('Données projet'!$B$13,Paramètres!$A$1:$I$89,3,0)*0.475*44/12</f>
        <v>6.498559900859939E-24</v>
      </c>
      <c r="DI193" s="22">
        <f t="shared" si="175"/>
        <v>4.668450109361523E-2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-4.1500243241898714E-13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296.376932094327</v>
      </c>
      <c r="DU193" s="59">
        <f t="shared" si="152"/>
        <v>350.93658329210882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0.11352837587778669</v>
      </c>
      <c r="EB193" s="21">
        <f>EXP(-LN(2)/25)*EB192+(1-EXP(-LN(2)/25))/(LN(2)/25)*Calculateur!DW193*Calculateur!DY193*VLOOKUP('Données projet'!$B$14,Paramètres!$A$1:$I$89,3,0)*0.475*44/12</f>
        <v>0.2010030879994037</v>
      </c>
      <c r="EC193" s="21">
        <f>EXP(-LN(2)/2)*EC192+(1-EXP(-LN(2)/2))/(LN(2)/2)*DW193*DZ193*VLOOKUP('Données projet'!$B$14,Paramètres!$A$1:$I$89,3,0)*0.475*44/12</f>
        <v>2.0274517648543292E-23</v>
      </c>
      <c r="ED193" s="22">
        <f t="shared" si="178"/>
        <v>0.31453146387719039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-5.1159076974727213E-13</v>
      </c>
      <c r="EK193" s="17">
        <f>EJ193*VLOOKUP('Données projet'!$B$15,Paramètres!$A$1:$I$89,3,0)*VLOOKUP('Données projet'!$B$15,Paramètres!$A$1:$I$89,5,0)</f>
        <v>-3.3519427233841269E-13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231.03244099494077</v>
      </c>
      <c r="EP193" s="59">
        <f t="shared" si="154"/>
        <v>280.29723026390741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9.1695995901289268E-2</v>
      </c>
      <c r="EW193" s="21">
        <f>EXP(-LN(2)/25)*EW192+(1-EXP(-LN(2)/25))/(LN(2)/25)*Calculateur!ER193*Calculateur!ET193*VLOOKUP('Données projet'!$B$15,Paramètres!$A$1:$I$89,3,0)*0.475*44/12</f>
        <v>0.16234864799951806</v>
      </c>
      <c r="EX193" s="21">
        <f>EXP(-LN(2)/2)*EX192+(1-EXP(-LN(2)/2))/(LN(2)/2)*ER193*EU193*VLOOKUP('Données projet'!$B$15,Paramètres!$A$1:$I$89,3,0)*0.475*44/12</f>
        <v>1.6375571946900343E-23</v>
      </c>
      <c r="EY193" s="22">
        <f t="shared" si="181"/>
        <v>0.25404464390080733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-5.1431925385259092E-13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351.15781452544906</v>
      </c>
      <c r="T194" s="59">
        <f t="shared" si="142"/>
        <v>271.54361159160169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9.9315767892201798E-2</v>
      </c>
      <c r="AA194" s="21">
        <f>EXP(-LN(2)/25)*AA193+(1-EXP(-LN(2)/25))/(LN(2)/25)*Calculateur!V194*Calculateur!X194*VLOOKUP('Données projet'!$B$9,Paramètres!$A$1:$I$89,3,0)*0.475*44/12</f>
        <v>0.12995243634497783</v>
      </c>
      <c r="AB194" s="21">
        <f>EXP(-LN(2)/2)*AB193+(1-EXP(-LN(2)/2))/(LN(2)/2)*V194*Y194*VLOOKUP('Données projet'!$B$9,Paramètres!$A$1:$I$89,3,0)*0.475*44/12</f>
        <v>1.2606654885596255E-23</v>
      </c>
      <c r="AC194" s="22">
        <f t="shared" si="163"/>
        <v>0.22926820423717964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9.7543306765146564E-14</v>
      </c>
      <c r="AK194" s="13">
        <f t="shared" si="164"/>
        <v>1.4696264278629426E-12</v>
      </c>
      <c r="AL194" s="20">
        <f t="shared" si="165"/>
        <v>2.7294872878105889E-12</v>
      </c>
      <c r="AM194" s="59">
        <f t="shared" si="113"/>
        <v>293.33333333333604</v>
      </c>
      <c r="AN194" s="59">
        <f ca="1">AVERAGE(OFFSET($AM$3,0,0,'Données projet'!$E$10+1,1))-AVERAGE(OFFSET($H$3,0,0,'Données projet'!$E$10+1,1))</f>
        <v>405.59933429804329</v>
      </c>
      <c r="AO194" s="59">
        <f t="shared" si="144"/>
        <v>208.64922573363776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5.0462851863233647E-2</v>
      </c>
      <c r="AW194" s="21">
        <f>EXP(-LN(2)/2)*AW193+(1-EXP(-LN(2)/2))/(LN(2)/2)*AQ194*AT194*VLOOKUP('Données projet'!$B$10,Paramètres!$A$1:$I$89,3,0)*0.475*44/12</f>
        <v>4.1431912714995759E-24</v>
      </c>
      <c r="AX194" s="21">
        <f t="shared" si="166"/>
        <v>5.0462851863233647E-2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-1.0995790944434703E-13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293.19327646293601</v>
      </c>
      <c r="BJ194" s="59">
        <f t="shared" si="146"/>
        <v>200.0769581869605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3.8240479578084317E-2</v>
      </c>
      <c r="BR194" s="21">
        <f>EXP(-LN(2)/2)*BR193+(1-EXP(-LN(2)/2))/(LN(2)/2)*BL194*BO194*VLOOKUP('Données projet'!$B$11,Paramètres!$A$1:$I$89,3,0)*0.475*44/12</f>
        <v>3.8698482629383038E-24</v>
      </c>
      <c r="BS194" s="22">
        <f t="shared" si="169"/>
        <v>3.8240479578084317E-2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1.3301360013429075E-13</v>
      </c>
      <c r="CA194" s="13">
        <f t="shared" si="170"/>
        <v>1.9329766731057041E-12</v>
      </c>
      <c r="CB194" s="20">
        <f t="shared" si="171"/>
        <v>3.5982663925596575E-12</v>
      </c>
      <c r="CC194" s="59">
        <f t="shared" si="119"/>
        <v>293.3333333333369</v>
      </c>
      <c r="CD194" s="59">
        <f ca="1">AVERAGE(OFFSET($CC$3,0,0,'Données projet'!$E$12+1,1))-AVERAGE(OFFSET($H$3,0,0,'Données projet'!$E$12+1,1))</f>
        <v>295.95249585728561</v>
      </c>
      <c r="CE194" s="59">
        <f t="shared" si="148"/>
        <v>306.85862495052709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5.9626153753015242E-2</v>
      </c>
      <c r="CL194" s="21">
        <f>EXP(-LN(2)/25)*CL193+(1-EXP(-LN(2)/25))/(LN(2)/25)*Calculateur!CG194*Calculateur!CI194*VLOOKUP('Données projet'!$B$12,Paramètres!$A$1:$I$89,3,0)*0.475*44/12</f>
        <v>9.641170744957954E-2</v>
      </c>
      <c r="CM194" s="21">
        <f>EXP(-LN(2)/2)*CM193+(1-EXP(-LN(2)/2))/(LN(2)/2)*CG194*CJ194*VLOOKUP('Données projet'!$B$12,Paramètres!$A$1:$I$89,3,0)*0.475*44/12</f>
        <v>7.6453985686908586E-24</v>
      </c>
      <c r="CN194" s="22">
        <f t="shared" si="172"/>
        <v>0.15603786120259477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1.0818439477588981E-13</v>
      </c>
      <c r="CV194" s="13">
        <f t="shared" si="173"/>
        <v>1.6104228458716316E-12</v>
      </c>
      <c r="CW194" s="20">
        <f t="shared" si="174"/>
        <v>2.9932409441277661E-12</v>
      </c>
      <c r="CX194" s="59">
        <f t="shared" si="122"/>
        <v>293.33333333333633</v>
      </c>
      <c r="CY194" s="59">
        <f ca="1">AVERAGE(OFFSET($CX$3,0,0,'Données projet'!$E$13+1,1))-AVERAGE(OFFSET($H$3,0,0,'Données projet'!$E$13+1,1))</f>
        <v>461.10546083340631</v>
      </c>
      <c r="CZ194" s="59">
        <f t="shared" si="150"/>
        <v>233.41883071412587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4.5407910956179111E-2</v>
      </c>
      <c r="DH194" s="21">
        <f>EXP(-LN(2)/2)*DH193+(1-EXP(-LN(2)/2))/(LN(2)/2)*DB194*DE194*VLOOKUP('Données projet'!$B$13,Paramètres!$A$1:$I$89,3,0)*0.475*44/12</f>
        <v>4.5951757738450415E-24</v>
      </c>
      <c r="DI194" s="22">
        <f t="shared" si="175"/>
        <v>4.5407910956179111E-2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-4.1500243241898714E-13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296.376932094327</v>
      </c>
      <c r="DU194" s="59">
        <f t="shared" si="152"/>
        <v>350.93658329210882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0.11130215367229515</v>
      </c>
      <c r="EB194" s="21">
        <f>EXP(-LN(2)/25)*EB193+(1-EXP(-LN(2)/25))/(LN(2)/25)*Calculateur!DW194*Calculateur!DY194*VLOOKUP('Données projet'!$B$14,Paramètres!$A$1:$I$89,3,0)*0.475*44/12</f>
        <v>0.19550664798776701</v>
      </c>
      <c r="EC194" s="21">
        <f>EXP(-LN(2)/2)*EC193+(1-EXP(-LN(2)/2))/(LN(2)/2)*DW194*DZ194*VLOOKUP('Données projet'!$B$14,Paramètres!$A$1:$I$89,3,0)*0.475*44/12</f>
        <v>1.4336248914571297E-23</v>
      </c>
      <c r="ED194" s="22">
        <f t="shared" si="178"/>
        <v>0.30680880166006219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-5.1159076974727213E-13</v>
      </c>
      <c r="EK194" s="17">
        <f>EJ194*VLOOKUP('Données projet'!$B$15,Paramètres!$A$1:$I$89,3,0)*VLOOKUP('Données projet'!$B$15,Paramètres!$A$1:$I$89,5,0)</f>
        <v>-3.3519427233841269E-13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231.03244099494077</v>
      </c>
      <c r="EP194" s="59">
        <f t="shared" si="154"/>
        <v>280.29723026390741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8.9897893350699948E-2</v>
      </c>
      <c r="EW194" s="21">
        <f>EXP(-LN(2)/25)*EW193+(1-EXP(-LN(2)/25))/(LN(2)/25)*Calculateur!ER194*Calculateur!ET194*VLOOKUP('Données projet'!$B$15,Paramètres!$A$1:$I$89,3,0)*0.475*44/12</f>
        <v>0.15790921568242688</v>
      </c>
      <c r="EX194" s="21">
        <f>EXP(-LN(2)/2)*EX193+(1-EXP(-LN(2)/2))/(LN(2)/2)*ER194*EU194*VLOOKUP('Données projet'!$B$15,Paramètres!$A$1:$I$89,3,0)*0.475*44/12</f>
        <v>1.1579277969461427E-23</v>
      </c>
      <c r="EY194" s="22">
        <f t="shared" si="181"/>
        <v>0.24780710903312683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-5.1431925385259092E-13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351.15781452544906</v>
      </c>
      <c r="T195" s="59">
        <f t="shared" si="142"/>
        <v>271.54361159160169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9.7368246260472691E-2</v>
      </c>
      <c r="AA195" s="21">
        <f>EXP(-LN(2)/25)*AA194+(1-EXP(-LN(2)/25))/(LN(2)/25)*Calculateur!V195*Calculateur!X195*VLOOKUP('Données projet'!$B$9,Paramètres!$A$1:$I$89,3,0)*0.475*44/12</f>
        <v>0.12639888013922279</v>
      </c>
      <c r="AB195" s="21">
        <f>EXP(-LN(2)/2)*AB194+(1-EXP(-LN(2)/2))/(LN(2)/2)*V195*Y195*VLOOKUP('Données projet'!$B$9,Paramètres!$A$1:$I$89,3,0)*0.475*44/12</f>
        <v>8.9142511576836316E-24</v>
      </c>
      <c r="AC195" s="22">
        <f t="shared" si="163"/>
        <v>0.22376712639969548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9.7543306765146564E-14</v>
      </c>
      <c r="AK195" s="13">
        <f t="shared" si="164"/>
        <v>1.4696264278629426E-12</v>
      </c>
      <c r="AL195" s="20">
        <f t="shared" si="165"/>
        <v>2.7294872878105889E-12</v>
      </c>
      <c r="AM195" s="59">
        <f t="shared" si="113"/>
        <v>293.33333333333604</v>
      </c>
      <c r="AN195" s="59">
        <f ca="1">AVERAGE(OFFSET($AM$3,0,0,'Données projet'!$E$10+1,1))-AVERAGE(OFFSET($H$3,0,0,'Données projet'!$E$10+1,1))</f>
        <v>405.59933429804329</v>
      </c>
      <c r="AO195" s="59">
        <f t="shared" si="144"/>
        <v>208.64922573363776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4.9082942525307476E-2</v>
      </c>
      <c r="AW195" s="21">
        <f>EXP(-LN(2)/2)*AW194+(1-EXP(-LN(2)/2))/(LN(2)/2)*AQ195*AT195*VLOOKUP('Données projet'!$B$10,Paramètres!$A$1:$I$89,3,0)*0.475*44/12</f>
        <v>2.9296786438302643E-24</v>
      </c>
      <c r="AX195" s="21">
        <f t="shared" si="166"/>
        <v>4.9082942525307476E-2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-1.0995790944434703E-13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293.19327646293601</v>
      </c>
      <c r="BJ195" s="59">
        <f t="shared" si="146"/>
        <v>200.0769581869605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3.7194791653042181E-2</v>
      </c>
      <c r="BR195" s="21">
        <f>EXP(-LN(2)/2)*BR194+(1-EXP(-LN(2)/2))/(LN(2)/2)*BL195*BO195*VLOOKUP('Données projet'!$B$11,Paramètres!$A$1:$I$89,3,0)*0.475*44/12</f>
        <v>2.7363959488866563E-24</v>
      </c>
      <c r="BS195" s="22">
        <f t="shared" si="169"/>
        <v>3.7194791653042181E-2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1.3301360013429075E-13</v>
      </c>
      <c r="CA195" s="13">
        <f t="shared" si="170"/>
        <v>1.9329766731057041E-12</v>
      </c>
      <c r="CB195" s="20">
        <f t="shared" si="171"/>
        <v>3.5982663925596575E-12</v>
      </c>
      <c r="CC195" s="59">
        <f t="shared" si="119"/>
        <v>293.3333333333369</v>
      </c>
      <c r="CD195" s="59">
        <f ca="1">AVERAGE(OFFSET($CC$3,0,0,'Données projet'!$E$12+1,1))-AVERAGE(OFFSET($H$3,0,0,'Données projet'!$E$12+1,1))</f>
        <v>295.95249585728561</v>
      </c>
      <c r="CE195" s="59">
        <f t="shared" si="148"/>
        <v>306.85862495052709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5.8456921246281324E-2</v>
      </c>
      <c r="CL195" s="21">
        <f>EXP(-LN(2)/25)*CL194+(1-EXP(-LN(2)/25))/(LN(2)/25)*Calculateur!CG195*Calculateur!CI195*VLOOKUP('Données projet'!$B$12,Paramètres!$A$1:$I$89,3,0)*0.475*44/12</f>
        <v>9.3775324239299448E-2</v>
      </c>
      <c r="CM195" s="21">
        <f>EXP(-LN(2)/2)*CM194+(1-EXP(-LN(2)/2))/(LN(2)/2)*CG195*CJ195*VLOOKUP('Données projet'!$B$12,Paramètres!$A$1:$I$89,3,0)*0.475*44/12</f>
        <v>5.4061131727952307E-24</v>
      </c>
      <c r="CN195" s="22">
        <f t="shared" si="172"/>
        <v>0.15223224548558079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1.0818439477588981E-13</v>
      </c>
      <c r="CV195" s="13">
        <f t="shared" si="173"/>
        <v>1.6104228458716316E-12</v>
      </c>
      <c r="CW195" s="20">
        <f t="shared" si="174"/>
        <v>2.9932409441277661E-12</v>
      </c>
      <c r="CX195" s="59">
        <f t="shared" si="122"/>
        <v>293.33333333333633</v>
      </c>
      <c r="CY195" s="59">
        <f ca="1">AVERAGE(OFFSET($CX$3,0,0,'Données projet'!$E$13+1,1))-AVERAGE(OFFSET($H$3,0,0,'Données projet'!$E$13+1,1))</f>
        <v>461.10546083340631</v>
      </c>
      <c r="CZ195" s="59">
        <f t="shared" si="150"/>
        <v>233.41883071412587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4.4166229243184134E-2</v>
      </c>
      <c r="DH195" s="21">
        <f>EXP(-LN(2)/2)*DH194+(1-EXP(-LN(2)/2))/(LN(2)/2)*DB195*DE195*VLOOKUP('Données projet'!$B$13,Paramètres!$A$1:$I$89,3,0)*0.475*44/12</f>
        <v>3.2492799504299702E-24</v>
      </c>
      <c r="DI195" s="22">
        <f t="shared" si="175"/>
        <v>4.4166229243184134E-2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-4.1500243241898714E-13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296.376932094327</v>
      </c>
      <c r="DU195" s="59">
        <f t="shared" si="152"/>
        <v>350.93658329210882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0.10911958632639183</v>
      </c>
      <c r="EB195" s="21">
        <f>EXP(-LN(2)/25)*EB194+(1-EXP(-LN(2)/25))/(LN(2)/25)*Calculateur!DW195*Calculateur!DY195*VLOOKUP('Données projet'!$B$14,Paramètres!$A$1:$I$89,3,0)*0.475*44/12</f>
        <v>0.19016050841729373</v>
      </c>
      <c r="EC195" s="21">
        <f>EXP(-LN(2)/2)*EC194+(1-EXP(-LN(2)/2))/(LN(2)/2)*DW195*DZ195*VLOOKUP('Données projet'!$B$14,Paramètres!$A$1:$I$89,3,0)*0.475*44/12</f>
        <v>1.0137258824271646E-23</v>
      </c>
      <c r="ED195" s="22">
        <f t="shared" si="178"/>
        <v>0.29928009474368555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-5.1159076974727213E-13</v>
      </c>
      <c r="EK195" s="17">
        <f>EJ195*VLOOKUP('Données projet'!$B$15,Paramètres!$A$1:$I$89,3,0)*VLOOKUP('Données projet'!$B$15,Paramètres!$A$1:$I$89,5,0)</f>
        <v>-3.3519427233841269E-13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231.03244099494077</v>
      </c>
      <c r="EP195" s="59">
        <f t="shared" si="154"/>
        <v>280.29723026390741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8.8135050494393422E-2</v>
      </c>
      <c r="EW195" s="21">
        <f>EXP(-LN(2)/25)*EW194+(1-EXP(-LN(2)/25))/(LN(2)/25)*Calculateur!ER195*Calculateur!ET195*VLOOKUP('Données projet'!$B$15,Paramètres!$A$1:$I$89,3,0)*0.475*44/12</f>
        <v>0.15359117987550616</v>
      </c>
      <c r="EX195" s="21">
        <f>EXP(-LN(2)/2)*EX194+(1-EXP(-LN(2)/2))/(LN(2)/2)*ER195*EU195*VLOOKUP('Données projet'!$B$15,Paramètres!$A$1:$I$89,3,0)*0.475*44/12</f>
        <v>8.1877859734501713E-24</v>
      </c>
      <c r="EY195" s="22">
        <f t="shared" si="181"/>
        <v>0.2417262303698996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-5.1431925385259092E-13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351.15781452544906</v>
      </c>
      <c r="T196" s="59">
        <f t="shared" si="142"/>
        <v>271.54361159160169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9.545891434007088E-2</v>
      </c>
      <c r="AA196" s="21">
        <f>EXP(-LN(2)/25)*AA195+(1-EXP(-LN(2)/25))/(LN(2)/25)*Calculateur!V196*Calculateur!X196*VLOOKUP('Données projet'!$B$9,Paramètres!$A$1:$I$89,3,0)*0.475*44/12</f>
        <v>0.12294249611478753</v>
      </c>
      <c r="AB196" s="21">
        <f>EXP(-LN(2)/2)*AB195+(1-EXP(-LN(2)/2))/(LN(2)/2)*V196*Y196*VLOOKUP('Données projet'!$B$9,Paramètres!$A$1:$I$89,3,0)*0.475*44/12</f>
        <v>6.3033274427981277E-24</v>
      </c>
      <c r="AC196" s="22">
        <f t="shared" si="163"/>
        <v>0.21840141045485839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9.7543306765146564E-14</v>
      </c>
      <c r="AK196" s="13">
        <f t="shared" si="164"/>
        <v>1.4696264278629426E-12</v>
      </c>
      <c r="AL196" s="20">
        <f t="shared" si="165"/>
        <v>2.7294872878105889E-12</v>
      </c>
      <c r="AM196" s="59">
        <f t="shared" ref="AM196:AM203" si="193">AL196+(AD196+AE196)*44/12</f>
        <v>293.33333333333604</v>
      </c>
      <c r="AN196" s="59">
        <f ca="1">AVERAGE(OFFSET($AM$3,0,0,'Données projet'!$E$10+1,1))-AVERAGE(OFFSET($H$3,0,0,'Données projet'!$E$10+1,1))</f>
        <v>405.59933429804329</v>
      </c>
      <c r="AO196" s="59">
        <f t="shared" si="144"/>
        <v>208.64922573363776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4.7740766880793178E-2</v>
      </c>
      <c r="AW196" s="21">
        <f>EXP(-LN(2)/2)*AW195+(1-EXP(-LN(2)/2))/(LN(2)/2)*AQ196*AT196*VLOOKUP('Données projet'!$B$10,Paramètres!$A$1:$I$89,3,0)*0.475*44/12</f>
        <v>2.0715956357497879E-24</v>
      </c>
      <c r="AX196" s="21">
        <f t="shared" si="166"/>
        <v>4.7740766880793178E-2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-1.0995790944434703E-13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293.19327646293601</v>
      </c>
      <c r="BJ196" s="59">
        <f t="shared" si="146"/>
        <v>200.0769581869605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3.6177698119300661E-2</v>
      </c>
      <c r="BR196" s="21">
        <f>EXP(-LN(2)/2)*BR195+(1-EXP(-LN(2)/2))/(LN(2)/2)*BL196*BO196*VLOOKUP('Données projet'!$B$11,Paramètres!$A$1:$I$89,3,0)*0.475*44/12</f>
        <v>1.9349241314691519E-24</v>
      </c>
      <c r="BS196" s="22">
        <f t="shared" si="169"/>
        <v>3.6177698119300661E-2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1.3301360013429075E-13</v>
      </c>
      <c r="CA196" s="13">
        <f t="shared" si="170"/>
        <v>1.9329766731057041E-12</v>
      </c>
      <c r="CB196" s="20">
        <f t="shared" si="171"/>
        <v>3.5982663925596575E-12</v>
      </c>
      <c r="CC196" s="59">
        <f t="shared" ref="CC196:CC203" si="195">CB196+(BT196+BU196)*44/12</f>
        <v>293.3333333333369</v>
      </c>
      <c r="CD196" s="59">
        <f ca="1">AVERAGE(OFFSET($CC$3,0,0,'Données projet'!$E$12+1,1))-AVERAGE(OFFSET($H$3,0,0,'Données projet'!$E$12+1,1))</f>
        <v>295.95249585728561</v>
      </c>
      <c r="CE196" s="59">
        <f t="shared" si="148"/>
        <v>306.85862495052709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5.731061667584305E-2</v>
      </c>
      <c r="CL196" s="21">
        <f>EXP(-LN(2)/25)*CL195+(1-EXP(-LN(2)/25))/(LN(2)/25)*Calculateur!CG196*Calculateur!CI196*VLOOKUP('Données projet'!$B$12,Paramètres!$A$1:$I$89,3,0)*0.475*44/12</f>
        <v>9.1211033066545835E-2</v>
      </c>
      <c r="CM196" s="21">
        <f>EXP(-LN(2)/2)*CM195+(1-EXP(-LN(2)/2))/(LN(2)/2)*CG196*CJ196*VLOOKUP('Données projet'!$B$12,Paramètres!$A$1:$I$89,3,0)*0.475*44/12</f>
        <v>3.8226992843454293E-24</v>
      </c>
      <c r="CN196" s="22">
        <f t="shared" si="172"/>
        <v>0.14852164974238888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1.0818439477588981E-13</v>
      </c>
      <c r="CV196" s="13">
        <f t="shared" si="173"/>
        <v>1.6104228458716316E-12</v>
      </c>
      <c r="CW196" s="20">
        <f t="shared" si="174"/>
        <v>2.9932409441277661E-12</v>
      </c>
      <c r="CX196" s="59">
        <f t="shared" ref="CX196:CX203" si="196">CW196+(CO196+CP196)*44/12</f>
        <v>293.33333333333633</v>
      </c>
      <c r="CY196" s="59">
        <f ca="1">AVERAGE(OFFSET($CX$3,0,0,'Données projet'!$E$13+1,1))-AVERAGE(OFFSET($H$3,0,0,'Données projet'!$E$13+1,1))</f>
        <v>461.10546083340631</v>
      </c>
      <c r="CZ196" s="59">
        <f t="shared" si="150"/>
        <v>233.41883071412587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4.2958501381928214E-2</v>
      </c>
      <c r="DH196" s="21">
        <f>EXP(-LN(2)/2)*DH195+(1-EXP(-LN(2)/2))/(LN(2)/2)*DB196*DE196*VLOOKUP('Données projet'!$B$13,Paramètres!$A$1:$I$89,3,0)*0.475*44/12</f>
        <v>2.2975878869225211E-24</v>
      </c>
      <c r="DI196" s="22">
        <f t="shared" si="175"/>
        <v>4.2958501381928214E-2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-4.1500243241898714E-13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296.376932094327</v>
      </c>
      <c r="DU196" s="59">
        <f t="shared" si="152"/>
        <v>350.93658329210882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0.10697981779490705</v>
      </c>
      <c r="EB196" s="21">
        <f>EXP(-LN(2)/25)*EB195+(1-EXP(-LN(2)/25))/(LN(2)/25)*Calculateur!DW196*Calculateur!DY196*VLOOKUP('Données projet'!$B$14,Paramètres!$A$1:$I$89,3,0)*0.475*44/12</f>
        <v>0.18496055931451633</v>
      </c>
      <c r="EC196" s="21">
        <f>EXP(-LN(2)/2)*EC195+(1-EXP(-LN(2)/2))/(LN(2)/2)*DW196*DZ196*VLOOKUP('Données projet'!$B$14,Paramètres!$A$1:$I$89,3,0)*0.475*44/12</f>
        <v>7.1681244572856487E-24</v>
      </c>
      <c r="ED196" s="22">
        <f t="shared" si="178"/>
        <v>0.29194037710942339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-5.1159076974727213E-13</v>
      </c>
      <c r="EK196" s="17">
        <f>EJ196*VLOOKUP('Données projet'!$B$15,Paramètres!$A$1:$I$89,3,0)*VLOOKUP('Données projet'!$B$15,Paramètres!$A$1:$I$89,5,0)</f>
        <v>-3.3519427233841269E-13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231.03244099494077</v>
      </c>
      <c r="EP196" s="59">
        <f t="shared" si="154"/>
        <v>280.29723026390741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8.6406775911271091E-2</v>
      </c>
      <c r="EW196" s="21">
        <f>EXP(-LN(2)/25)*EW195+(1-EXP(-LN(2)/25))/(LN(2)/25)*Calculateur!ER196*Calculateur!ET196*VLOOKUP('Données projet'!$B$15,Paramètres!$A$1:$I$89,3,0)*0.475*44/12</f>
        <v>0.14939122098480134</v>
      </c>
      <c r="EX196" s="21">
        <f>EXP(-LN(2)/2)*EX195+(1-EXP(-LN(2)/2))/(LN(2)/2)*ER196*EU196*VLOOKUP('Données projet'!$B$15,Paramètres!$A$1:$I$89,3,0)*0.475*44/12</f>
        <v>5.7896389847307134E-24</v>
      </c>
      <c r="EY196" s="22">
        <f t="shared" si="181"/>
        <v>0.23579799689607245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-5.1431925385259092E-13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351.15781452544906</v>
      </c>
      <c r="T197" s="59">
        <f t="shared" ref="T197:T203" si="204">$T$3</f>
        <v>271.54361159160169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9.3587023254050675E-2</v>
      </c>
      <c r="AA197" s="21">
        <f>EXP(-LN(2)/25)*AA196+(1-EXP(-LN(2)/25))/(LN(2)/25)*Calculateur!V197*Calculateur!X197*VLOOKUP('Données projet'!$B$9,Paramètres!$A$1:$I$89,3,0)*0.475*44/12</f>
        <v>0.11958062709326378</v>
      </c>
      <c r="AB197" s="21">
        <f>EXP(-LN(2)/2)*AB196+(1-EXP(-LN(2)/2))/(LN(2)/2)*V197*Y197*VLOOKUP('Données projet'!$B$9,Paramètres!$A$1:$I$89,3,0)*0.475*44/12</f>
        <v>4.4571255788418158E-24</v>
      </c>
      <c r="AC197" s="22">
        <f t="shared" si="163"/>
        <v>0.21316765034731444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9.7543306765146564E-14</v>
      </c>
      <c r="AK197" s="13">
        <f t="shared" si="164"/>
        <v>1.4696264278629426E-12</v>
      </c>
      <c r="AL197" s="20">
        <f t="shared" si="165"/>
        <v>2.7294872878105889E-12</v>
      </c>
      <c r="AM197" s="59">
        <f t="shared" si="193"/>
        <v>293.33333333333604</v>
      </c>
      <c r="AN197" s="59">
        <f ca="1">AVERAGE(OFFSET($AM$3,0,0,'Données projet'!$E$10+1,1))-AVERAGE(OFFSET($H$3,0,0,'Données projet'!$E$10+1,1))</f>
        <v>405.59933429804329</v>
      </c>
      <c r="AO197" s="59">
        <f t="shared" ref="AO197:AO203" si="205">$AO$3</f>
        <v>208.64922573363776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4.6435293099860074E-2</v>
      </c>
      <c r="AW197" s="21">
        <f>EXP(-LN(2)/2)*AW196+(1-EXP(-LN(2)/2))/(LN(2)/2)*AQ197*AT197*VLOOKUP('Données projet'!$B$10,Paramètres!$A$1:$I$89,3,0)*0.475*44/12</f>
        <v>1.4648393219151321E-24</v>
      </c>
      <c r="AX197" s="21">
        <f t="shared" si="166"/>
        <v>4.6435293099860074E-2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-1.0995790944434703E-13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293.19327646293601</v>
      </c>
      <c r="BJ197" s="59">
        <f t="shared" ref="BJ197:BJ203" si="206">$BJ$3</f>
        <v>200.0769581869605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3.5188417061725923E-2</v>
      </c>
      <c r="BR197" s="21">
        <f>EXP(-LN(2)/2)*BR196+(1-EXP(-LN(2)/2))/(LN(2)/2)*BL197*BO197*VLOOKUP('Données projet'!$B$11,Paramètres!$A$1:$I$89,3,0)*0.475*44/12</f>
        <v>1.3681979744433281E-24</v>
      </c>
      <c r="BS197" s="22">
        <f t="shared" si="169"/>
        <v>3.5188417061725923E-2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1.3301360013429075E-13</v>
      </c>
      <c r="CA197" s="13">
        <f t="shared" si="170"/>
        <v>1.9329766731057041E-12</v>
      </c>
      <c r="CB197" s="20">
        <f t="shared" si="171"/>
        <v>3.5982663925596575E-12</v>
      </c>
      <c r="CC197" s="59">
        <f t="shared" si="195"/>
        <v>293.3333333333369</v>
      </c>
      <c r="CD197" s="59">
        <f ca="1">AVERAGE(OFFSET($CC$3,0,0,'Données projet'!$E$12+1,1))-AVERAGE(OFFSET($H$3,0,0,'Données projet'!$E$12+1,1))</f>
        <v>295.95249585728561</v>
      </c>
      <c r="CE197" s="59">
        <f t="shared" ref="CE197:CE203" si="207">$CE$3</f>
        <v>306.85862495052709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5.6186790438854321E-2</v>
      </c>
      <c r="CL197" s="21">
        <f>EXP(-LN(2)/25)*CL196+(1-EXP(-LN(2)/25))/(LN(2)/25)*Calculateur!CG197*Calculateur!CI197*VLOOKUP('Données projet'!$B$12,Paramètres!$A$1:$I$89,3,0)*0.475*44/12</f>
        <v>8.8716862570761376E-2</v>
      </c>
      <c r="CM197" s="21">
        <f>EXP(-LN(2)/2)*CM196+(1-EXP(-LN(2)/2))/(LN(2)/2)*CG197*CJ197*VLOOKUP('Données projet'!$B$12,Paramètres!$A$1:$I$89,3,0)*0.475*44/12</f>
        <v>2.7030565863976154E-24</v>
      </c>
      <c r="CN197" s="22">
        <f t="shared" si="172"/>
        <v>0.14490365300961569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1.0818439477588981E-13</v>
      </c>
      <c r="CV197" s="13">
        <f t="shared" si="173"/>
        <v>1.6104228458716316E-12</v>
      </c>
      <c r="CW197" s="20">
        <f t="shared" si="174"/>
        <v>2.9932409441277661E-12</v>
      </c>
      <c r="CX197" s="59">
        <f t="shared" si="196"/>
        <v>293.33333333333633</v>
      </c>
      <c r="CY197" s="59">
        <f ca="1">AVERAGE(OFFSET($CX$3,0,0,'Données projet'!$E$13+1,1))-AVERAGE(OFFSET($H$3,0,0,'Données projet'!$E$13+1,1))</f>
        <v>461.10546083340631</v>
      </c>
      <c r="CZ197" s="59">
        <f t="shared" ref="CZ197:CZ203" si="208">$CZ$3</f>
        <v>233.41883071412587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4.1783798902549983E-2</v>
      </c>
      <c r="DH197" s="21">
        <f>EXP(-LN(2)/2)*DH196+(1-EXP(-LN(2)/2))/(LN(2)/2)*DB197*DE197*VLOOKUP('Données projet'!$B$13,Paramètres!$A$1:$I$89,3,0)*0.475*44/12</f>
        <v>1.6246399752149853E-24</v>
      </c>
      <c r="DI197" s="22">
        <f t="shared" si="175"/>
        <v>4.1783798902549983E-2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-4.1500243241898714E-13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296.376932094327</v>
      </c>
      <c r="DU197" s="59">
        <f t="shared" ref="DU197:DU203" si="209">$DU$3</f>
        <v>350.93658329210882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0.10488200881919475</v>
      </c>
      <c r="EB197" s="21">
        <f>EXP(-LN(2)/25)*EB196+(1-EXP(-LN(2)/25))/(LN(2)/25)*Calculateur!DW197*Calculateur!DY197*VLOOKUP('Données projet'!$B$14,Paramètres!$A$1:$I$89,3,0)*0.475*44/12</f>
        <v>0.17990280309340781</v>
      </c>
      <c r="EC197" s="21">
        <f>EXP(-LN(2)/2)*EC196+(1-EXP(-LN(2)/2))/(LN(2)/2)*DW197*DZ197*VLOOKUP('Données projet'!$B$14,Paramètres!$A$1:$I$89,3,0)*0.475*44/12</f>
        <v>5.068629412135823E-24</v>
      </c>
      <c r="ED197" s="22">
        <f t="shared" si="178"/>
        <v>0.28478481191260258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-5.1159076974727213E-13</v>
      </c>
      <c r="EK197" s="17">
        <f>EJ197*VLOOKUP('Données projet'!$B$15,Paramètres!$A$1:$I$89,3,0)*VLOOKUP('Données projet'!$B$15,Paramètres!$A$1:$I$89,5,0)</f>
        <v>-3.3519427233841269E-13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231.03244099494077</v>
      </c>
      <c r="EP197" s="59">
        <f t="shared" ref="EP197:EP203" si="210">$EP$3</f>
        <v>280.29723026390741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8.4712391738580389E-2</v>
      </c>
      <c r="EW197" s="21">
        <f>EXP(-LN(2)/25)*EW196+(1-EXP(-LN(2)/25))/(LN(2)/25)*Calculateur!ER197*Calculateur!ET197*VLOOKUP('Données projet'!$B$15,Paramètres!$A$1:$I$89,3,0)*0.475*44/12</f>
        <v>0.14530611019082906</v>
      </c>
      <c r="EX197" s="21">
        <f>EXP(-LN(2)/2)*EX196+(1-EXP(-LN(2)/2))/(LN(2)/2)*ER197*EU197*VLOOKUP('Données projet'!$B$15,Paramètres!$A$1:$I$89,3,0)*0.475*44/12</f>
        <v>4.0938929867250856E-24</v>
      </c>
      <c r="EY197" s="22">
        <f t="shared" si="181"/>
        <v>0.23001850192940945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-5.1431925385259092E-13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351.15781452544906</v>
      </c>
      <c r="T198" s="59">
        <f t="shared" si="204"/>
        <v>271.54361159160169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9.17518388104865E-2</v>
      </c>
      <c r="AA198" s="21">
        <f>EXP(-LN(2)/25)*AA197+(1-EXP(-LN(2)/25))/(LN(2)/25)*Calculateur!V198*Calculateur!X198*VLOOKUP('Données projet'!$B$9,Paramètres!$A$1:$I$89,3,0)*0.475*44/12</f>
        <v>0.11631068855692661</v>
      </c>
      <c r="AB198" s="21">
        <f>EXP(-LN(2)/2)*AB197+(1-EXP(-LN(2)/2))/(LN(2)/2)*V198*Y198*VLOOKUP('Données projet'!$B$9,Paramètres!$A$1:$I$89,3,0)*0.475*44/12</f>
        <v>3.1516637213990639E-24</v>
      </c>
      <c r="AC198" s="22">
        <f t="shared" si="163"/>
        <v>0.2080625273674131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9.7543306765146564E-14</v>
      </c>
      <c r="AK198" s="13">
        <f t="shared" si="164"/>
        <v>1.4696264278629426E-12</v>
      </c>
      <c r="AL198" s="20">
        <f t="shared" si="165"/>
        <v>2.7294872878105889E-12</v>
      </c>
      <c r="AM198" s="59">
        <f t="shared" si="193"/>
        <v>293.33333333333604</v>
      </c>
      <c r="AN198" s="59">
        <f ca="1">AVERAGE(OFFSET($AM$3,0,0,'Données projet'!$E$10+1,1))-AVERAGE(OFFSET($H$3,0,0,'Données projet'!$E$10+1,1))</f>
        <v>405.59933429804329</v>
      </c>
      <c r="AO198" s="59">
        <f t="shared" si="205"/>
        <v>208.64922573363776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4.5165517568118464E-2</v>
      </c>
      <c r="AW198" s="21">
        <f>EXP(-LN(2)/2)*AW197+(1-EXP(-LN(2)/2))/(LN(2)/2)*AQ198*AT198*VLOOKUP('Données projet'!$B$10,Paramètres!$A$1:$I$89,3,0)*0.475*44/12</f>
        <v>1.035797817874894E-24</v>
      </c>
      <c r="AX198" s="21">
        <f t="shared" si="166"/>
        <v>4.5165517568118464E-2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-1.0995790944434703E-13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293.19327646293601</v>
      </c>
      <c r="BJ198" s="59">
        <f t="shared" si="206"/>
        <v>200.0769581869605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3.4226187946694596E-2</v>
      </c>
      <c r="BR198" s="21">
        <f>EXP(-LN(2)/2)*BR197+(1-EXP(-LN(2)/2))/(LN(2)/2)*BL198*BO198*VLOOKUP('Données projet'!$B$11,Paramètres!$A$1:$I$89,3,0)*0.475*44/12</f>
        <v>9.6746206573457596E-25</v>
      </c>
      <c r="BS198" s="22">
        <f t="shared" si="169"/>
        <v>3.4226187946694596E-2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1.3301360013429075E-13</v>
      </c>
      <c r="CA198" s="13">
        <f t="shared" si="170"/>
        <v>1.9329766731057041E-12</v>
      </c>
      <c r="CB198" s="20">
        <f t="shared" si="171"/>
        <v>3.5982663925596575E-12</v>
      </c>
      <c r="CC198" s="59">
        <f t="shared" si="195"/>
        <v>293.3333333333369</v>
      </c>
      <c r="CD198" s="59">
        <f ca="1">AVERAGE(OFFSET($CC$3,0,0,'Données projet'!$E$12+1,1))-AVERAGE(OFFSET($H$3,0,0,'Données projet'!$E$12+1,1))</f>
        <v>295.95249585728561</v>
      </c>
      <c r="CE198" s="59">
        <f t="shared" si="207"/>
        <v>306.85862495052709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5.5085001748906619E-2</v>
      </c>
      <c r="CL198" s="21">
        <f>EXP(-LN(2)/25)*CL197+(1-EXP(-LN(2)/25))/(LN(2)/25)*Calculateur!CG198*Calculateur!CI198*VLOOKUP('Données projet'!$B$12,Paramètres!$A$1:$I$89,3,0)*0.475*44/12</f>
        <v>8.6290895298346867E-2</v>
      </c>
      <c r="CM198" s="21">
        <f>EXP(-LN(2)/2)*CM197+(1-EXP(-LN(2)/2))/(LN(2)/2)*CG198*CJ198*VLOOKUP('Données projet'!$B$12,Paramètres!$A$1:$I$89,3,0)*0.475*44/12</f>
        <v>1.9113496421727147E-24</v>
      </c>
      <c r="CN198" s="22">
        <f t="shared" si="172"/>
        <v>0.14137589704725348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1.0818439477588981E-13</v>
      </c>
      <c r="CV198" s="13">
        <f t="shared" si="173"/>
        <v>1.6104228458716316E-12</v>
      </c>
      <c r="CW198" s="20">
        <f t="shared" si="174"/>
        <v>2.9932409441277661E-12</v>
      </c>
      <c r="CX198" s="59">
        <f t="shared" si="196"/>
        <v>293.33333333333633</v>
      </c>
      <c r="CY198" s="59">
        <f ca="1">AVERAGE(OFFSET($CX$3,0,0,'Données projet'!$E$13+1,1))-AVERAGE(OFFSET($H$3,0,0,'Données projet'!$E$13+1,1))</f>
        <v>461.10546083340631</v>
      </c>
      <c r="CZ198" s="59">
        <f t="shared" si="208"/>
        <v>233.41883071412587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4.0641218724245268E-2</v>
      </c>
      <c r="DH198" s="21">
        <f>EXP(-LN(2)/2)*DH197+(1-EXP(-LN(2)/2))/(LN(2)/2)*DB198*DE198*VLOOKUP('Données projet'!$B$13,Paramètres!$A$1:$I$89,3,0)*0.475*44/12</f>
        <v>1.1487939434612607E-24</v>
      </c>
      <c r="DI198" s="22">
        <f t="shared" si="175"/>
        <v>4.0641218724245268E-2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-4.1500243241898714E-13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296.376932094327</v>
      </c>
      <c r="DU198" s="59">
        <f t="shared" si="209"/>
        <v>350.93658329210882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0.10282533659795905</v>
      </c>
      <c r="EB198" s="21">
        <f>EXP(-LN(2)/25)*EB197+(1-EXP(-LN(2)/25))/(LN(2)/25)*Calculateur!DW198*Calculateur!DY198*VLOOKUP('Données projet'!$B$14,Paramètres!$A$1:$I$89,3,0)*0.475*44/12</f>
        <v>0.17498335148214134</v>
      </c>
      <c r="EC198" s="21">
        <f>EXP(-LN(2)/2)*EC197+(1-EXP(-LN(2)/2))/(LN(2)/2)*DW198*DZ198*VLOOKUP('Données projet'!$B$14,Paramètres!$A$1:$I$89,3,0)*0.475*44/12</f>
        <v>3.5840622286428243E-24</v>
      </c>
      <c r="ED198" s="22">
        <f t="shared" si="178"/>
        <v>0.2778086880801004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-5.1159076974727213E-13</v>
      </c>
      <c r="EK198" s="17">
        <f>EJ198*VLOOKUP('Données projet'!$B$15,Paramètres!$A$1:$I$89,3,0)*VLOOKUP('Données projet'!$B$15,Paramètres!$A$1:$I$89,5,0)</f>
        <v>-3.3519427233841269E-13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231.03244099494077</v>
      </c>
      <c r="EP198" s="59">
        <f t="shared" si="210"/>
        <v>280.29723026390741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8.3051233406043853E-2</v>
      </c>
      <c r="EW198" s="21">
        <f>EXP(-LN(2)/25)*EW197+(1-EXP(-LN(2)/25))/(LN(2)/25)*Calculateur!ER198*Calculateur!ET198*VLOOKUP('Données projet'!$B$15,Paramètres!$A$1:$I$89,3,0)*0.475*44/12</f>
        <v>0.14133270696634462</v>
      </c>
      <c r="EX198" s="21">
        <f>EXP(-LN(2)/2)*EX197+(1-EXP(-LN(2)/2))/(LN(2)/2)*ER198*EU198*VLOOKUP('Données projet'!$B$15,Paramètres!$A$1:$I$89,3,0)*0.475*44/12</f>
        <v>2.8948194923653567E-24</v>
      </c>
      <c r="EY198" s="22">
        <f t="shared" si="181"/>
        <v>0.22438394037238846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-5.1431925385259092E-13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351.15781452544906</v>
      </c>
      <c r="T199" s="59">
        <f t="shared" si="204"/>
        <v>271.54361159160169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8.9952641214508633E-2</v>
      </c>
      <c r="AA199" s="21">
        <f>EXP(-LN(2)/25)*AA198+(1-EXP(-LN(2)/25))/(LN(2)/25)*Calculateur!V199*Calculateur!X199*VLOOKUP('Données projet'!$B$9,Paramètres!$A$1:$I$89,3,0)*0.475*44/12</f>
        <v>0.11313016666182417</v>
      </c>
      <c r="AB199" s="21">
        <f>EXP(-LN(2)/2)*AB198+(1-EXP(-LN(2)/2))/(LN(2)/2)*V199*Y199*VLOOKUP('Données projet'!$B$9,Paramètres!$A$1:$I$89,3,0)*0.475*44/12</f>
        <v>2.2285627894209079E-24</v>
      </c>
      <c r="AC199" s="22">
        <f t="shared" si="163"/>
        <v>0.20308280787633282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9.7543306765146564E-14</v>
      </c>
      <c r="AK199" s="13">
        <f t="shared" si="164"/>
        <v>1.4696264278629426E-12</v>
      </c>
      <c r="AL199" s="20">
        <f t="shared" si="165"/>
        <v>2.7294872878105889E-12</v>
      </c>
      <c r="AM199" s="59">
        <f t="shared" si="193"/>
        <v>293.33333333333604</v>
      </c>
      <c r="AN199" s="59">
        <f ca="1">AVERAGE(OFFSET($AM$3,0,0,'Données projet'!$E$10+1,1))-AVERAGE(OFFSET($H$3,0,0,'Données projet'!$E$10+1,1))</f>
        <v>405.59933429804329</v>
      </c>
      <c r="AO199" s="59">
        <f t="shared" si="205"/>
        <v>208.64922573363776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4.3930464115066924E-2</v>
      </c>
      <c r="AW199" s="21">
        <f>EXP(-LN(2)/2)*AW198+(1-EXP(-LN(2)/2))/(LN(2)/2)*AQ199*AT199*VLOOKUP('Données projet'!$B$10,Paramètres!$A$1:$I$89,3,0)*0.475*44/12</f>
        <v>7.3241966095756607E-25</v>
      </c>
      <c r="AX199" s="21">
        <f t="shared" si="166"/>
        <v>4.3930464115066924E-2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-1.0995790944434703E-13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293.19327646293601</v>
      </c>
      <c r="BJ199" s="59">
        <f t="shared" si="206"/>
        <v>200.0769581869605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3.3290271037415234E-2</v>
      </c>
      <c r="BR199" s="21">
        <f>EXP(-LN(2)/2)*BR198+(1-EXP(-LN(2)/2))/(LN(2)/2)*BL199*BO199*VLOOKUP('Données projet'!$B$11,Paramètres!$A$1:$I$89,3,0)*0.475*44/12</f>
        <v>6.8409898722166407E-25</v>
      </c>
      <c r="BS199" s="22">
        <f t="shared" si="169"/>
        <v>3.3290271037415234E-2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1.3301360013429075E-13</v>
      </c>
      <c r="CA199" s="13">
        <f t="shared" si="170"/>
        <v>1.9329766731057041E-12</v>
      </c>
      <c r="CB199" s="20">
        <f t="shared" si="171"/>
        <v>3.5982663925596575E-12</v>
      </c>
      <c r="CC199" s="59">
        <f t="shared" si="195"/>
        <v>293.3333333333369</v>
      </c>
      <c r="CD199" s="59">
        <f ca="1">AVERAGE(OFFSET($CC$3,0,0,'Données projet'!$E$12+1,1))-AVERAGE(OFFSET($H$3,0,0,'Données projet'!$E$12+1,1))</f>
        <v>295.95249585728561</v>
      </c>
      <c r="CE199" s="59">
        <f t="shared" si="207"/>
        <v>306.85862495052709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5.4004818463144047E-2</v>
      </c>
      <c r="CL199" s="21">
        <f>EXP(-LN(2)/25)*CL198+(1-EXP(-LN(2)/25))/(LN(2)/25)*Calculateur!CG199*Calculateur!CI199*VLOOKUP('Données projet'!$B$12,Paramètres!$A$1:$I$89,3,0)*0.475*44/12</f>
        <v>8.393126622857261E-2</v>
      </c>
      <c r="CM199" s="21">
        <f>EXP(-LN(2)/2)*CM198+(1-EXP(-LN(2)/2))/(LN(2)/2)*CG199*CJ199*VLOOKUP('Données projet'!$B$12,Paramètres!$A$1:$I$89,3,0)*0.475*44/12</f>
        <v>1.3515282931988077E-24</v>
      </c>
      <c r="CN199" s="22">
        <f t="shared" si="172"/>
        <v>0.13793608469171664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1.0818439477588981E-13</v>
      </c>
      <c r="CV199" s="13">
        <f t="shared" si="173"/>
        <v>1.6104228458716316E-12</v>
      </c>
      <c r="CW199" s="20">
        <f t="shared" si="174"/>
        <v>2.9932409441277661E-12</v>
      </c>
      <c r="CX199" s="59">
        <f t="shared" si="196"/>
        <v>293.33333333333633</v>
      </c>
      <c r="CY199" s="59">
        <f ca="1">AVERAGE(OFFSET($CX$3,0,0,'Données projet'!$E$13+1,1))-AVERAGE(OFFSET($H$3,0,0,'Données projet'!$E$13+1,1))</f>
        <v>461.10546083340631</v>
      </c>
      <c r="CZ199" s="59">
        <f t="shared" si="208"/>
        <v>233.41883071412587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3.9529882461001975E-2</v>
      </c>
      <c r="DH199" s="21">
        <f>EXP(-LN(2)/2)*DH198+(1-EXP(-LN(2)/2))/(LN(2)/2)*DB199*DE199*VLOOKUP('Données projet'!$B$13,Paramètres!$A$1:$I$89,3,0)*0.475*44/12</f>
        <v>8.1231998760749284E-25</v>
      </c>
      <c r="DI199" s="22">
        <f t="shared" si="175"/>
        <v>3.9529882461001975E-2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-4.1500243241898714E-13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296.376932094327</v>
      </c>
      <c r="DU199" s="59">
        <f t="shared" si="209"/>
        <v>350.93658329210882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0.10080899446453558</v>
      </c>
      <c r="EB199" s="21">
        <f>EXP(-LN(2)/25)*EB198+(1-EXP(-LN(2)/25))/(LN(2)/25)*Calculateur!DW199*Calculateur!DY199*VLOOKUP('Données projet'!$B$14,Paramètres!$A$1:$I$89,3,0)*0.475*44/12</f>
        <v>0.17019842253388764</v>
      </c>
      <c r="EC199" s="21">
        <f>EXP(-LN(2)/2)*EC198+(1-EXP(-LN(2)/2))/(LN(2)/2)*DW199*DZ199*VLOOKUP('Données projet'!$B$14,Paramètres!$A$1:$I$89,3,0)*0.475*44/12</f>
        <v>2.5343147060679115E-24</v>
      </c>
      <c r="ED199" s="22">
        <f t="shared" si="178"/>
        <v>0.27100741699842323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-5.1159076974727213E-13</v>
      </c>
      <c r="EK199" s="17">
        <f>EJ199*VLOOKUP('Données projet'!$B$15,Paramètres!$A$1:$I$89,3,0)*VLOOKUP('Données projet'!$B$15,Paramètres!$A$1:$I$89,5,0)</f>
        <v>-3.3519427233841269E-13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231.03244099494077</v>
      </c>
      <c r="EP199" s="59">
        <f t="shared" si="210"/>
        <v>280.29723026390741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8.1422649375201828E-2</v>
      </c>
      <c r="EW199" s="21">
        <f>EXP(-LN(2)/25)*EW198+(1-EXP(-LN(2)/25))/(LN(2)/25)*Calculateur!ER199*Calculateur!ET199*VLOOKUP('Données projet'!$B$15,Paramètres!$A$1:$I$89,3,0)*0.475*44/12</f>
        <v>0.13746795666198589</v>
      </c>
      <c r="EX199" s="21">
        <f>EXP(-LN(2)/2)*EX198+(1-EXP(-LN(2)/2))/(LN(2)/2)*ER199*EU199*VLOOKUP('Données projet'!$B$15,Paramètres!$A$1:$I$89,3,0)*0.475*44/12</f>
        <v>2.0469464933625428E-24</v>
      </c>
      <c r="EY199" s="22">
        <f t="shared" si="181"/>
        <v>0.21889060603718771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-5.1431925385259092E-13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351.15781452544906</v>
      </c>
      <c r="T200" s="59">
        <f t="shared" si="204"/>
        <v>271.54361159160169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8.8188724785985717E-2</v>
      </c>
      <c r="AA200" s="21">
        <f>EXP(-LN(2)/25)*AA199+(1-EXP(-LN(2)/25))/(LN(2)/25)*Calculateur!V200*Calculateur!X200*VLOOKUP('Données projet'!$B$9,Paramètres!$A$1:$I$89,3,0)*0.475*44/12</f>
        <v>0.11003661630519969</v>
      </c>
      <c r="AB200" s="21">
        <f>EXP(-LN(2)/2)*AB199+(1-EXP(-LN(2)/2))/(LN(2)/2)*V200*Y200*VLOOKUP('Données projet'!$B$9,Paramètres!$A$1:$I$89,3,0)*0.475*44/12</f>
        <v>1.5758318606995319E-24</v>
      </c>
      <c r="AC200" s="22">
        <f t="shared" si="163"/>
        <v>0.19822534109118539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9.7543306765146564E-14</v>
      </c>
      <c r="AK200" s="13">
        <f t="shared" si="164"/>
        <v>1.4696264278629426E-12</v>
      </c>
      <c r="AL200" s="20">
        <f t="shared" si="165"/>
        <v>2.7294872878105889E-12</v>
      </c>
      <c r="AM200" s="59">
        <f t="shared" si="193"/>
        <v>293.33333333333604</v>
      </c>
      <c r="AN200" s="59">
        <f ca="1">AVERAGE(OFFSET($AM$3,0,0,'Données projet'!$E$10+1,1))-AVERAGE(OFFSET($H$3,0,0,'Données projet'!$E$10+1,1))</f>
        <v>405.59933429804329</v>
      </c>
      <c r="AO200" s="59">
        <f t="shared" si="205"/>
        <v>208.64922573363776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4.2729183263637713E-2</v>
      </c>
      <c r="AW200" s="21">
        <f>EXP(-LN(2)/2)*AW199+(1-EXP(-LN(2)/2))/(LN(2)/2)*AQ200*AT200*VLOOKUP('Données projet'!$B$10,Paramètres!$A$1:$I$89,3,0)*0.475*44/12</f>
        <v>5.1789890893744698E-25</v>
      </c>
      <c r="AX200" s="21">
        <f t="shared" si="166"/>
        <v>4.2729183263637713E-2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-1.0995790944434703E-13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293.19327646293601</v>
      </c>
      <c r="BJ200" s="59">
        <f t="shared" si="206"/>
        <v>200.0769581869605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3.2379946825237843E-2</v>
      </c>
      <c r="BR200" s="21">
        <f>EXP(-LN(2)/2)*BR199+(1-EXP(-LN(2)/2))/(LN(2)/2)*BL200*BO200*VLOOKUP('Données projet'!$B$11,Paramètres!$A$1:$I$89,3,0)*0.475*44/12</f>
        <v>4.8373103286728798E-25</v>
      </c>
      <c r="BS200" s="22">
        <f t="shared" si="169"/>
        <v>3.2379946825237843E-2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1.3301360013429075E-13</v>
      </c>
      <c r="CA200" s="13">
        <f t="shared" si="170"/>
        <v>1.9329766731057041E-12</v>
      </c>
      <c r="CB200" s="20">
        <f t="shared" si="171"/>
        <v>3.5982663925596575E-12</v>
      </c>
      <c r="CC200" s="59">
        <f t="shared" si="195"/>
        <v>293.3333333333369</v>
      </c>
      <c r="CD200" s="59">
        <f ca="1">AVERAGE(OFFSET($CC$3,0,0,'Données projet'!$E$12+1,1))-AVERAGE(OFFSET($H$3,0,0,'Données projet'!$E$12+1,1))</f>
        <v>295.95249585728561</v>
      </c>
      <c r="CE200" s="59">
        <f t="shared" si="207"/>
        <v>306.85862495052709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5.2945816912768534E-2</v>
      </c>
      <c r="CL200" s="21">
        <f>EXP(-LN(2)/25)*CL199+(1-EXP(-LN(2)/25))/(LN(2)/25)*Calculateur!CG200*Calculateur!CI200*VLOOKUP('Données projet'!$B$12,Paramètres!$A$1:$I$89,3,0)*0.475*44/12</f>
        <v>8.1636161339798827E-2</v>
      </c>
      <c r="CM200" s="21">
        <f>EXP(-LN(2)/2)*CM199+(1-EXP(-LN(2)/2))/(LN(2)/2)*CG200*CJ200*VLOOKUP('Données projet'!$B$12,Paramètres!$A$1:$I$89,3,0)*0.475*44/12</f>
        <v>9.5567482108635733E-25</v>
      </c>
      <c r="CN200" s="22">
        <f t="shared" si="172"/>
        <v>0.13458197825256735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1.0818439477588981E-13</v>
      </c>
      <c r="CV200" s="13">
        <f t="shared" si="173"/>
        <v>1.6104228458716316E-12</v>
      </c>
      <c r="CW200" s="20">
        <f t="shared" si="174"/>
        <v>2.9932409441277661E-12</v>
      </c>
      <c r="CX200" s="59">
        <f t="shared" si="196"/>
        <v>293.33333333333633</v>
      </c>
      <c r="CY200" s="59">
        <f ca="1">AVERAGE(OFFSET($CX$3,0,0,'Données projet'!$E$13+1,1))-AVERAGE(OFFSET($H$3,0,0,'Données projet'!$E$13+1,1))</f>
        <v>461.10546083340631</v>
      </c>
      <c r="CZ200" s="59">
        <f t="shared" si="208"/>
        <v>233.41883071412587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3.8448935746319704E-2</v>
      </c>
      <c r="DH200" s="21">
        <f>EXP(-LN(2)/2)*DH199+(1-EXP(-LN(2)/2))/(LN(2)/2)*DB200*DE200*VLOOKUP('Données projet'!$B$13,Paramètres!$A$1:$I$89,3,0)*0.475*44/12</f>
        <v>5.7439697173063046E-25</v>
      </c>
      <c r="DI200" s="22">
        <f t="shared" si="175"/>
        <v>3.8448935746319704E-2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-4.1500243241898714E-13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296.376932094327</v>
      </c>
      <c r="DU200" s="59">
        <f t="shared" si="209"/>
        <v>350.93658329210882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9.8832191570501285E-2</v>
      </c>
      <c r="EB200" s="21">
        <f>EXP(-LN(2)/25)*EB199+(1-EXP(-LN(2)/25))/(LN(2)/25)*Calculateur!DW200*Calculateur!DY200*VLOOKUP('Données projet'!$B$14,Paramètres!$A$1:$I$89,3,0)*0.475*44/12</f>
        <v>0.16554433771935245</v>
      </c>
      <c r="EC200" s="21">
        <f>EXP(-LN(2)/2)*EC199+(1-EXP(-LN(2)/2))/(LN(2)/2)*DW200*DZ200*VLOOKUP('Données projet'!$B$14,Paramètres!$A$1:$I$89,3,0)*0.475*44/12</f>
        <v>1.7920311143214122E-24</v>
      </c>
      <c r="ED200" s="22">
        <f t="shared" si="178"/>
        <v>0.26437652928985372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-5.1159076974727213E-13</v>
      </c>
      <c r="EK200" s="17">
        <f>EJ200*VLOOKUP('Données projet'!$B$15,Paramètres!$A$1:$I$89,3,0)*VLOOKUP('Données projet'!$B$15,Paramètres!$A$1:$I$89,5,0)</f>
        <v>-3.3519427233841269E-13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231.03244099494077</v>
      </c>
      <c r="EP200" s="59">
        <f t="shared" si="210"/>
        <v>280.29723026390741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7.9826000883866433E-2</v>
      </c>
      <c r="EW200" s="21">
        <f>EXP(-LN(2)/25)*EW199+(1-EXP(-LN(2)/25))/(LN(2)/25)*Calculateur!ER200*Calculateur!ET200*VLOOKUP('Données projet'!$B$15,Paramètres!$A$1:$I$89,3,0)*0.475*44/12</f>
        <v>0.13370888815793822</v>
      </c>
      <c r="EX200" s="21">
        <f>EXP(-LN(2)/2)*EX199+(1-EXP(-LN(2)/2))/(LN(2)/2)*ER200*EU200*VLOOKUP('Données projet'!$B$15,Paramètres!$A$1:$I$89,3,0)*0.475*44/12</f>
        <v>1.4474097461826783E-24</v>
      </c>
      <c r="EY200" s="22">
        <f t="shared" si="181"/>
        <v>0.21353488904180465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-5.1431925385259092E-13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351.15781452544906</v>
      </c>
      <c r="T201" s="59">
        <f t="shared" si="204"/>
        <v>271.54361159160169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8.6459397682743355E-2</v>
      </c>
      <c r="AA201" s="21">
        <f>EXP(-LN(2)/25)*AA200+(1-EXP(-LN(2)/25))/(LN(2)/25)*Calculateur!V201*Calculateur!X201*VLOOKUP('Données projet'!$B$9,Paramètres!$A$1:$I$89,3,0)*0.475*44/12</f>
        <v>0.10702765924575984</v>
      </c>
      <c r="AB201" s="21">
        <f>EXP(-LN(2)/2)*AB200+(1-EXP(-LN(2)/2))/(LN(2)/2)*V201*Y201*VLOOKUP('Données projet'!$B$9,Paramètres!$A$1:$I$89,3,0)*0.475*44/12</f>
        <v>1.1142813947104539E-24</v>
      </c>
      <c r="AC201" s="22">
        <f t="shared" si="163"/>
        <v>0.19348705692850321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9.7543306765146564E-14</v>
      </c>
      <c r="AK201" s="13">
        <f t="shared" si="164"/>
        <v>1.4696264278629426E-12</v>
      </c>
      <c r="AL201" s="20">
        <f t="shared" si="165"/>
        <v>2.7294872878105889E-12</v>
      </c>
      <c r="AM201" s="59">
        <f t="shared" si="193"/>
        <v>293.33333333333604</v>
      </c>
      <c r="AN201" s="59">
        <f ca="1">AVERAGE(OFFSET($AM$3,0,0,'Données projet'!$E$10+1,1))-AVERAGE(OFFSET($H$3,0,0,'Données projet'!$E$10+1,1))</f>
        <v>405.59933429804329</v>
      </c>
      <c r="AO201" s="59">
        <f t="shared" si="205"/>
        <v>208.64922573363776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4.1560751500263449E-2</v>
      </c>
      <c r="AW201" s="21">
        <f>EXP(-LN(2)/2)*AW200+(1-EXP(-LN(2)/2))/(LN(2)/2)*AQ201*AT201*VLOOKUP('Données projet'!$B$10,Paramètres!$A$1:$I$89,3,0)*0.475*44/12</f>
        <v>3.6620983047878303E-25</v>
      </c>
      <c r="AX201" s="21">
        <f t="shared" si="166"/>
        <v>4.1560751500263449E-2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-1.0995790944434703E-13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293.19327646293601</v>
      </c>
      <c r="BJ201" s="59">
        <f t="shared" si="206"/>
        <v>200.0769581869605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3.1494515476514315E-2</v>
      </c>
      <c r="BR201" s="21">
        <f>EXP(-LN(2)/2)*BR200+(1-EXP(-LN(2)/2))/(LN(2)/2)*BL201*BO201*VLOOKUP('Données projet'!$B$11,Paramètres!$A$1:$I$89,3,0)*0.475*44/12</f>
        <v>3.4204949361083204E-25</v>
      </c>
      <c r="BS201" s="22">
        <f t="shared" si="169"/>
        <v>3.1494515476514315E-2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1.3301360013429075E-13</v>
      </c>
      <c r="CA201" s="13">
        <f t="shared" si="170"/>
        <v>1.9329766731057041E-12</v>
      </c>
      <c r="CB201" s="20">
        <f t="shared" si="171"/>
        <v>3.5982663925596575E-12</v>
      </c>
      <c r="CC201" s="59">
        <f t="shared" si="195"/>
        <v>293.3333333333369</v>
      </c>
      <c r="CD201" s="59">
        <f ca="1">AVERAGE(OFFSET($CC$3,0,0,'Données projet'!$E$12+1,1))-AVERAGE(OFFSET($H$3,0,0,'Données projet'!$E$12+1,1))</f>
        <v>295.95249585728561</v>
      </c>
      <c r="CE201" s="59">
        <f t="shared" si="207"/>
        <v>306.85862495052709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5.1907581736868713E-2</v>
      </c>
      <c r="CL201" s="21">
        <f>EXP(-LN(2)/25)*CL200+(1-EXP(-LN(2)/25))/(LN(2)/25)*Calculateur!CG201*Calculateur!CI201*VLOOKUP('Données projet'!$B$12,Paramètres!$A$1:$I$89,3,0)*0.475*44/12</f>
        <v>7.9403816214902889E-2</v>
      </c>
      <c r="CM201" s="21">
        <f>EXP(-LN(2)/2)*CM200+(1-EXP(-LN(2)/2))/(LN(2)/2)*CG201*CJ201*VLOOKUP('Données projet'!$B$12,Paramètres!$A$1:$I$89,3,0)*0.475*44/12</f>
        <v>6.7576414659940384E-25</v>
      </c>
      <c r="CN201" s="22">
        <f t="shared" si="172"/>
        <v>0.1313113979517716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1.0818439477588981E-13</v>
      </c>
      <c r="CV201" s="13">
        <f t="shared" si="173"/>
        <v>1.6104228458716316E-12</v>
      </c>
      <c r="CW201" s="20">
        <f t="shared" si="174"/>
        <v>2.9932409441277661E-12</v>
      </c>
      <c r="CX201" s="59">
        <f t="shared" si="196"/>
        <v>293.33333333333633</v>
      </c>
      <c r="CY201" s="59">
        <f ca="1">AVERAGE(OFFSET($CX$3,0,0,'Données projet'!$E$13+1,1))-AVERAGE(OFFSET($H$3,0,0,'Données projet'!$E$13+1,1))</f>
        <v>461.10546083340631</v>
      </c>
      <c r="CZ201" s="59">
        <f t="shared" si="208"/>
        <v>233.41883071412587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3.7397547576394935E-2</v>
      </c>
      <c r="DH201" s="21">
        <f>EXP(-LN(2)/2)*DH200+(1-EXP(-LN(2)/2))/(LN(2)/2)*DB201*DE201*VLOOKUP('Données projet'!$B$13,Paramètres!$A$1:$I$89,3,0)*0.475*44/12</f>
        <v>4.0615999380374646E-25</v>
      </c>
      <c r="DI201" s="22">
        <f t="shared" si="175"/>
        <v>3.7397547576394935E-2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-4.1500243241898714E-13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296.376932094327</v>
      </c>
      <c r="DU201" s="59">
        <f t="shared" si="209"/>
        <v>350.93658329210882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9.6894152575488293E-2</v>
      </c>
      <c r="EB201" s="21">
        <f>EXP(-LN(2)/25)*EB200+(1-EXP(-LN(2)/25))/(LN(2)/25)*Calculateur!DW201*Calculateur!DY201*VLOOKUP('Données projet'!$B$14,Paramètres!$A$1:$I$89,3,0)*0.475*44/12</f>
        <v>0.1610175190988184</v>
      </c>
      <c r="EC201" s="21">
        <f>EXP(-LN(2)/2)*EC200+(1-EXP(-LN(2)/2))/(LN(2)/2)*DW201*DZ201*VLOOKUP('Données projet'!$B$14,Paramètres!$A$1:$I$89,3,0)*0.475*44/12</f>
        <v>1.2671573530339558E-24</v>
      </c>
      <c r="ED201" s="22">
        <f t="shared" si="178"/>
        <v>0.25791167167430668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-5.1159076974727213E-13</v>
      </c>
      <c r="EK201" s="17">
        <f>EJ201*VLOOKUP('Données projet'!$B$15,Paramètres!$A$1:$I$89,3,0)*VLOOKUP('Données projet'!$B$15,Paramètres!$A$1:$I$89,5,0)</f>
        <v>-3.3519427233841269E-13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231.03244099494077</v>
      </c>
      <c r="EP201" s="59">
        <f t="shared" si="210"/>
        <v>280.29723026390741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7.8260661695586708E-2</v>
      </c>
      <c r="EW201" s="21">
        <f>EXP(-LN(2)/25)*EW200+(1-EXP(-LN(2)/25))/(LN(2)/25)*Calculateur!ER201*Calculateur!ET201*VLOOKUP('Données projet'!$B$15,Paramètres!$A$1:$I$89,3,0)*0.475*44/12</f>
        <v>0.13005261157981457</v>
      </c>
      <c r="EX201" s="21">
        <f>EXP(-LN(2)/2)*EX200+(1-EXP(-LN(2)/2))/(LN(2)/2)*ER201*EU201*VLOOKUP('Données projet'!$B$15,Paramètres!$A$1:$I$89,3,0)*0.475*44/12</f>
        <v>1.0234732466812714E-24</v>
      </c>
      <c r="EY201" s="22">
        <f t="shared" si="181"/>
        <v>0.20831327327540128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-5.1431925385259092E-13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351.15781452544906</v>
      </c>
      <c r="T202" s="59">
        <f t="shared" si="204"/>
        <v>271.54361159160169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8.47639816292102E-2</v>
      </c>
      <c r="AA202" s="21">
        <f>EXP(-LN(2)/25)*AA201+(1-EXP(-LN(2)/25))/(LN(2)/25)*Calculateur!V202*Calculateur!X202*VLOOKUP('Données projet'!$B$9,Paramètres!$A$1:$I$89,3,0)*0.475*44/12</f>
        <v>0.10410098227534455</v>
      </c>
      <c r="AB202" s="21">
        <f>EXP(-LN(2)/2)*AB201+(1-EXP(-LN(2)/2))/(LN(2)/2)*V202*Y202*VLOOKUP('Données projet'!$B$9,Paramètres!$A$1:$I$89,3,0)*0.475*44/12</f>
        <v>7.8791593034976596E-25</v>
      </c>
      <c r="AC202" s="22">
        <f t="shared" si="163"/>
        <v>0.18886496390455476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9.7543306765146564E-14</v>
      </c>
      <c r="AK202" s="13">
        <f t="shared" si="164"/>
        <v>1.4696264278629426E-12</v>
      </c>
      <c r="AL202" s="20">
        <f t="shared" si="165"/>
        <v>2.7294872878105889E-12</v>
      </c>
      <c r="AM202" s="59">
        <f t="shared" si="193"/>
        <v>293.33333333333604</v>
      </c>
      <c r="AN202" s="59">
        <f ca="1">AVERAGE(OFFSET($AM$3,0,0,'Données projet'!$E$10+1,1))-AVERAGE(OFFSET($H$3,0,0,'Données projet'!$E$10+1,1))</f>
        <v>405.59933429804329</v>
      </c>
      <c r="AO202" s="59">
        <f t="shared" si="205"/>
        <v>208.64922573363776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4.0424270564903809E-2</v>
      </c>
      <c r="AW202" s="21">
        <f>EXP(-LN(2)/2)*AW201+(1-EXP(-LN(2)/2))/(LN(2)/2)*AQ202*AT202*VLOOKUP('Données projet'!$B$10,Paramètres!$A$1:$I$89,3,0)*0.475*44/12</f>
        <v>2.5894945446872349E-25</v>
      </c>
      <c r="AX202" s="21">
        <f t="shared" si="166"/>
        <v>4.0424270564903809E-2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-1.0995790944434703E-13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293.19327646293601</v>
      </c>
      <c r="BJ202" s="59">
        <f t="shared" si="206"/>
        <v>200.0769581869605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3.0633296294584444E-2</v>
      </c>
      <c r="BR202" s="21">
        <f>EXP(-LN(2)/2)*BR201+(1-EXP(-LN(2)/2))/(LN(2)/2)*BL202*BO202*VLOOKUP('Données projet'!$B$11,Paramètres!$A$1:$I$89,3,0)*0.475*44/12</f>
        <v>2.4186551643364399E-25</v>
      </c>
      <c r="BS202" s="22">
        <f t="shared" si="169"/>
        <v>3.0633296294584444E-2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1.3301360013429075E-13</v>
      </c>
      <c r="CA202" s="13">
        <f t="shared" si="170"/>
        <v>1.9329766731057041E-12</v>
      </c>
      <c r="CB202" s="20">
        <f t="shared" si="171"/>
        <v>3.5982663925596575E-12</v>
      </c>
      <c r="CC202" s="59">
        <f t="shared" si="195"/>
        <v>293.3333333333369</v>
      </c>
      <c r="CD202" s="59">
        <f ca="1">AVERAGE(OFFSET($CC$3,0,0,'Données projet'!$E$12+1,1))-AVERAGE(OFFSET($H$3,0,0,'Données projet'!$E$12+1,1))</f>
        <v>295.95249585728561</v>
      </c>
      <c r="CE202" s="59">
        <f t="shared" si="207"/>
        <v>306.85862495052709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5.0889705719507364E-2</v>
      </c>
      <c r="CL202" s="21">
        <f>EXP(-LN(2)/25)*CL201+(1-EXP(-LN(2)/25))/(LN(2)/25)*Calculateur!CG202*Calculateur!CI202*VLOOKUP('Données projet'!$B$12,Paramètres!$A$1:$I$89,3,0)*0.475*44/12</f>
        <v>7.7232514684841158E-2</v>
      </c>
      <c r="CM202" s="21">
        <f>EXP(-LN(2)/2)*CM201+(1-EXP(-LN(2)/2))/(LN(2)/2)*CG202*CJ202*VLOOKUP('Données projet'!$B$12,Paramètres!$A$1:$I$89,3,0)*0.475*44/12</f>
        <v>4.7783741054317866E-25</v>
      </c>
      <c r="CN202" s="22">
        <f t="shared" si="172"/>
        <v>0.12812222040434851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1.0818439477588981E-13</v>
      </c>
      <c r="CV202" s="13">
        <f t="shared" si="173"/>
        <v>1.6104228458716316E-12</v>
      </c>
      <c r="CW202" s="20">
        <f t="shared" si="174"/>
        <v>2.9932409441277661E-12</v>
      </c>
      <c r="CX202" s="59">
        <f t="shared" si="196"/>
        <v>293.33333333333633</v>
      </c>
      <c r="CY202" s="59">
        <f ca="1">AVERAGE(OFFSET($CX$3,0,0,'Données projet'!$E$13+1,1))-AVERAGE(OFFSET($H$3,0,0,'Données projet'!$E$13+1,1))</f>
        <v>461.10546083340631</v>
      </c>
      <c r="CZ202" s="59">
        <f t="shared" si="208"/>
        <v>233.41883071412587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3.6374909671266858E-2</v>
      </c>
      <c r="DH202" s="21">
        <f>EXP(-LN(2)/2)*DH201+(1-EXP(-LN(2)/2))/(LN(2)/2)*DB202*DE202*VLOOKUP('Données projet'!$B$13,Paramètres!$A$1:$I$89,3,0)*0.475*44/12</f>
        <v>2.8719848586531528E-25</v>
      </c>
      <c r="DI202" s="22">
        <f t="shared" si="175"/>
        <v>3.6374909671266858E-2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-4.1500243241898714E-13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296.376932094327</v>
      </c>
      <c r="DU202" s="59">
        <f t="shared" si="209"/>
        <v>350.93658329210882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9.4994117343080442E-2</v>
      </c>
      <c r="EB202" s="21">
        <f>EXP(-LN(2)/25)*EB201+(1-EXP(-LN(2)/25))/(LN(2)/25)*Calculateur!DW202*Calculateur!DY202*VLOOKUP('Données projet'!$B$14,Paramètres!$A$1:$I$89,3,0)*0.475*44/12</f>
        <v>0.15661448657151789</v>
      </c>
      <c r="EC202" s="21">
        <f>EXP(-LN(2)/2)*EC201+(1-EXP(-LN(2)/2))/(LN(2)/2)*DW202*DZ202*VLOOKUP('Données projet'!$B$14,Paramètres!$A$1:$I$89,3,0)*0.475*44/12</f>
        <v>8.9601555716070609E-25</v>
      </c>
      <c r="ED202" s="22">
        <f t="shared" si="178"/>
        <v>0.25160860391459833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-5.1159076974727213E-13</v>
      </c>
      <c r="EK202" s="17">
        <f>EJ202*VLOOKUP('Données projet'!$B$15,Paramètres!$A$1:$I$89,3,0)*VLOOKUP('Données projet'!$B$15,Paramètres!$A$1:$I$89,5,0)</f>
        <v>-3.3519427233841269E-13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231.03244099494077</v>
      </c>
      <c r="EP202" s="59">
        <f t="shared" si="210"/>
        <v>280.29723026390741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7.6726017854026524E-2</v>
      </c>
      <c r="EW202" s="21">
        <f>EXP(-LN(2)/25)*EW201+(1-EXP(-LN(2)/25))/(LN(2)/25)*Calculateur!ER202*Calculateur!ET202*VLOOKUP('Données projet'!$B$15,Paramètres!$A$1:$I$89,3,0)*0.475*44/12</f>
        <v>0.12649631607699494</v>
      </c>
      <c r="EX202" s="21">
        <f>EXP(-LN(2)/2)*EX201+(1-EXP(-LN(2)/2))/(LN(2)/2)*ER202*EU202*VLOOKUP('Données projet'!$B$15,Paramètres!$A$1:$I$89,3,0)*0.475*44/12</f>
        <v>7.2370487309133917E-25</v>
      </c>
      <c r="EY202" s="22">
        <f t="shared" si="181"/>
        <v>0.20322233393102146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-5.1431925385259092E-13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351.15781452544906</v>
      </c>
      <c r="T203" s="59">
        <f t="shared" si="204"/>
        <v>271.54361159160169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8.3101811650385146E-2</v>
      </c>
      <c r="AA203" s="21">
        <f>EXP(-LN(2)/25)*AA202+(1-EXP(-LN(2)/25))/(LN(2)/25)*Calculateur!V203*Calculateur!X203*VLOOKUP('Données projet'!$B$9,Paramètres!$A$1:$I$89,3,0)*0.475*44/12</f>
        <v>0.10125433544059252</v>
      </c>
      <c r="AB203" s="21">
        <f>EXP(-LN(2)/2)*AB202+(1-EXP(-LN(2)/2))/(LN(2)/2)*V203*Y203*VLOOKUP('Données projet'!$B$9,Paramètres!$A$1:$I$89,3,0)*0.475*44/12</f>
        <v>5.5714069735522697E-25</v>
      </c>
      <c r="AC203" s="22">
        <f t="shared" si="163"/>
        <v>0.18435614709097767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9.7543306765146564E-14</v>
      </c>
      <c r="AK203" s="13">
        <f t="shared" si="164"/>
        <v>1.4696264278629426E-12</v>
      </c>
      <c r="AL203" s="20">
        <f t="shared" si="165"/>
        <v>2.7294872878105889E-12</v>
      </c>
      <c r="AM203" s="59">
        <f t="shared" si="193"/>
        <v>293.33333333333604</v>
      </c>
      <c r="AN203" s="59">
        <f ca="1">AVERAGE(OFFSET($AM$3,0,0,'Données projet'!$E$10+1,1))-AVERAGE(OFFSET($H$3,0,0,'Données projet'!$E$10+1,1))</f>
        <v>405.59933429804329</v>
      </c>
      <c r="AO203" s="59">
        <f t="shared" si="205"/>
        <v>208.64922573363776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3.9318866760486515E-2</v>
      </c>
      <c r="AW203" s="21">
        <f>EXP(-LN(2)/2)*AW202+(1-EXP(-LN(2)/2))/(LN(2)/2)*AQ203*AT203*VLOOKUP('Données projet'!$B$10,Paramètres!$A$1:$I$89,3,0)*0.475*44/12</f>
        <v>1.8310491523939152E-25</v>
      </c>
      <c r="AX203" s="21">
        <f t="shared" si="166"/>
        <v>3.9318866760486515E-2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-1.0995790944434703E-13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293.19327646293601</v>
      </c>
      <c r="BJ203" s="59">
        <f t="shared" si="206"/>
        <v>200.0769581869605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2.9795627196473995E-2</v>
      </c>
      <c r="BR203" s="21">
        <f>EXP(-LN(2)/2)*BR202+(1-EXP(-LN(2)/2))/(LN(2)/2)*BL203*BO203*VLOOKUP('Données projet'!$B$11,Paramètres!$A$1:$I$89,3,0)*0.475*44/12</f>
        <v>1.7102474680541602E-25</v>
      </c>
      <c r="BS203" s="22">
        <f t="shared" si="169"/>
        <v>2.9795627196473995E-2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1.3301360013429075E-13</v>
      </c>
      <c r="CA203" s="13">
        <f t="shared" si="170"/>
        <v>1.9329766731057041E-12</v>
      </c>
      <c r="CB203" s="20">
        <f t="shared" si="171"/>
        <v>3.5982663925596575E-12</v>
      </c>
      <c r="CC203" s="59">
        <f t="shared" si="195"/>
        <v>293.3333333333369</v>
      </c>
      <c r="CD203" s="59">
        <f ca="1">AVERAGE(OFFSET($CC$3,0,0,'Données projet'!$E$12+1,1))-AVERAGE(OFFSET($H$3,0,0,'Données projet'!$E$12+1,1))</f>
        <v>295.95249585728561</v>
      </c>
      <c r="CE203" s="59">
        <f t="shared" si="207"/>
        <v>306.85862495052709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4.9891789630003403E-2</v>
      </c>
      <c r="CL203" s="21">
        <f>EXP(-LN(2)/25)*CL202+(1-EXP(-LN(2)/25))/(LN(2)/25)*Calculateur!CG203*Calculateur!CI203*VLOOKUP('Données projet'!$B$12,Paramètres!$A$1:$I$89,3,0)*0.475*44/12</f>
        <v>7.5120587509302741E-2</v>
      </c>
      <c r="CM203" s="21">
        <f>EXP(-LN(2)/2)*CM202+(1-EXP(-LN(2)/2))/(LN(2)/2)*CG203*CJ203*VLOOKUP('Données projet'!$B$12,Paramètres!$A$1:$I$89,3,0)*0.475*44/12</f>
        <v>3.3788207329970192E-25</v>
      </c>
      <c r="CN203" s="22">
        <f t="shared" si="172"/>
        <v>0.12501237713930613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1.0818439477588981E-13</v>
      </c>
      <c r="CV203" s="13">
        <f t="shared" si="173"/>
        <v>1.6104228458716316E-12</v>
      </c>
      <c r="CW203" s="20">
        <f t="shared" si="174"/>
        <v>2.9932409441277661E-12</v>
      </c>
      <c r="CX203" s="59">
        <f t="shared" si="196"/>
        <v>293.33333333333633</v>
      </c>
      <c r="CY203" s="59">
        <f ca="1">AVERAGE(OFFSET($CX$3,0,0,'Données projet'!$E$13+1,1))-AVERAGE(OFFSET($H$3,0,0,'Données projet'!$E$13+1,1))</f>
        <v>461.10546083340631</v>
      </c>
      <c r="CZ203" s="59">
        <f t="shared" si="208"/>
        <v>233.41883071412587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3.5380235853432702E-2</v>
      </c>
      <c r="DH203" s="21">
        <f>EXP(-LN(2)/2)*DH202+(1-EXP(-LN(2)/2))/(LN(2)/2)*DB203*DE203*VLOOKUP('Données projet'!$B$13,Paramètres!$A$1:$I$89,3,0)*0.475*44/12</f>
        <v>2.0307999690187325E-25</v>
      </c>
      <c r="DI203" s="22">
        <f t="shared" si="175"/>
        <v>3.5380235853432702E-2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-4.1500243241898714E-13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296.376932094327</v>
      </c>
      <c r="DU203" s="59">
        <f t="shared" si="209"/>
        <v>350.93658329210882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9.3131340642673047E-2</v>
      </c>
      <c r="EB203" s="21">
        <f>EXP(-LN(2)/25)*EB202+(1-EXP(-LN(2)/25))/(LN(2)/25)*Calculateur!DW203*Calculateur!DY203*VLOOKUP('Données projet'!$B$14,Paramètres!$A$1:$I$89,3,0)*0.475*44/12</f>
        <v>0.15233185520022183</v>
      </c>
      <c r="EC203" s="21">
        <f>EXP(-LN(2)/2)*EC202+(1-EXP(-LN(2)/2))/(LN(2)/2)*DW203*DZ203*VLOOKUP('Données projet'!$B$14,Paramètres!$A$1:$I$89,3,0)*0.475*44/12</f>
        <v>6.3357867651697788E-25</v>
      </c>
      <c r="ED203" s="22">
        <f t="shared" si="178"/>
        <v>0.24546319584289489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-5.1159076974727213E-13</v>
      </c>
      <c r="EK203" s="17">
        <f>EJ203*VLOOKUP('Données projet'!$B$15,Paramètres!$A$1:$I$89,3,0)*VLOOKUP('Données projet'!$B$15,Paramètres!$A$1:$I$89,5,0)</f>
        <v>-3.3519427233841269E-13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231.03244099494077</v>
      </c>
      <c r="EP203" s="59">
        <f t="shared" si="210"/>
        <v>280.29723026390741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7.5221467442159018E-2</v>
      </c>
      <c r="EW203" s="21">
        <f>EXP(-LN(2)/25)*EW202+(1-EXP(-LN(2)/25))/(LN(2)/25)*Calculateur!ER203*Calculateur!ET203*VLOOKUP('Données projet'!$B$15,Paramètres!$A$1:$I$89,3,0)*0.475*44/12</f>
        <v>0.12303726766171735</v>
      </c>
      <c r="EX203" s="21">
        <f>EXP(-LN(2)/2)*EX202+(1-EXP(-LN(2)/2))/(LN(2)/2)*ER203*EU203*VLOOKUP('Données projet'!$B$15,Paramètres!$A$1:$I$89,3,0)*0.475*44/12</f>
        <v>5.1173662334063571E-25</v>
      </c>
      <c r="EY203" s="22">
        <f t="shared" si="181"/>
        <v>0.19825873510387637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1.189207115002721</v>
      </c>
      <c r="BA205" s="82">
        <f>EXP(LN('Données projet'!B88)/'Données projet'!A88)</f>
        <v>1.2054868146447177</v>
      </c>
      <c r="BV205" s="82">
        <f>EXP(LN('Données projet'!B114)/'Données projet'!A114)</f>
        <v>1.2688471048731957</v>
      </c>
      <c r="CQ205" s="82">
        <f>EXP(LN('Données projet'!B140)/'Données projet'!A140)</f>
        <v>1.189207115002721</v>
      </c>
      <c r="DL205" s="82">
        <f>EXP(LN('Données projet'!B166)/'Données projet'!A166)</f>
        <v>1.2709816152101407</v>
      </c>
      <c r="EG205" s="82">
        <f>EXP(LN('Données projet'!B192)/'Données projet'!A192)</f>
        <v>1.2709816152101407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R152" sqref="R15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1.1032000000000002</v>
      </c>
      <c r="C6" s="147">
        <f ca="1">IF(OR('Données projet'!B9="",'Données projet'!C9="",'Données projet'!C9=0%),0,Calculateur!S3)</f>
        <v>351.15781452544906</v>
      </c>
      <c r="D6" s="147">
        <f>IF(OR('Données projet'!B9="",'Données projet'!C9="",'Données projet'!C9=0%),0,Calculateur!T3)</f>
        <v>271.54361159160169</v>
      </c>
      <c r="E6" s="147">
        <f ca="1">MIN(C6,D6)</f>
        <v>271.54361159160169</v>
      </c>
      <c r="F6" s="147">
        <f ca="1">E6*B6</f>
        <v>299.56691230785503</v>
      </c>
      <c r="G6" s="147">
        <f ca="1">F6*(100%-'Données projet'!$C$24)*(100%-'Données projet'!$C$25)*(100%-'Données projet'!$C$26)*(100%-'Données projet'!$C$27)</f>
        <v>269.61022107706953</v>
      </c>
      <c r="H6" s="148">
        <f>IF(OR('Données projet'!B9="",'Données projet'!C9="",'Données projet'!C9=0%),0,AVERAGE(Calculateur!$AC$3:$AC$33)*B6)</f>
        <v>1.6074866190774262</v>
      </c>
      <c r="I6" s="149">
        <f>H6*(100%-'Données projet'!$C$24)*(100%-'Données projet'!$C$25)*(100%-'Données projet'!$C$26)*(100%-'Données projet'!$C$27)</f>
        <v>1.4467379571696837</v>
      </c>
      <c r="J6" s="150">
        <f>IF(OR('Données projet'!B9="",'Données projet'!C9="",'Données projet'!C9=0%),0,SUM(Calculateur!$V$3:$V$33)*VLOOKUP('Données projet'!$B$9,Paramètres!$A$1:$I$89,9,0)*B6)</f>
        <v>17.099600000000002</v>
      </c>
      <c r="K6" s="151">
        <f>J6*(100%-'Données projet'!$C$24)*(100%-'Données projet'!$C$25)*(100%-'Données projet'!$C$26)*(100%-'Données projet'!$C$27)</f>
        <v>15.389640000000002</v>
      </c>
      <c r="L6" s="152">
        <f ca="1">G6+I6+K6</f>
        <v>286.44659903423917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Hêtre</v>
      </c>
      <c r="B7" s="154">
        <f>'Données projet'!D10</f>
        <v>1.1032000000000002</v>
      </c>
      <c r="C7" s="147">
        <f ca="1">IF(OR('Données projet'!B10="",'Données projet'!C10="",'Données projet'!C10=0%),0,Calculateur!AN3)</f>
        <v>405.59933429804329</v>
      </c>
      <c r="D7" s="147">
        <f>IF(OR('Données projet'!B10="",'Données projet'!C10="",'Données projet'!C10=0%),0,Calculateur!AO3)</f>
        <v>208.64922573363776</v>
      </c>
      <c r="E7" s="147">
        <f t="shared" ref="E7:E15" ca="1" si="0">MIN(C7,D7)</f>
        <v>208.64922573363776</v>
      </c>
      <c r="F7" s="147">
        <f t="shared" ref="F7:F15" ca="1" si="1">E7*B7</f>
        <v>230.18182582934921</v>
      </c>
      <c r="G7" s="147">
        <f ca="1">F7*(100%-'Données projet'!$C$24)*(100%-'Données projet'!$C$25)*(100%-'Données projet'!$C$26)*(100%-'Données projet'!$C$27)</f>
        <v>207.1636432464143</v>
      </c>
      <c r="H7" s="155">
        <f>IF(OR('Données projet'!B10="",'Données projet'!C10="",'Données projet'!C10=0%),0,AVERAGE(Calculateur!$AX$3:$AX$33)*B7)</f>
        <v>0.40800066228924553</v>
      </c>
      <c r="I7" s="149">
        <f>H7*(100%-'Données projet'!$C$24)*(100%-'Données projet'!$C$25)*(100%-'Données projet'!$C$26)*(100%-'Données projet'!$C$27)</f>
        <v>0.36720059606032096</v>
      </c>
      <c r="J7" s="150">
        <f>IF(OR('Données projet'!B10="",'Données projet'!C10="",'Données projet'!C10=0%),0,SUM(Calculateur!$AQ$3:$AQ$33)*VLOOKUP('Données projet'!$B$10,Paramètres!$A$1:$I$89,9,0)*B7)</f>
        <v>9.6530000000000022</v>
      </c>
      <c r="K7" s="151">
        <f>J7*(100%-'Données projet'!$C$24)*(100%-'Données projet'!$C$25)*(100%-'Données projet'!$C$26)*(100%-'Données projet'!$C$27)</f>
        <v>8.6877000000000031</v>
      </c>
      <c r="L7" s="152">
        <f t="shared" ref="L7:L15" ca="1" si="2">G7+I7+K7</f>
        <v>216.21854384247462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Alisier torminal</v>
      </c>
      <c r="B8" s="154">
        <f>'Données projet'!D11</f>
        <v>0.39400000000000002</v>
      </c>
      <c r="C8" s="147">
        <f ca="1">IF(OR('Données projet'!B11="",'Données projet'!C11="",'Données projet'!C11=0%),0,Calculateur!BI3)</f>
        <v>293.19327646293601</v>
      </c>
      <c r="D8" s="147">
        <f>IF(OR('Données projet'!B11="",'Données projet'!C11="",'Données projet'!C11=0%),0,Calculateur!BJ3)</f>
        <v>200.0769581869605</v>
      </c>
      <c r="E8" s="147">
        <f t="shared" ca="1" si="0"/>
        <v>200.0769581869605</v>
      </c>
      <c r="F8" s="147">
        <f t="shared" ca="1" si="1"/>
        <v>78.830321525662441</v>
      </c>
      <c r="G8" s="147">
        <f ca="1">F8*(100%-'Données projet'!$C$24)*(100%-'Données projet'!$C$25)*(100%-'Données projet'!$C$26)*(100%-'Données projet'!$C$27)</f>
        <v>70.947289373096197</v>
      </c>
      <c r="H8" s="155">
        <f>IF(OR('Données projet'!B11="",'Données projet'!C11="",'Données projet'!C11=0%),0,AVERAGE(Calculateur!$BS$3:$BS$33)*B8)</f>
        <v>0.12628767912433872</v>
      </c>
      <c r="I8" s="149">
        <f>H8*(100%-'Données projet'!$C$24)*(100%-'Données projet'!$C$25)*(100%-'Données projet'!$C$26)*(100%-'Données projet'!$C$27)</f>
        <v>0.11365891121190486</v>
      </c>
      <c r="J8" s="150">
        <f>IF(OR('Données projet'!B11="",'Données projet'!C11="",'Données projet'!C11=0%),0,SUM(Calculateur!$BL$3:$BL$33)*VLOOKUP('Données projet'!$B$11,Paramètres!$A$1:$I$89,9,0)*B8)</f>
        <v>2.8565</v>
      </c>
      <c r="K8" s="151">
        <f>J8*(100%-'Données projet'!$C$24)*(100%-'Données projet'!$C$25)*(100%-'Données projet'!$C$26)*(100%-'Données projet'!$C$27)</f>
        <v>2.5708500000000001</v>
      </c>
      <c r="L8" s="152">
        <f t="shared" ca="1" si="2"/>
        <v>73.631798284308104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Merisier</v>
      </c>
      <c r="B9" s="154">
        <f>'Données projet'!D12</f>
        <v>0.39400000000000002</v>
      </c>
      <c r="C9" s="147">
        <f ca="1">IF(OR('Données projet'!B12="",'Données projet'!C12="",'Données projet'!C12=0%),0,Calculateur!CD3)</f>
        <v>295.95249585728561</v>
      </c>
      <c r="D9" s="147">
        <f>IF(OR('Données projet'!B12="",'Données projet'!C12="",'Données projet'!C12=0%),0,Calculateur!CE3)</f>
        <v>306.85862495052709</v>
      </c>
      <c r="E9" s="147">
        <f t="shared" ca="1" si="0"/>
        <v>295.95249585728561</v>
      </c>
      <c r="F9" s="147">
        <f t="shared" ca="1" si="1"/>
        <v>116.60528336777054</v>
      </c>
      <c r="G9" s="147">
        <f ca="1">F9*(100%-'Données projet'!$C$24)*(100%-'Données projet'!$C$25)*(100%-'Données projet'!$C$26)*(100%-'Données projet'!$C$27)</f>
        <v>104.94475503099349</v>
      </c>
      <c r="H9" s="155">
        <f>IF(OR('Données projet'!B12="",'Données projet'!C12="",'Données projet'!C12=0%),0,AVERAGE(Calculateur!$CN$3:$CN$33)*B9)</f>
        <v>0.78028668110845933</v>
      </c>
      <c r="I9" s="149">
        <f>H9*(100%-'Données projet'!$C$24)*(100%-'Données projet'!$C$25)*(100%-'Données projet'!$C$26)*(100%-'Données projet'!$C$27)</f>
        <v>0.70225801299761337</v>
      </c>
      <c r="J9" s="150">
        <f>IF(OR('Données projet'!B12="",'Données projet'!C12="",'Données projet'!C12=0%),0,SUM(Calculateur!$CG$3:$CG$33)*VLOOKUP('Données projet'!$B$12,Paramètres!$A$1:$I$89,9,0)*B9)</f>
        <v>6.5010000000000003</v>
      </c>
      <c r="K9" s="151">
        <f>J9*(100%-'Données projet'!$C$24)*(100%-'Données projet'!$C$25)*(100%-'Données projet'!$C$26)*(100%-'Données projet'!$C$27)</f>
        <v>5.8509000000000002</v>
      </c>
      <c r="L9" s="152">
        <f t="shared" ca="1" si="2"/>
        <v>111.4979130439911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Charme</v>
      </c>
      <c r="B10" s="154">
        <f>'Données projet'!D13</f>
        <v>0.39400000000000002</v>
      </c>
      <c r="C10" s="147">
        <f ca="1">IF(OR('Données projet'!B13="",'Données projet'!C13="",'Données projet'!C13=0%),0,Calculateur!CY3)</f>
        <v>461.10546083340631</v>
      </c>
      <c r="D10" s="147">
        <f>IF(OR('Données projet'!B13="",'Données projet'!C13="",'Données projet'!C13=0%),0,Calculateur!CZ3)</f>
        <v>233.41883071412587</v>
      </c>
      <c r="E10" s="147">
        <f t="shared" ca="1" si="0"/>
        <v>233.41883071412587</v>
      </c>
      <c r="F10" s="147">
        <f t="shared" ca="1" si="1"/>
        <v>91.967019301365596</v>
      </c>
      <c r="G10" s="147">
        <f ca="1">F10*(100%-'Données projet'!$C$24)*(100%-'Données projet'!$C$25)*(100%-'Données projet'!$C$26)*(100%-'Données projet'!$C$27)</f>
        <v>82.770317371229041</v>
      </c>
      <c r="H10" s="155">
        <f>IF(OR('Données projet'!B13="",'Données projet'!C13="",'Données projet'!C13=0%),0,AVERAGE(Calculateur!$DI$3:$DI$33)*B10)</f>
        <v>0.14995783922717645</v>
      </c>
      <c r="I10" s="149">
        <f>H10*(100%-'Données projet'!$C$24)*(100%-'Données projet'!$C$25)*(100%-'Données projet'!$C$26)*(100%-'Données projet'!$C$27)</f>
        <v>0.13496205530445882</v>
      </c>
      <c r="J10" s="150">
        <f>IF(OR('Données projet'!B13="",'Données projet'!C13="",'Données projet'!C13=0%),0,SUM(Calculateur!$DB$3:$DB$33)*VLOOKUP('Données projet'!$B$13,Paramètres!$A$1:$I$89,9,0)*B10)</f>
        <v>3.4475000000000002</v>
      </c>
      <c r="K10" s="151">
        <f>J10*(100%-'Données projet'!$C$24)*(100%-'Données projet'!$C$25)*(100%-'Données projet'!$C$26)*(100%-'Données projet'!$C$27)</f>
        <v>3.1027500000000003</v>
      </c>
      <c r="L10" s="152">
        <f t="shared" ca="1" si="2"/>
        <v>86.008029426533497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Bouleau verruqueux</v>
      </c>
      <c r="B11" s="154">
        <f>'Données projet'!D14</f>
        <v>0.39400000000000002</v>
      </c>
      <c r="C11" s="147">
        <f ca="1">IF(OR('Données projet'!B14="",'Données projet'!C14="",'Données projet'!C14=0%),0,Calculateur!DT3)</f>
        <v>296.376932094327</v>
      </c>
      <c r="D11" s="147">
        <f>IF(OR('Données projet'!B14="",'Données projet'!C14="",'Données projet'!C14=0%),0,Calculateur!DU3)</f>
        <v>350.93658329210882</v>
      </c>
      <c r="E11" s="147">
        <f t="shared" ca="1" si="0"/>
        <v>296.376932094327</v>
      </c>
      <c r="F11" s="147">
        <f t="shared" ca="1" si="1"/>
        <v>116.77251124516485</v>
      </c>
      <c r="G11" s="147">
        <f ca="1">F11*(100%-'Données projet'!$C$24)*(100%-'Données projet'!$C$25)*(100%-'Données projet'!$C$26)*(100%-'Données projet'!$C$27)</f>
        <v>105.09526012064836</v>
      </c>
      <c r="H11" s="155">
        <f>IF(OR('Données projet'!B14="",'Données projet'!C14="",'Données projet'!C14=0%),0,AVERAGE(Calculateur!$ED$3:$ED$33)*B11)</f>
        <v>1.8245498581130282</v>
      </c>
      <c r="I11" s="149">
        <f>H11*(100%-'Données projet'!$C$24)*(100%-'Données projet'!$C$25)*(100%-'Données projet'!$C$26)*(100%-'Données projet'!$C$27)</f>
        <v>1.6420948723017255</v>
      </c>
      <c r="J11" s="150">
        <f>IF(OR('Données projet'!B14="",'Données projet'!C14="",'Données projet'!C14=0%),0,SUM(Calculateur!$DW$3:$DW$33)*VLOOKUP('Données projet'!$B$14,Paramètres!$A$1:$I$89,9,0)*B11)</f>
        <v>13.4945</v>
      </c>
      <c r="K11" s="151">
        <f>J11*(100%-'Données projet'!$C$24)*(100%-'Données projet'!$C$25)*(100%-'Données projet'!$C$26)*(100%-'Données projet'!$C$27)</f>
        <v>12.145050000000001</v>
      </c>
      <c r="L11" s="152">
        <f t="shared" ca="1" si="2"/>
        <v>118.88240499295009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Aulne glutineux</v>
      </c>
      <c r="B12" s="154">
        <f>'Données projet'!D15</f>
        <v>0.15759999999999999</v>
      </c>
      <c r="C12" s="147">
        <f ca="1">IF(OR('Données projet'!B15="",'Données projet'!C15="",'Données projet'!C15=0%),0,Calculateur!EO3)</f>
        <v>231.03244099494077</v>
      </c>
      <c r="D12" s="147">
        <f>IF(OR('Données projet'!B15="",'Données projet'!C15="",'Données projet'!C15=0%),0,Calculateur!EP3)</f>
        <v>280.29723026390741</v>
      </c>
      <c r="E12" s="147">
        <f t="shared" ca="1" si="0"/>
        <v>231.03244099494077</v>
      </c>
      <c r="F12" s="147">
        <f t="shared" ca="1" si="1"/>
        <v>36.410712700802662</v>
      </c>
      <c r="G12" s="147">
        <f ca="1">F12*(100%-'Données projet'!$C$24)*(100%-'Données projet'!$C$25)*(100%-'Données projet'!$C$26)*(100%-'Données projet'!$C$27)</f>
        <v>32.769641430722395</v>
      </c>
      <c r="H12" s="155">
        <f>IF(OR('Données projet'!B15="",'Données projet'!C15="",'Données projet'!C15=0%),0,AVERAGE(Calculateur!$EY$3:$EY$33)*B12)</f>
        <v>0.58946995415959347</v>
      </c>
      <c r="I12" s="149">
        <f>H12*(100%-'Données projet'!$C$24)*(100%-'Données projet'!$C$25)*(100%-'Données projet'!$C$26)*(100%-'Données projet'!$C$27)</f>
        <v>0.53052295874363409</v>
      </c>
      <c r="J12" s="150">
        <f>IF(OR('Données projet'!B15="",'Données projet'!C15="",'Données projet'!C15=0%),0,SUM(Calculateur!$ER$3:$ER$33)*VLOOKUP('Données projet'!$B$15,Paramètres!$A$1:$I$89,9,0)*B12)</f>
        <v>5.3977999999999993</v>
      </c>
      <c r="K12" s="151">
        <f>J12*(100%-'Données projet'!$C$24)*(100%-'Données projet'!$C$25)*(100%-'Données projet'!$C$26)*(100%-'Données projet'!$C$27)</f>
        <v>4.8580199999999998</v>
      </c>
      <c r="L12" s="152">
        <f t="shared" ca="1" si="2"/>
        <v>38.15818438946603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970.3345862779704</v>
      </c>
      <c r="G16" s="166">
        <f t="shared" ca="1" si="3"/>
        <v>873.30112765017327</v>
      </c>
      <c r="H16" s="167">
        <f t="shared" si="3"/>
        <v>5.4860392930992674</v>
      </c>
      <c r="I16" s="167">
        <f t="shared" si="3"/>
        <v>4.9374353637893416</v>
      </c>
      <c r="J16" s="168">
        <f t="shared" si="3"/>
        <v>58.4499</v>
      </c>
      <c r="K16" s="168">
        <f t="shared" si="3"/>
        <v>52.604910000000004</v>
      </c>
      <c r="L16" s="169">
        <f t="shared" ca="1" si="3"/>
        <v>930.84347301396269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Hêtre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Bouleau verruqueux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Aulne glutineux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fitToHeight="0" orientation="portrait" r:id="rId1"/>
  <rowBreaks count="2" manualBreakCount="2">
    <brk id="74" max="16383" man="1"/>
    <brk id="14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54" zoomScale="80" zoomScaleNormal="80" workbookViewId="0">
      <selection activeCell="C116" sqref="C116:C1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-5360.4554321737296</v>
      </c>
      <c r="U10" s="178">
        <f>'Données projet'!D9</f>
        <v>1.1032000000000002</v>
      </c>
      <c r="V10" s="177">
        <f>U10*T10</f>
        <v>-5913.6544327740594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Hêtre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-4214.2596593400585</v>
      </c>
      <c r="U11" s="178">
        <f>'Données projet'!D10</f>
        <v>1.1032000000000002</v>
      </c>
      <c r="V11" s="177">
        <f t="shared" ref="V11" si="0">U11*T11</f>
        <v>-4649.1712561839531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Alisier torminal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-4178.3576172419462</v>
      </c>
      <c r="U12" s="178">
        <f>'Données projet'!D11</f>
        <v>0.39400000000000002</v>
      </c>
      <c r="V12" s="177">
        <f t="shared" ref="V12:V19" si="1">U12*T12</f>
        <v>-1646.2729011933268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-1831.163985907664</v>
      </c>
      <c r="U13" s="178">
        <f>'Données projet'!D12</f>
        <v>0.39400000000000002</v>
      </c>
      <c r="V13" s="177">
        <f t="shared" si="1"/>
        <v>-721.47861044761964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-4457.3557093070785</v>
      </c>
      <c r="U14" s="178">
        <f>'Données projet'!D13</f>
        <v>0.39400000000000002</v>
      </c>
      <c r="V14" s="177">
        <f t="shared" si="1"/>
        <v>-1756.198149466989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Bouleau verruqueux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-3787.0163969198243</v>
      </c>
      <c r="U15" s="178">
        <f>'Données projet'!D14</f>
        <v>0.39400000000000002</v>
      </c>
      <c r="V15" s="177">
        <f t="shared" si="1"/>
        <v>-1492.0844603864109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Aulne glutineux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-3744.0163969198243</v>
      </c>
      <c r="U16" s="178">
        <f>'Données projet'!D15</f>
        <v>0.15759999999999999</v>
      </c>
      <c r="V16" s="177">
        <f t="shared" si="1"/>
        <v>-590.05698415456425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6435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360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819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1</v>
      </c>
      <c r="I22" s="191"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6</v>
      </c>
      <c r="C23" s="193">
        <v>8</v>
      </c>
      <c r="D23" s="182">
        <f>B23*C23</f>
        <v>48</v>
      </c>
      <c r="E23" s="193"/>
      <c r="F23" s="230"/>
      <c r="H23" s="190">
        <v>2</v>
      </c>
      <c r="I23" s="191">
        <v>450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-27841.72611316706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10</v>
      </c>
      <c r="D24" s="182">
        <f t="shared" ref="D24:D42" si="2">B24*C24</f>
        <v>560</v>
      </c>
      <c r="E24" s="193"/>
      <c r="F24" s="233"/>
      <c r="H24" s="190">
        <v>3</v>
      </c>
      <c r="I24" s="191">
        <v>500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157.79700916463875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12</v>
      </c>
      <c r="D25" s="182">
        <f t="shared" si="2"/>
        <v>672</v>
      </c>
      <c r="E25" s="193"/>
      <c r="F25" s="233"/>
      <c r="H25" s="190">
        <v>5</v>
      </c>
      <c r="I25" s="191">
        <v>600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-27999.523122331699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56</v>
      </c>
      <c r="C26" s="193">
        <v>20</v>
      </c>
      <c r="D26" s="182">
        <f t="shared" si="2"/>
        <v>1120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56</v>
      </c>
      <c r="C27" s="193">
        <v>25</v>
      </c>
      <c r="D27" s="182">
        <f t="shared" si="2"/>
        <v>1400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56</v>
      </c>
      <c r="C28" s="193">
        <v>30</v>
      </c>
      <c r="D28" s="182">
        <f t="shared" si="2"/>
        <v>1680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56</v>
      </c>
      <c r="C29" s="193">
        <v>35</v>
      </c>
      <c r="D29" s="182">
        <f t="shared" si="2"/>
        <v>1960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56</v>
      </c>
      <c r="C30" s="193">
        <v>40</v>
      </c>
      <c r="D30" s="182">
        <f t="shared" si="2"/>
        <v>2240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55</v>
      </c>
      <c r="C31" s="193">
        <v>50</v>
      </c>
      <c r="D31" s="182">
        <f t="shared" si="2"/>
        <v>2750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51</v>
      </c>
      <c r="C32" s="193">
        <v>60</v>
      </c>
      <c r="D32" s="182">
        <f t="shared" si="2"/>
        <v>3060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361</v>
      </c>
      <c r="C33" s="193">
        <v>180</v>
      </c>
      <c r="D33" s="182">
        <f t="shared" si="2"/>
        <v>64980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Hêtre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5153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35</v>
      </c>
      <c r="C55" s="191">
        <v>10</v>
      </c>
      <c r="D55" s="179">
        <f t="shared" ref="D55:D73" si="4">B55*C55</f>
        <v>350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>
        <v>20</v>
      </c>
      <c r="D56" s="179">
        <f t="shared" si="4"/>
        <v>1120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56</v>
      </c>
      <c r="C57" s="191">
        <v>30</v>
      </c>
      <c r="D57" s="179">
        <f t="shared" si="4"/>
        <v>1680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56</v>
      </c>
      <c r="C58" s="191">
        <v>40</v>
      </c>
      <c r="D58" s="179">
        <f t="shared" si="4"/>
        <v>2240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56</v>
      </c>
      <c r="C59" s="191">
        <v>45</v>
      </c>
      <c r="D59" s="179">
        <f t="shared" si="4"/>
        <v>2520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56</v>
      </c>
      <c r="C60" s="191">
        <v>50</v>
      </c>
      <c r="D60" s="179">
        <f t="shared" si="4"/>
        <v>2800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53</v>
      </c>
      <c r="C61" s="191">
        <v>55</v>
      </c>
      <c r="D61" s="179">
        <f t="shared" si="4"/>
        <v>2915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49</v>
      </c>
      <c r="C62" s="191">
        <v>60</v>
      </c>
      <c r="D62" s="179">
        <f t="shared" si="4"/>
        <v>2940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45</v>
      </c>
      <c r="C63" s="191">
        <v>65</v>
      </c>
      <c r="D63" s="179">
        <f t="shared" si="4"/>
        <v>2925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43</v>
      </c>
      <c r="C64" s="191">
        <v>70</v>
      </c>
      <c r="D64" s="179">
        <f t="shared" si="4"/>
        <v>3010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130</v>
      </c>
      <c r="B65" s="181">
        <f>'Données projet'!D73</f>
        <v>41</v>
      </c>
      <c r="C65" s="191">
        <v>75</v>
      </c>
      <c r="D65" s="179">
        <f t="shared" si="4"/>
        <v>3075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140</v>
      </c>
      <c r="B66" s="181">
        <f>'Données projet'!D74</f>
        <v>30</v>
      </c>
      <c r="C66" s="191">
        <v>80</v>
      </c>
      <c r="D66" s="179">
        <f t="shared" si="4"/>
        <v>2400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150</v>
      </c>
      <c r="B67" s="181">
        <f>'Données projet'!D75</f>
        <v>467</v>
      </c>
      <c r="C67" s="191">
        <v>90</v>
      </c>
      <c r="D67" s="179">
        <f t="shared" si="4"/>
        <v>42030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Alisier torminal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5197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29</v>
      </c>
      <c r="C86" s="191">
        <v>8</v>
      </c>
      <c r="D86" s="179">
        <f t="shared" ref="D86:D104" si="6">B86*C86</f>
        <v>232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>
        <v>10</v>
      </c>
      <c r="D87" s="179">
        <f t="shared" si="6"/>
        <v>420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42</v>
      </c>
      <c r="C88" s="191">
        <v>20</v>
      </c>
      <c r="D88" s="179">
        <f t="shared" si="6"/>
        <v>840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42</v>
      </c>
      <c r="C89" s="191">
        <v>30</v>
      </c>
      <c r="D89" s="179">
        <f t="shared" si="6"/>
        <v>1260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42</v>
      </c>
      <c r="C90" s="191">
        <v>45</v>
      </c>
      <c r="D90" s="179">
        <f t="shared" si="6"/>
        <v>1890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42</v>
      </c>
      <c r="C91" s="191">
        <v>60</v>
      </c>
      <c r="D91" s="179">
        <f t="shared" si="6"/>
        <v>2520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42</v>
      </c>
      <c r="C92" s="191">
        <v>80</v>
      </c>
      <c r="D92" s="179">
        <f t="shared" si="6"/>
        <v>3360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42</v>
      </c>
      <c r="C93" s="191">
        <v>100</v>
      </c>
      <c r="D93" s="179">
        <f t="shared" si="6"/>
        <v>4200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39</v>
      </c>
      <c r="C94" s="191">
        <v>130</v>
      </c>
      <c r="D94" s="179">
        <f t="shared" si="6"/>
        <v>5070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303</v>
      </c>
      <c r="C95" s="191">
        <v>250</v>
      </c>
      <c r="D95" s="179">
        <f t="shared" si="6"/>
        <v>75750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5034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27</v>
      </c>
      <c r="C116" s="191">
        <v>8</v>
      </c>
      <c r="D116" s="179">
        <f>B116*C116</f>
        <v>216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39</v>
      </c>
      <c r="C117" s="191">
        <v>10</v>
      </c>
      <c r="D117" s="179">
        <f t="shared" ref="D117:D135" si="8">B117*C117</f>
        <v>390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61</v>
      </c>
      <c r="C118" s="191">
        <v>20</v>
      </c>
      <c r="D118" s="179">
        <f t="shared" si="8"/>
        <v>1220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71</v>
      </c>
      <c r="C119" s="191">
        <v>30</v>
      </c>
      <c r="D119" s="179">
        <f t="shared" si="8"/>
        <v>2130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72</v>
      </c>
      <c r="C120" s="191">
        <v>50</v>
      </c>
      <c r="D120" s="179">
        <f t="shared" si="8"/>
        <v>3600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69</v>
      </c>
      <c r="C121" s="191">
        <v>90</v>
      </c>
      <c r="D121" s="179">
        <f t="shared" si="8"/>
        <v>6210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380</v>
      </c>
      <c r="C122" s="191">
        <v>180</v>
      </c>
      <c r="D122" s="179">
        <f t="shared" si="8"/>
        <v>68400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4945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35</v>
      </c>
      <c r="C148" s="191">
        <v>8</v>
      </c>
      <c r="D148" s="182">
        <f t="shared" ref="D148:D166" si="10">B148*C148</f>
        <v>280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10</v>
      </c>
      <c r="D149" s="182">
        <f t="shared" si="10"/>
        <v>560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56</v>
      </c>
      <c r="C150" s="191">
        <v>12</v>
      </c>
      <c r="D150" s="182">
        <f t="shared" si="10"/>
        <v>672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56</v>
      </c>
      <c r="C151" s="191">
        <v>15</v>
      </c>
      <c r="D151" s="182">
        <f t="shared" si="10"/>
        <v>840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56</v>
      </c>
      <c r="C152" s="191">
        <v>18</v>
      </c>
      <c r="D152" s="182">
        <f t="shared" si="10"/>
        <v>1008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56</v>
      </c>
      <c r="C153" s="191">
        <v>22</v>
      </c>
      <c r="D153" s="182">
        <f t="shared" si="10"/>
        <v>1232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53</v>
      </c>
      <c r="C154" s="191">
        <v>25</v>
      </c>
      <c r="D154" s="182">
        <f t="shared" si="10"/>
        <v>1325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49</v>
      </c>
      <c r="C155" s="191">
        <v>27</v>
      </c>
      <c r="D155" s="182">
        <f t="shared" si="10"/>
        <v>1323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45</v>
      </c>
      <c r="C156" s="191">
        <v>30</v>
      </c>
      <c r="D156" s="182">
        <f t="shared" si="10"/>
        <v>1350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43</v>
      </c>
      <c r="C157" s="191">
        <v>35</v>
      </c>
      <c r="D157" s="182">
        <f t="shared" si="10"/>
        <v>1505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130</v>
      </c>
      <c r="B158" s="175">
        <f>'Données projet'!D151</f>
        <v>41</v>
      </c>
      <c r="C158" s="191">
        <v>40</v>
      </c>
      <c r="D158" s="182">
        <f t="shared" si="10"/>
        <v>1640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140</v>
      </c>
      <c r="B159" s="175">
        <f>'Données projet'!D152</f>
        <v>30</v>
      </c>
      <c r="C159" s="191">
        <v>45</v>
      </c>
      <c r="D159" s="182">
        <f t="shared" si="10"/>
        <v>1350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150</v>
      </c>
      <c r="B160" s="175">
        <f>'Données projet'!D153</f>
        <v>467</v>
      </c>
      <c r="C160" s="191">
        <v>50</v>
      </c>
      <c r="D160" s="182">
        <f t="shared" si="10"/>
        <v>23350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Bouleau verruqueux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4915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>
        <v>8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67</v>
      </c>
      <c r="C179" s="193">
        <v>8</v>
      </c>
      <c r="D179" s="179">
        <f t="shared" ref="D179:D197" si="11">B179*C179</f>
        <v>536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70</v>
      </c>
      <c r="C180" s="193">
        <v>10</v>
      </c>
      <c r="D180" s="179">
        <f t="shared" si="11"/>
        <v>700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40</v>
      </c>
      <c r="B181" s="181">
        <f>'Données projet'!D169</f>
        <v>70</v>
      </c>
      <c r="C181" s="193">
        <v>15</v>
      </c>
      <c r="D181" s="179">
        <f t="shared" si="11"/>
        <v>1050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50</v>
      </c>
      <c r="B182" s="181">
        <f>'Données projet'!D170</f>
        <v>43</v>
      </c>
      <c r="C182" s="193">
        <v>20</v>
      </c>
      <c r="D182" s="179">
        <f t="shared" si="11"/>
        <v>860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60</v>
      </c>
      <c r="B183" s="181">
        <f>'Données projet'!D171</f>
        <v>30</v>
      </c>
      <c r="C183" s="193">
        <v>25</v>
      </c>
      <c r="D183" s="179">
        <f t="shared" si="11"/>
        <v>750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70</v>
      </c>
      <c r="B184" s="181">
        <f>'Données projet'!D172</f>
        <v>26</v>
      </c>
      <c r="C184" s="193">
        <v>30</v>
      </c>
      <c r="D184" s="179">
        <f t="shared" si="11"/>
        <v>780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80</v>
      </c>
      <c r="B185" s="181">
        <f>'Données projet'!D173</f>
        <v>342</v>
      </c>
      <c r="C185" s="193">
        <v>35</v>
      </c>
      <c r="D185" s="179">
        <f t="shared" si="11"/>
        <v>11970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Aulne glutineux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4872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10</v>
      </c>
      <c r="B209" s="181">
        <f>'Données projet'!D192</f>
        <v>0</v>
      </c>
      <c r="C209" s="193">
        <v>8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67</v>
      </c>
      <c r="C210" s="193">
        <v>8</v>
      </c>
      <c r="D210" s="179">
        <f t="shared" ref="D210:D228" si="12">B210*C210</f>
        <v>536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30</v>
      </c>
      <c r="B211" s="181">
        <f>'Données projet'!D194</f>
        <v>70</v>
      </c>
      <c r="C211" s="193">
        <v>10</v>
      </c>
      <c r="D211" s="179">
        <f t="shared" si="12"/>
        <v>700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40</v>
      </c>
      <c r="B212" s="181">
        <f>'Données projet'!D195</f>
        <v>70</v>
      </c>
      <c r="C212" s="193">
        <v>15</v>
      </c>
      <c r="D212" s="179">
        <f t="shared" si="12"/>
        <v>1050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50</v>
      </c>
      <c r="B213" s="181">
        <f>'Données projet'!D196</f>
        <v>43</v>
      </c>
      <c r="C213" s="193">
        <v>20</v>
      </c>
      <c r="D213" s="179">
        <f t="shared" si="12"/>
        <v>860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60</v>
      </c>
      <c r="B214" s="181">
        <f>'Données projet'!D197</f>
        <v>30</v>
      </c>
      <c r="C214" s="193">
        <v>25</v>
      </c>
      <c r="D214" s="179">
        <f t="shared" si="12"/>
        <v>750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70</v>
      </c>
      <c r="B215" s="181">
        <f>'Données projet'!D198</f>
        <v>26</v>
      </c>
      <c r="C215" s="193">
        <v>30</v>
      </c>
      <c r="D215" s="179">
        <f t="shared" si="12"/>
        <v>780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80</v>
      </c>
      <c r="B216" s="181">
        <f>'Données projet'!D199</f>
        <v>342</v>
      </c>
      <c r="C216" s="193">
        <v>35</v>
      </c>
      <c r="D216" s="179">
        <f t="shared" si="12"/>
        <v>11970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30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François Legron</cp:lastModifiedBy>
  <cp:lastPrinted>2023-03-01T09:27:35Z</cp:lastPrinted>
  <dcterms:created xsi:type="dcterms:W3CDTF">2021-02-01T08:22:39Z</dcterms:created>
  <dcterms:modified xsi:type="dcterms:W3CDTF">2023-05-31T13:07:04Z</dcterms:modified>
</cp:coreProperties>
</file>