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3.xml" ContentType="application/vnd.ms-excel.person+xml"/>
  <Override PartName="/xl/persons/person1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774b4f785a1af9a/Documents/LABEL/Connangles-01/"/>
    </mc:Choice>
  </mc:AlternateContent>
  <xr:revisionPtr revIDLastSave="27" documentId="8_{74405237-9E2D-4D86-BF0A-FF69971BC48B}" xr6:coauthVersionLast="47" xr6:coauthVersionMax="47" xr10:uidLastSave="{24126F23-8827-4A43-B304-58789044D23C}"/>
  <bookViews>
    <workbookView xWindow="2160" yWindow="2160" windowWidth="17280" windowHeight="888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  <definedName name="_xlnm.Print_Area" localSheetId="6">VAN!$A$7:$V$104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8" i="1" l="1"/>
  <c r="D107" i="1"/>
  <c r="D75" i="1"/>
  <c r="D71" i="1"/>
  <c r="D65" i="1"/>
  <c r="I17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EA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A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V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V164" i="2" l="1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A175" i="2"/>
  <c r="FS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/>
  <c r="EA185" i="2" l="1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HI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47" i="2" a="1"/>
  <c r="BC47" i="2" s="1"/>
  <c r="BC82" i="2" a="1"/>
  <c r="BC82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8" i="2" l="1" a="1"/>
  <c r="BC68" i="2" s="1"/>
  <c r="BC34" i="2" a="1"/>
  <c r="BC34" i="2" s="1"/>
  <c r="BC65" i="2" a="1"/>
  <c r="BC65" i="2" s="1"/>
  <c r="BC114" i="2" a="1"/>
  <c r="BC114" i="2" s="1"/>
  <c r="AH166" i="2" a="1"/>
  <c r="AH166" i="2" s="1"/>
  <c r="AH199" i="2" a="1"/>
  <c r="AH199" i="2" s="1"/>
  <c r="AH151" i="2" a="1"/>
  <c r="AH151" i="2" s="1"/>
  <c r="AH90" i="2" a="1"/>
  <c r="AH90" i="2" s="1"/>
  <c r="AH19" i="2" a="1"/>
  <c r="AH19" i="2" s="1"/>
  <c r="AH92" i="2" a="1"/>
  <c r="AH92" i="2" s="1"/>
  <c r="AH163" i="2" a="1"/>
  <c r="AH163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5" i="2"/>
  <c r="BI30" i="2"/>
  <c r="BI93" i="2"/>
  <c r="BI199" i="2"/>
  <c r="BI177" i="2"/>
  <c r="BI185" i="2"/>
  <c r="BI173" i="2"/>
  <c r="BI38" i="2"/>
  <c r="BI150" i="2"/>
  <c r="BI122" i="2"/>
  <c r="BI170" i="2"/>
  <c r="BI102" i="2"/>
  <c r="BI126" i="2"/>
  <c r="BI120" i="2"/>
  <c r="BI31" i="2"/>
  <c r="BI139" i="2"/>
  <c r="BI56" i="2"/>
  <c r="BI92" i="2"/>
  <c r="BI46" i="2"/>
  <c r="BI10" i="2"/>
  <c r="BI5" i="2"/>
  <c r="BI181" i="2"/>
  <c r="BI169" i="2"/>
  <c r="BI81" i="2"/>
  <c r="BI200" i="2"/>
  <c r="BI138" i="2"/>
  <c r="BI83" i="2"/>
  <c r="BI6" i="2"/>
  <c r="BI115" i="2"/>
  <c r="BI127" i="2"/>
  <c r="BI35" i="2"/>
  <c r="BI82" i="2"/>
  <c r="BI114" i="2"/>
  <c r="BI41" i="2"/>
  <c r="BI151" i="2"/>
  <c r="BI131" i="2"/>
  <c r="BI27" i="2"/>
  <c r="BI159" i="2"/>
  <c r="BI179" i="2"/>
  <c r="BI55" i="2"/>
  <c r="BI137" i="2"/>
  <c r="BI157" i="2"/>
  <c r="BI23" i="2"/>
  <c r="BI180" i="2"/>
  <c r="BI75" i="2"/>
  <c r="BI28" i="2"/>
  <c r="BI26" i="2"/>
  <c r="BI40" i="2"/>
  <c r="BI172" i="2"/>
  <c r="BI59" i="2"/>
  <c r="BI73" i="2"/>
  <c r="BI44" i="2"/>
  <c r="BI113" i="2"/>
  <c r="BI143" i="2"/>
  <c r="BI65" i="2"/>
  <c r="BI24" i="2"/>
  <c r="BI60" i="2"/>
  <c r="BI16" i="2"/>
  <c r="BI98" i="2"/>
  <c r="BI142" i="2"/>
  <c r="BI202" i="2"/>
  <c r="BI86" i="2"/>
  <c r="BI96" i="2"/>
  <c r="BI140" i="2"/>
  <c r="BI61" i="2"/>
  <c r="BI171" i="2"/>
  <c r="BI63" i="2"/>
  <c r="BI124" i="2"/>
  <c r="BI77" i="2"/>
  <c r="BI123" i="2"/>
  <c r="BI84" i="2"/>
  <c r="BI144" i="2"/>
  <c r="BI162" i="2"/>
  <c r="BI125" i="2"/>
  <c r="BI203" i="2"/>
  <c r="BI45" i="2"/>
  <c r="BI195" i="2"/>
  <c r="BI43" i="2"/>
  <c r="BI107" i="2"/>
  <c r="BI70" i="2"/>
  <c r="BI192" i="2"/>
  <c r="BI94" i="2"/>
  <c r="BI153" i="2"/>
  <c r="BI155" i="2"/>
  <c r="BI164" i="2"/>
  <c r="BI99" i="2"/>
  <c r="BI190" i="2"/>
  <c r="BI39" i="2"/>
  <c r="BI58" i="2"/>
  <c r="BI141" i="2"/>
  <c r="BI175" i="2"/>
  <c r="BI88" i="2"/>
  <c r="BI112" i="2"/>
  <c r="BI97" i="2"/>
  <c r="BI201" i="2"/>
  <c r="BI25" i="2"/>
  <c r="BI53" i="2"/>
  <c r="BI198" i="2"/>
  <c r="BI50" i="2"/>
  <c r="BI57" i="2"/>
  <c r="BI111" i="2"/>
  <c r="BI146" i="2"/>
  <c r="BI168" i="2"/>
  <c r="BI78" i="2"/>
  <c r="BI163" i="2"/>
  <c r="BI79" i="2"/>
  <c r="BI152" i="2"/>
  <c r="BI52" i="2"/>
  <c r="BI197" i="2"/>
  <c r="BI108" i="2"/>
  <c r="BI12" i="2"/>
  <c r="BI37" i="2"/>
  <c r="BI90" i="2"/>
  <c r="BI158" i="2"/>
  <c r="BI36" i="2"/>
  <c r="BI135" i="2"/>
  <c r="BI101" i="2"/>
  <c r="BI14" i="2"/>
  <c r="BI95" i="2"/>
  <c r="BI129" i="2"/>
  <c r="BI104" i="2"/>
  <c r="BI64" i="2"/>
  <c r="BI132" i="2"/>
  <c r="BI34" i="2"/>
  <c r="BI20" i="2"/>
  <c r="BI62" i="2"/>
  <c r="BI106" i="2"/>
  <c r="BI178" i="2"/>
  <c r="BI167" i="2"/>
  <c r="BI69" i="2"/>
  <c r="BI128" i="2"/>
  <c r="BI91" i="2"/>
  <c r="BI100" i="2"/>
  <c r="BI21" i="2"/>
  <c r="BI191" i="2"/>
  <c r="BI71" i="2"/>
  <c r="BI161" i="2"/>
  <c r="BI121" i="2"/>
  <c r="BI174" i="2"/>
  <c r="BI4" i="2"/>
  <c r="BI15" i="2"/>
  <c r="BI68" i="2"/>
  <c r="BI22" i="2"/>
  <c r="BI9" i="2"/>
  <c r="BI49" i="2"/>
  <c r="BI32" i="2"/>
  <c r="BI160" i="2"/>
  <c r="BI67" i="2"/>
  <c r="BI18" i="2"/>
  <c r="BI154" i="2"/>
  <c r="BI8" i="2"/>
  <c r="BI74" i="2"/>
  <c r="BI87" i="2"/>
  <c r="BI136" i="2"/>
  <c r="BI33" i="2"/>
  <c r="BI149" i="2"/>
  <c r="BI117" i="2"/>
  <c r="BI130" i="2"/>
  <c r="BI189" i="2"/>
  <c r="BI29" i="2"/>
  <c r="BI118" i="2"/>
  <c r="BI134" i="2"/>
  <c r="BI176" i="2"/>
  <c r="BI105" i="2"/>
  <c r="BI11" i="2"/>
  <c r="BI110" i="2"/>
  <c r="BI148" i="2"/>
  <c r="BI89" i="2"/>
  <c r="BI196" i="2"/>
  <c r="BI116" i="2"/>
  <c r="BI76" i="2"/>
  <c r="BI103" i="2"/>
  <c r="BI182" i="2"/>
  <c r="BI72" i="2"/>
  <c r="BI186" i="2"/>
  <c r="BI166" i="2"/>
  <c r="BI188" i="2"/>
  <c r="BI54" i="2"/>
  <c r="BI133" i="2"/>
  <c r="BI19" i="2"/>
  <c r="BI184" i="2"/>
  <c r="BI51" i="2"/>
  <c r="BI3" i="2"/>
  <c r="C8" i="4" s="1"/>
  <c r="E8" i="4" s="1"/>
  <c r="F8" i="4" s="1"/>
  <c r="G8" i="4" s="1"/>
  <c r="L8" i="4" s="1"/>
  <c r="BI48" i="2"/>
  <c r="BI183" i="2"/>
  <c r="BI156" i="2"/>
  <c r="BI17" i="2"/>
  <c r="BI194" i="2"/>
  <c r="BI66" i="2"/>
  <c r="BI80" i="2"/>
  <c r="BI42" i="2"/>
  <c r="BI85" i="2"/>
  <c r="BI187" i="2"/>
  <c r="BI7" i="2"/>
  <c r="BI13" i="2"/>
  <c r="BI119" i="2"/>
  <c r="BI109" i="2"/>
  <c r="BI145" i="2"/>
  <c r="BI147" i="2"/>
  <c r="BI19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<sst xmlns="http://schemas.openxmlformats.org/spreadsheetml/2006/main" count="1174" uniqueCount="326">
  <si>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</si>
  <si>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</si>
  <si>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</si>
  <si>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</si>
  <si>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</si>
  <si>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</si>
  <si>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</si>
  <si>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</si>
  <si>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</si>
  <si>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</si>
  <si>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</si>
  <si>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</si>
  <si>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</si>
  <si>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</si>
  <si>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</si>
  <si>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</si>
  <si>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</si>
  <si>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</si>
  <si>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</si>
  <si>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</si>
  <si>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</si>
  <si>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</si>
  <si>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</si>
  <si>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</si>
  <si>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</si>
  <si>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</si>
  <si>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</si>
  <si>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</si>
  <si>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</si>
  <si>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</si>
  <si>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</si>
  <si>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</si>
  <si>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</si>
  <si>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</si>
  <si>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</si>
  <si>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</si>
  <si>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</si>
  <si>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</si>
  <si>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</si>
  <si>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</si>
  <si>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</si>
  <si>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</si>
  <si>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</si>
  <si>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</si>
  <si>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</si>
  <si>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</si>
  <si>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</si>
  <si>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</si>
  <si>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</si>
  <si>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</si>
  <si>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</si>
  <si>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</si>
  <si>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</si>
  <si>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</si>
  <si>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</si>
  <si>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</si>
  <si>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</si>
  <si>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</si>
  <si>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</si>
  <si>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</si>
  <si>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</si>
  <si>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</si>
  <si>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</si>
  <si>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</si>
  <si>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</si>
  <si>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</si>
  <si>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</si>
  <si>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</si>
  <si>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</si>
  <si>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</si>
  <si>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</si>
  <si>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</si>
  <si>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</si>
  <si>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</si>
  <si>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</si>
  <si>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</si>
  <si>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</si>
  <si>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</si>
  <si>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</si>
  <si>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</si>
  <si>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</si>
  <si>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</si>
  <si>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</si>
  <si>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</si>
  <si>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</si>
  <si>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</si>
  <si>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</si>
  <si>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</si>
  <si>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</si>
  <si>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</si>
  <si>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</si>
  <si>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</si>
  <si>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</si>
  <si>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</si>
  <si>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</si>
  <si>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</si>
  <si>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</si>
  <si>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</si>
  <si>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</si>
  <si>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</si>
  <si>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</si>
  <si>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</si>
  <si>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</si>
  <si>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</si>
  <si>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</si>
  <si>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</si>
  <si>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</si>
  <si>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</si>
  <si>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</si>
  <si>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</si>
  <si>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</si>
  <si>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</si>
  <si>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</si>
  <si>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</si>
  <si>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</si>
  <si>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</si>
  <si>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</si>
  <si>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</si>
  <si>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</si>
  <si>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</si>
  <si>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</si>
  <si>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</si>
  <si>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</si>
  <si>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</si>
  <si>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</si>
  <si>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</si>
  <si>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</si>
  <si>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</si>
  <si>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</si>
  <si>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</si>
  <si>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</si>
  <si>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</si>
  <si>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</si>
  <si>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</si>
  <si>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</si>
  <si>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</si>
  <si>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</si>
  <si>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</si>
  <si>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</si>
  <si>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</si>
  <si>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</si>
  <si>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</si>
  <si>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</si>
  <si>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</si>
  <si>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</si>
  <si>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</si>
  <si>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</si>
  <si>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</si>
  <si>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</si>
  <si>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</si>
  <si>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</si>
  <si>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</si>
  <si>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</si>
  <si>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</si>
  <si>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</si>
  <si>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</si>
  <si>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</si>
  <si>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</si>
  <si>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</si>
  <si>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</si>
  <si>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</si>
  <si>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</si>
  <si>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</si>
  <si>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</si>
  <si>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</si>
  <si>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</si>
  <si>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</si>
  <si>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</si>
  <si>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</si>
  <si>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</si>
  <si>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</si>
  <si>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</si>
  <si>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</si>
  <si>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</si>
  <si>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</si>
  <si>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</si>
  <si>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</si>
  <si>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</si>
  <si>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</si>
  <si>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</si>
  <si>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</si>
  <si>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</si>
  <si>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</si>
  <si>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</si>
  <si>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</si>
  <si>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</si>
  <si>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</si>
  <si>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</si>
  <si>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</si>
  <si>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</si>
  <si>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</si>
  <si>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</si>
  <si>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</si>
  <si>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</si>
  <si>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</si>
  <si>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</si>
  <si>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</si>
  <si>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</si>
  <si>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</si>
  <si>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</si>
  <si>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</si>
  <si>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</si>
  <si>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</si>
  <si>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</si>
  <si>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</si>
  <si>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</si>
  <si>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</si>
  <si>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</si>
  <si>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</si>
  <si>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</si>
  <si>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</si>
  <si>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</si>
  <si>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</si>
  <si>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</si>
  <si>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</si>
  <si>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</si>
  <si>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</si>
  <si>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</si>
  <si>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</si>
  <si>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</si>
  <si>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</si>
  <si>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</si>
  <si>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</si>
  <si>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</si>
  <si>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</si>
  <si>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</si>
  <si>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</si>
  <si>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</si>
  <si>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</si>
  <si>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</si>
  <si>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</si>
  <si>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</si>
  <si>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</si>
  <si>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</si>
  <si>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</si>
  <si>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</si>
  <si>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</si>
  <si>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</si>
  <si>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</si>
  <si>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</si>
  <si>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</si>
  <si>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</si>
  <si>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</si>
  <si>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</si>
  <si>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</si>
  <si>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</si>
  <si>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</si>
  <si>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</si>
  <si>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</si>
  <si>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</si>
  <si>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</si>
  <si>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</si>
  <si>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</si>
  <si>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</si>
  <si>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</si>
  <si>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</si>
  <si>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</si>
  <si>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</si>
  <si>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</si>
  <si>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</si>
  <si>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</si>
  <si>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</si>
  <si>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</si>
  <si>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</si>
  <si>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</si>
  <si>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</si>
  <si>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</si>
  <si>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</si>
  <si>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</si>
  <si>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</si>
  <si>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</si>
  <si>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</si>
  <si>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</si>
  <si>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</si>
  <si>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</si>
  <si>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</si>
  <si>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</si>
  <si>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</si>
  <si>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</si>
  <si>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</si>
  <si>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</si>
  <si>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</si>
  <si>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</si>
  <si>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</si>
  <si>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</si>
  <si>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</si>
  <si>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</si>
  <si>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</si>
  <si>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</si>
  <si>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</si>
  <si>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</si>
  <si>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</si>
  <si>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</si>
  <si>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</si>
  <si>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</si>
  <si>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</si>
  <si>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</si>
  <si>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</si>
  <si>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</si>
  <si>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</si>
  <si>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</si>
  <si>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</si>
  <si>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</si>
  <si>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</si>
  <si>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</si>
  <si>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</si>
  <si>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</si>
  <si>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</si>
  <si>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</si>
  <si>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</si>
  <si>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</si>
  <si>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</si>
  <si>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</si>
  <si>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</si>
  <si>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</si>
  <si>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</si>
  <si>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</si>
  <si>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</si>
  <si>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</si>
  <si>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</si>
  <si>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</si>
  <si>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</si>
  <si>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</si>
  <si>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</si>
  <si>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noble fir class 20</t>
  </si>
  <si>
    <t>beech class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</si>
</sst>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microsoft.com/office/2017/10/relationships/person" Target="persons/pers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10/relationships/person" Target="persons/person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224.67206859082322</c:v>
                </c:pt>
                <c:pt idx="21">
                  <c:v>248.54511902776062</c:v>
                </c:pt>
                <c:pt idx="22">
                  <c:v>272.36613794919555</c:v>
                </c:pt>
                <c:pt idx="23">
                  <c:v>296.14031411213193</c:v>
                </c:pt>
                <c:pt idx="24">
                  <c:v>319.87193482934862</c:v>
                </c:pt>
                <c:pt idx="25">
                  <c:v>343.56459927341751</c:v>
                </c:pt>
                <c:pt idx="26">
                  <c:v>312.49752550009651</c:v>
                </c:pt>
                <c:pt idx="27">
                  <c:v>345.95173633598512</c:v>
                </c:pt>
                <c:pt idx="28">
                  <c:v>379.33490432822936</c:v>
                </c:pt>
                <c:pt idx="29">
                  <c:v>412.6541529897068</c:v>
                </c:pt>
                <c:pt idx="30">
                  <c:v>445.91536201773806</c:v>
                </c:pt>
                <c:pt idx="31">
                  <c:v>410.98961362312247</c:v>
                </c:pt>
                <c:pt idx="32">
                  <c:v>440.21733864382713</c:v>
                </c:pt>
                <c:pt idx="33">
                  <c:v>469.40347316973117</c:v>
                </c:pt>
                <c:pt idx="34">
                  <c:v>498.55096338845897</c:v>
                </c:pt>
                <c:pt idx="35">
                  <c:v>527.66238324216681</c:v>
                </c:pt>
                <c:pt idx="36">
                  <c:v>540.90503809854795</c:v>
                </c:pt>
                <c:pt idx="37">
                  <c:v>554.14088513038791</c:v>
                </c:pt>
                <c:pt idx="38">
                  <c:v>567.37010980679281</c:v>
                </c:pt>
                <c:pt idx="39">
                  <c:v>580.59288824538385</c:v>
                </c:pt>
                <c:pt idx="40">
                  <c:v>593.80938789049594</c:v>
                </c:pt>
                <c:pt idx="41">
                  <c:v>537.1221254578071</c:v>
                </c:pt>
                <c:pt idx="42">
                  <c:v>565.48061924570629</c:v>
                </c:pt>
                <c:pt idx="43">
                  <c:v>593.80938789049571</c:v>
                </c:pt>
                <c:pt idx="44">
                  <c:v>622.11004690432105</c:v>
                </c:pt>
                <c:pt idx="45">
                  <c:v>650.38405302597027</c:v>
                </c:pt>
                <c:pt idx="46">
                  <c:v>660.03846936600348</c:v>
                </c:pt>
                <c:pt idx="47">
                  <c:v>669.68997877873983</c:v>
                </c:pt>
                <c:pt idx="48">
                  <c:v>679.33862905449803</c:v>
                </c:pt>
                <c:pt idx="49">
                  <c:v>688.98446651572203</c:v>
                </c:pt>
                <c:pt idx="50">
                  <c:v>698.62753608242076</c:v>
                </c:pt>
                <c:pt idx="51">
                  <c:v>706.6221597459031</c:v>
                </c:pt>
                <c:pt idx="52">
                  <c:v>714.61493413978394</c:v>
                </c:pt>
                <c:pt idx="53">
                  <c:v>722.60588285982783</c:v>
                </c:pt>
                <c:pt idx="54">
                  <c:v>730.59502893748925</c:v>
                </c:pt>
                <c:pt idx="55">
                  <c:v>738.58239485956062</c:v>
                </c:pt>
                <c:pt idx="56">
                  <c:v>743.74975220804151</c:v>
                </c:pt>
                <c:pt idx="57">
                  <c:v>748.91637927235524</c:v>
                </c:pt>
                <c:pt idx="58">
                  <c:v>754.08228180091464</c:v>
                </c:pt>
                <c:pt idx="59">
                  <c:v>759.24746545695405</c:v>
                </c:pt>
                <c:pt idx="60">
                  <c:v>764.41193582037295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1.6402780147358238</c:v>
                </c:pt>
                <c:pt idx="2">
                  <c:v>2.0847532394244346</c:v>
                </c:pt>
                <c:pt idx="3">
                  <c:v>2.6501560009338418</c:v>
                </c:pt>
                <c:pt idx="4">
                  <c:v>3.3695117259982124</c:v>
                </c:pt>
                <c:pt idx="5">
                  <c:v>4.2848971118032706</c:v>
                </c:pt>
                <c:pt idx="6">
                  <c:v>5.4499289702420617</c:v>
                </c:pt>
                <c:pt idx="7">
                  <c:v>6.9329395104377367</c:v>
                </c:pt>
                <c:pt idx="8">
                  <c:v>8.8210279095906756</c:v>
                </c:pt>
                <c:pt idx="9">
                  <c:v>11.225230662518648</c:v>
                </c:pt>
                <c:pt idx="10">
                  <c:v>14.287120469820463</c:v>
                </c:pt>
                <c:pt idx="11">
                  <c:v>18.187229397437967</c:v>
                </c:pt>
                <c:pt idx="12">
                  <c:v>23.155801927221308</c:v>
                </c:pt>
                <c:pt idx="13">
                  <c:v>29.486523983955536</c:v>
                </c:pt>
                <c:pt idx="14">
                  <c:v>37.554053595128899</c:v>
                </c:pt>
                <c:pt idx="15">
                  <c:v>47.836408422767676</c:v>
                </c:pt>
                <c:pt idx="16">
                  <c:v>68.096563125655223</c:v>
                </c:pt>
                <c:pt idx="17">
                  <c:v>88.199833648680638</c:v>
                </c:pt>
                <c:pt idx="18">
                  <c:v>108.18743833040094</c:v>
                </c:pt>
                <c:pt idx="19">
                  <c:v>128.08388202520391</c:v>
                </c:pt>
                <c:pt idx="20">
                  <c:v>147.90536441170011</c:v>
                </c:pt>
                <c:pt idx="21">
                  <c:v>142.95633359391334</c:v>
                </c:pt>
                <c:pt idx="22">
                  <c:v>161.65622377304484</c:v>
                </c:pt>
                <c:pt idx="23">
                  <c:v>180.30488972778326</c:v>
                </c:pt>
                <c:pt idx="24">
                  <c:v>198.90837813747279</c:v>
                </c:pt>
                <c:pt idx="25">
                  <c:v>217.47151019452883</c:v>
                </c:pt>
                <c:pt idx="26">
                  <c:v>233.01922421945184</c:v>
                </c:pt>
                <c:pt idx="27">
                  <c:v>248.54325496027195</c:v>
                </c:pt>
                <c:pt idx="28">
                  <c:v>264.04529011443037</c:v>
                </c:pt>
                <c:pt idx="29">
                  <c:v>279.52680294324563</c:v>
                </c:pt>
                <c:pt idx="30">
                  <c:v>294.98909013839437</c:v>
                </c:pt>
                <c:pt idx="31">
                  <c:v>263.9179616605108</c:v>
                </c:pt>
                <c:pt idx="32">
                  <c:v>290.5005833959741</c:v>
                </c:pt>
                <c:pt idx="33">
                  <c:v>317.02885819360847</c:v>
                </c:pt>
                <c:pt idx="34">
                  <c:v>343.50796974573001</c:v>
                </c:pt>
                <c:pt idx="35">
                  <c:v>369.94223737546758</c:v>
                </c:pt>
                <c:pt idx="36">
                  <c:v>384.04871588248358</c:v>
                </c:pt>
                <c:pt idx="37">
                  <c:v>398.14393667541555</c:v>
                </c:pt>
                <c:pt idx="38">
                  <c:v>412.2283544131904</c:v>
                </c:pt>
                <c:pt idx="39">
                  <c:v>426.30239015399025</c:v>
                </c:pt>
                <c:pt idx="40">
                  <c:v>440.36643488902649</c:v>
                </c:pt>
                <c:pt idx="41">
                  <c:v>452.95292073728524</c:v>
                </c:pt>
                <c:pt idx="42">
                  <c:v>465.53193116276867</c:v>
                </c:pt>
                <c:pt idx="43">
                  <c:v>478.10369660688593</c:v>
                </c:pt>
                <c:pt idx="44">
                  <c:v>490.66843440465573</c:v>
                </c:pt>
                <c:pt idx="45">
                  <c:v>503.22634985373975</c:v>
                </c:pt>
                <c:pt idx="46">
                  <c:v>435.5395822289035</c:v>
                </c:pt>
                <c:pt idx="47">
                  <c:v>466.37027178678244</c:v>
                </c:pt>
                <c:pt idx="48">
                  <c:v>497.15753005743363</c:v>
                </c:pt>
                <c:pt idx="49">
                  <c:v>527.9044208671354</c:v>
                </c:pt>
                <c:pt idx="50">
                  <c:v>558.61362244497047</c:v>
                </c:pt>
                <c:pt idx="51">
                  <c:v>568.84206359380448</c:v>
                </c:pt>
                <c:pt idx="52">
                  <c:v>579.06666194320553</c:v>
                </c:pt>
                <c:pt idx="53">
                  <c:v>589.28749490458995</c:v>
                </c:pt>
                <c:pt idx="54">
                  <c:v>599.50463698538442</c:v>
                </c:pt>
                <c:pt idx="55">
                  <c:v>609.7181599466536</c:v>
                </c:pt>
                <c:pt idx="56">
                  <c:v>620.55311951318561</c:v>
                </c:pt>
                <c:pt idx="57">
                  <c:v>631.38416072507982</c:v>
                </c:pt>
                <c:pt idx="58">
                  <c:v>642.2113602567141</c:v>
                </c:pt>
                <c:pt idx="59">
                  <c:v>653.03479198703701</c:v>
                </c:pt>
                <c:pt idx="60">
                  <c:v>663.85452714710425</c:v>
                </c:pt>
                <c:pt idx="61">
                  <c:v>517.91071022833705</c:v>
                </c:pt>
                <c:pt idx="62">
                  <c:v>567.25586528170663</c:v>
                </c:pt>
                <c:pt idx="63">
                  <c:v>616.51130856555721</c:v>
                </c:pt>
                <c:pt idx="64">
                  <c:v>665.68519848343601</c:v>
                </c:pt>
                <c:pt idx="65">
                  <c:v>714.78439172383071</c:v>
                </c:pt>
                <c:pt idx="66">
                  <c:v>723.92295859715102</c:v>
                </c:pt>
                <c:pt idx="67">
                  <c:v>733.05917265512824</c:v>
                </c:pt>
                <c:pt idx="68">
                  <c:v>742.19306734539384</c:v>
                </c:pt>
                <c:pt idx="69">
                  <c:v>751.32467522548507</c:v>
                </c:pt>
                <c:pt idx="70">
                  <c:v>760.45402799729015</c:v>
                </c:pt>
                <c:pt idx="71">
                  <c:v>768.12926089816654</c:v>
                </c:pt>
                <c:pt idx="72">
                  <c:v>775.80293892449174</c:v>
                </c:pt>
                <c:pt idx="73">
                  <c:v>783.47507961966801</c:v>
                </c:pt>
                <c:pt idx="74">
                  <c:v>791.14570015560378</c:v>
                </c:pt>
                <c:pt idx="75">
                  <c:v>798.81481734418503</c:v>
                </c:pt>
                <c:pt idx="76">
                  <c:v>806.0680188903525</c:v>
                </c:pt>
                <c:pt idx="77">
                  <c:v>813.31990361047121</c:v>
                </c:pt>
                <c:pt idx="78">
                  <c:v>820.57048489719853</c:v>
                </c:pt>
                <c:pt idx="79">
                  <c:v>827.81977588730399</c:v>
                </c:pt>
                <c:pt idx="80">
                  <c:v>835.06778946880468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76.887938288215892</c:v>
                </c:pt>
                <c:pt idx="22">
                  <c:v>90.90448288189036</c:v>
                </c:pt>
                <c:pt idx="23">
                  <c:v>104.86683838334746</c:v>
                </c:pt>
                <c:pt idx="24">
                  <c:v>118.78325444868756</c:v>
                </c:pt>
                <c:pt idx="25">
                  <c:v>132.65988081821209</c:v>
                </c:pt>
                <c:pt idx="26">
                  <c:v>129.28787235572034</c:v>
                </c:pt>
                <c:pt idx="27">
                  <c:v>139.02363377257913</c:v>
                </c:pt>
                <c:pt idx="28">
                  <c:v>148.74301980229387</c:v>
                </c:pt>
                <c:pt idx="29">
                  <c:v>158.44725261766811</c:v>
                </c:pt>
                <c:pt idx="30">
                  <c:v>168.13739220499602</c:v>
                </c:pt>
                <c:pt idx="31">
                  <c:v>176.69843708039332</c:v>
                </c:pt>
                <c:pt idx="32">
                  <c:v>185.24975095506522</c:v>
                </c:pt>
                <c:pt idx="33">
                  <c:v>193.79184693250522</c:v>
                </c:pt>
                <c:pt idx="34">
                  <c:v>202.32518912405283</c:v>
                </c:pt>
                <c:pt idx="35">
                  <c:v>210.85019924163905</c:v>
                </c:pt>
                <c:pt idx="36">
                  <c:v>219.73739442337498</c:v>
                </c:pt>
                <c:pt idx="37">
                  <c:v>228.61633568228481</c:v>
                </c:pt>
                <c:pt idx="38">
                  <c:v>237.48738912049089</c:v>
                </c:pt>
                <c:pt idx="39">
                  <c:v>246.3508912258574</c:v>
                </c:pt>
                <c:pt idx="40">
                  <c:v>255.20715227025767</c:v>
                </c:pt>
                <c:pt idx="41">
                  <c:v>223.807910918391</c:v>
                </c:pt>
                <c:pt idx="42">
                  <c:v>244.13570624979195</c:v>
                </c:pt>
                <c:pt idx="43">
                  <c:v>264.42503341914329</c:v>
                </c:pt>
                <c:pt idx="44">
                  <c:v>284.67925856397056</c:v>
                </c:pt>
                <c:pt idx="45">
                  <c:v>304.90122958502047</c:v>
                </c:pt>
                <c:pt idx="46">
                  <c:v>314.81733022074991</c:v>
                </c:pt>
                <c:pt idx="47">
                  <c:v>324.72650886432575</c:v>
                </c:pt>
                <c:pt idx="48">
                  <c:v>334.62900664770501</c:v>
                </c:pt>
                <c:pt idx="49">
                  <c:v>344.52504925832596</c:v>
                </c:pt>
                <c:pt idx="50">
                  <c:v>354.41484835314139</c:v>
                </c:pt>
                <c:pt idx="51">
                  <c:v>364.29860280650684</c:v>
                </c:pt>
                <c:pt idx="52">
                  <c:v>374.17649981551682</c:v>
                </c:pt>
                <c:pt idx="53">
                  <c:v>384.04871588248369</c:v>
                </c:pt>
                <c:pt idx="54">
                  <c:v>393.91541769108954</c:v>
                </c:pt>
                <c:pt idx="55">
                  <c:v>403.77676289014676</c:v>
                </c:pt>
                <c:pt idx="56">
                  <c:v>413.26794983722681</c:v>
                </c:pt>
                <c:pt idx="57">
                  <c:v>422.75443469361909</c:v>
                </c:pt>
                <c:pt idx="58">
                  <c:v>432.23633788927674</c:v>
                </c:pt>
                <c:pt idx="59">
                  <c:v>441.71377413753157</c:v>
                </c:pt>
                <c:pt idx="60">
                  <c:v>451.18685282593492</c:v>
                </c:pt>
                <c:pt idx="61">
                  <c:v>419.10633532774773</c:v>
                </c:pt>
                <c:pt idx="62">
                  <c:v>438.06912789882244</c:v>
                </c:pt>
                <c:pt idx="63">
                  <c:v>457.0143192666655</c:v>
                </c:pt>
                <c:pt idx="64">
                  <c:v>475.94274132758369</c:v>
                </c:pt>
                <c:pt idx="65">
                  <c:v>494.85515444943559</c:v>
                </c:pt>
                <c:pt idx="66">
                  <c:v>502.85191236474697</c:v>
                </c:pt>
                <c:pt idx="67">
                  <c:v>510.84598004089213</c:v>
                </c:pt>
                <c:pt idx="68">
                  <c:v>518.83740552632332</c:v>
                </c:pt>
                <c:pt idx="69">
                  <c:v>526.82623526820385</c:v>
                </c:pt>
                <c:pt idx="70">
                  <c:v>534.81251418977263</c:v>
                </c:pt>
                <c:pt idx="71">
                  <c:v>541.7077357291347</c:v>
                </c:pt>
                <c:pt idx="72">
                  <c:v>548.60111430963684</c:v>
                </c:pt>
                <c:pt idx="73">
                  <c:v>555.49267636229206</c:v>
                </c:pt>
                <c:pt idx="74">
                  <c:v>562.38244760860573</c:v>
                </c:pt>
                <c:pt idx="75">
                  <c:v>569.27045308826928</c:v>
                </c:pt>
                <c:pt idx="76">
                  <c:v>575.06952712161171</c:v>
                </c:pt>
                <c:pt idx="77">
                  <c:v>580.86738049325334</c:v>
                </c:pt>
                <c:pt idx="78">
                  <c:v>586.6640271098662</c:v>
                </c:pt>
                <c:pt idx="79">
                  <c:v>592.45948058080194</c:v>
                </c:pt>
                <c:pt idx="80">
                  <c:v>598.25375422735681</c:v>
                </c:pt>
                <c:pt idx="81">
                  <c:v>563.10758354108657</c:v>
                </c:pt>
                <c:pt idx="82">
                  <c:v>578.69332763584714</c:v>
                </c:pt>
                <c:pt idx="83">
                  <c:v>594.27031721590038</c:v>
                </c:pt>
                <c:pt idx="84">
                  <c:v>609.83881394520915</c:v>
                </c:pt>
                <c:pt idx="85">
                  <c:v>625.39906504645467</c:v>
                </c:pt>
                <c:pt idx="86">
                  <c:v>630.10173942049789</c:v>
                </c:pt>
                <c:pt idx="87">
                  <c:v>634.80368784084851</c:v>
                </c:pt>
                <c:pt idx="88">
                  <c:v>639.50491644472595</c:v>
                </c:pt>
                <c:pt idx="89">
                  <c:v>644.20543127173016</c:v>
                </c:pt>
                <c:pt idx="90">
                  <c:v>648.90523826611013</c:v>
                </c:pt>
                <c:pt idx="91">
                  <c:v>653.60434327896394</c:v>
                </c:pt>
                <c:pt idx="92">
                  <c:v>658.30275207037232</c:v>
                </c:pt>
                <c:pt idx="93">
                  <c:v>663.00047031147028</c:v>
                </c:pt>
                <c:pt idx="94">
                  <c:v>667.69750358645172</c:v>
                </c:pt>
                <c:pt idx="95">
                  <c:v>672.39385739452064</c:v>
                </c:pt>
                <c:pt idx="96">
                  <c:v>676.72835482550136</c:v>
                </c:pt>
                <c:pt idx="97">
                  <c:v>681.06228211658743</c:v>
                </c:pt>
                <c:pt idx="98">
                  <c:v>685.39564340837876</c:v>
                </c:pt>
                <c:pt idx="99">
                  <c:v>689.72844278483672</c:v>
                </c:pt>
                <c:pt idx="100">
                  <c:v>694.06068427441789</c:v>
                </c:pt>
                <c:pt idx="101">
                  <c:v>649.17635950399813</c:v>
                </c:pt>
                <c:pt idx="102">
                  <c:v>654.86936774366131</c:v>
                </c:pt>
                <c:pt idx="103">
                  <c:v>660.56135630057429</c:v>
                </c:pt>
                <c:pt idx="104">
                  <c:v>666.25233520168376</c:v>
                </c:pt>
                <c:pt idx="105">
                  <c:v>671.94231428864907</c:v>
                </c:pt>
                <c:pt idx="106">
                  <c:v>677.63130322283905</c:v>
                </c:pt>
                <c:pt idx="107">
                  <c:v>683.31931149015566</c:v>
                </c:pt>
                <c:pt idx="108">
                  <c:v>689.00634840568489</c:v>
                </c:pt>
                <c:pt idx="109">
                  <c:v>694.692423118188</c:v>
                </c:pt>
                <c:pt idx="110">
                  <c:v>700.37754461443922</c:v>
                </c:pt>
                <c:pt idx="111">
                  <c:v>706.06172172341337</c:v>
                </c:pt>
                <c:pt idx="112">
                  <c:v>711.74496312033182</c:v>
                </c:pt>
                <c:pt idx="113">
                  <c:v>717.42727733057427</c:v>
                </c:pt>
                <c:pt idx="114">
                  <c:v>723.10867273345764</c:v>
                </c:pt>
                <c:pt idx="115">
                  <c:v>728.78915756589197</c:v>
                </c:pt>
                <c:pt idx="116">
                  <c:v>734.46873992591679</c:v>
                </c:pt>
                <c:pt idx="117">
                  <c:v>740.14742777611946</c:v>
                </c:pt>
                <c:pt idx="118">
                  <c:v>745.82522894694694</c:v>
                </c:pt>
                <c:pt idx="119">
                  <c:v>751.50215113990862</c:v>
                </c:pt>
                <c:pt idx="120">
                  <c:v>757.17820193067939</c:v>
                </c:pt>
                <c:pt idx="121">
                  <c:v>758.61960077686217</c:v>
                </c:pt>
                <c:pt idx="122">
                  <c:v>760.06094401986593</c:v>
                </c:pt>
                <c:pt idx="123">
                  <c:v>761.50223178003625</c:v>
                </c:pt>
                <c:pt idx="124">
                  <c:v>762.94346417722647</c:v>
                </c:pt>
                <c:pt idx="125">
                  <c:v>764.38464133080004</c:v>
                </c:pt>
                <c:pt idx="126">
                  <c:v>765.82576335963347</c:v>
                </c:pt>
                <c:pt idx="127">
                  <c:v>767.26683038211877</c:v>
                </c:pt>
                <c:pt idx="128">
                  <c:v>768.70784251616749</c:v>
                </c:pt>
                <c:pt idx="129">
                  <c:v>770.14879987921267</c:v>
                </c:pt>
                <c:pt idx="130">
                  <c:v>771.58970258821171</c:v>
                </c:pt>
                <c:pt idx="131">
                  <c:v>773.03055075965005</c:v>
                </c:pt>
                <c:pt idx="132">
                  <c:v>774.47134450954297</c:v>
                </c:pt>
                <c:pt idx="133">
                  <c:v>775.91208395343881</c:v>
                </c:pt>
                <c:pt idx="134">
                  <c:v>777.35276920642161</c:v>
                </c:pt>
                <c:pt idx="135">
                  <c:v>778.7934003831142</c:v>
                </c:pt>
                <c:pt idx="136">
                  <c:v>780.23397759768068</c:v>
                </c:pt>
                <c:pt idx="137">
                  <c:v>781.67450096382856</c:v>
                </c:pt>
                <c:pt idx="138">
                  <c:v>783.1149705948128</c:v>
                </c:pt>
                <c:pt idx="139">
                  <c:v>784.55538660343711</c:v>
                </c:pt>
                <c:pt idx="140">
                  <c:v>785.99574910205729</c:v>
                </c:pt>
                <c:pt idx="141">
                  <c:v>786.35583137889842</c:v>
                </c:pt>
                <c:pt idx="142">
                  <c:v>786.71591032010508</c:v>
                </c:pt>
                <c:pt idx="143">
                  <c:v>787.07598592741988</c:v>
                </c:pt>
                <c:pt idx="144">
                  <c:v>787.43605820258347</c:v>
                </c:pt>
                <c:pt idx="145">
                  <c:v>787.79612714733514</c:v>
                </c:pt>
                <c:pt idx="146">
                  <c:v>788.15619276341215</c:v>
                </c:pt>
                <c:pt idx="147">
                  <c:v>788.51625505255015</c:v>
                </c:pt>
                <c:pt idx="148">
                  <c:v>788.87631401648298</c:v>
                </c:pt>
                <c:pt idx="149">
                  <c:v>789.23636965694334</c:v>
                </c:pt>
                <c:pt idx="150">
                  <c:v>789.59642197566143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H102" sqref="H10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0.45</v>
      </c>
      <c r="D9" s="33">
        <f t="shared" ref="D9:D18" si="0">C9*$C$5</f>
        <v>0.63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46</v>
      </c>
      <c r="C10" s="32">
        <v>0.45</v>
      </c>
      <c r="D10" s="33">
        <f t="shared" si="0"/>
        <v>0.63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25</v>
      </c>
      <c r="C11" s="32">
        <v>0.1</v>
      </c>
      <c r="D11" s="33">
        <f t="shared" si="0"/>
        <v>0.13999999999999999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>
        <v>2000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>
        <f>C9*$I$16*$C$5</f>
        <v>1260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19</v>
      </c>
      <c r="B36" s="60">
        <v>162</v>
      </c>
      <c r="C36" s="60"/>
      <c r="D36" s="60"/>
      <c r="E36" s="51"/>
      <c r="F36" s="51"/>
      <c r="G36" s="51"/>
      <c r="H36" s="51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281</v>
      </c>
      <c r="C37" s="60">
        <v>1</v>
      </c>
      <c r="D37" s="60">
        <v>54</v>
      </c>
      <c r="E37" s="51">
        <v>0.8</v>
      </c>
      <c r="F37" s="51">
        <v>0.2</v>
      </c>
      <c r="G37" s="51"/>
      <c r="H37" s="51"/>
      <c r="I37" s="53">
        <f t="shared" ref="I37:I55" si="1">IF(A37&lt;&gt;0,(B37-(B36-D36))/(A37-A36),"")</f>
        <v>19.833333333333332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367</v>
      </c>
      <c r="C38" s="60">
        <v>2</v>
      </c>
      <c r="D38" s="60">
        <v>54</v>
      </c>
      <c r="E38" s="51">
        <v>0.8</v>
      </c>
      <c r="F38" s="51">
        <v>0.2</v>
      </c>
      <c r="G38" s="51"/>
      <c r="H38" s="51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436</v>
      </c>
      <c r="C39" s="60"/>
      <c r="D39" s="60"/>
      <c r="E39" s="51"/>
      <c r="F39" s="51"/>
      <c r="G39" s="51"/>
      <c r="H39" s="51"/>
      <c r="I39" s="49">
        <f t="shared" si="1"/>
        <v>24.6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492</v>
      </c>
      <c r="C40" s="60">
        <v>3</v>
      </c>
      <c r="D40" s="60">
        <v>72</v>
      </c>
      <c r="E40" s="51">
        <v>0.8</v>
      </c>
      <c r="F40" s="51">
        <v>0.2</v>
      </c>
      <c r="G40" s="51"/>
      <c r="H40" s="51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540</v>
      </c>
      <c r="C41" s="60"/>
      <c r="D41" s="60"/>
      <c r="E41" s="51"/>
      <c r="F41" s="51"/>
      <c r="G41" s="51"/>
      <c r="H41" s="51"/>
      <c r="I41" s="53">
        <f t="shared" si="1"/>
        <v>24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581</v>
      </c>
      <c r="C42" s="60"/>
      <c r="D42" s="60"/>
      <c r="E42" s="51"/>
      <c r="F42" s="51"/>
      <c r="G42" s="51"/>
      <c r="H42" s="51"/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615</v>
      </c>
      <c r="C43" s="60"/>
      <c r="D43" s="60"/>
      <c r="E43" s="51"/>
      <c r="F43" s="51"/>
      <c r="G43" s="51"/>
      <c r="H43" s="51"/>
      <c r="I43" s="49">
        <f t="shared" si="1"/>
        <v>6.8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637</v>
      </c>
      <c r="C44" s="60">
        <v>4</v>
      </c>
      <c r="D44" s="60">
        <v>637</v>
      </c>
      <c r="E44" s="51">
        <v>0.8</v>
      </c>
      <c r="F44" s="51">
        <v>0.2</v>
      </c>
      <c r="G44" s="51"/>
      <c r="H44" s="51"/>
      <c r="I44" s="49">
        <f t="shared" si="1"/>
        <v>4.4000000000000004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Sapin pectiné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15</v>
      </c>
      <c r="B62" s="60">
        <v>42</v>
      </c>
      <c r="C62" s="60"/>
      <c r="D62" s="60"/>
      <c r="E62" s="51"/>
      <c r="F62" s="51"/>
      <c r="G62" s="51"/>
      <c r="H62" s="51"/>
      <c r="I62" s="53">
        <f>IFERROR(B62/A62,"")</f>
        <v>2.8</v>
      </c>
      <c r="K62" s="23" t="s">
        <v>324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v>134</v>
      </c>
      <c r="C63" s="60">
        <v>1</v>
      </c>
      <c r="D63" s="60">
        <v>22</v>
      </c>
      <c r="E63" s="51">
        <v>0.8</v>
      </c>
      <c r="F63" s="51">
        <v>0.2</v>
      </c>
      <c r="G63" s="51"/>
      <c r="H63" s="51"/>
      <c r="I63" s="49">
        <f>IF(A63&lt;&gt;0,(B63-(B62-D62))/(A63-A62),"")</f>
        <v>18.399999999999999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25</v>
      </c>
      <c r="B64" s="60">
        <v>199</v>
      </c>
      <c r="C64" s="60"/>
      <c r="D64" s="60"/>
      <c r="E64" s="51"/>
      <c r="F64" s="51"/>
      <c r="G64" s="51"/>
      <c r="H64" s="51"/>
      <c r="I64" s="49">
        <f>IF(A64&lt;&gt;0,(B64-(B63-D63))/(A64-A63),"")</f>
        <v>17.399999999999999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30</v>
      </c>
      <c r="B65" s="60">
        <v>272</v>
      </c>
      <c r="C65" s="60">
        <v>2</v>
      </c>
      <c r="D65" s="60">
        <f>B65*0.2</f>
        <v>54.400000000000006</v>
      </c>
      <c r="E65" s="51">
        <v>0.8</v>
      </c>
      <c r="F65" s="51">
        <v>0.2</v>
      </c>
      <c r="G65" s="51"/>
      <c r="H65" s="51"/>
      <c r="I65" s="49">
        <f>IF(A65&lt;&gt;0,(B65-(B64-D64))/(A65-A64),"")</f>
        <v>14.6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35</v>
      </c>
      <c r="B66" s="60">
        <v>343</v>
      </c>
      <c r="C66" s="60"/>
      <c r="D66" s="60"/>
      <c r="E66" s="51"/>
      <c r="F66" s="51"/>
      <c r="G66" s="51"/>
      <c r="H66" s="51"/>
      <c r="I66" s="49">
        <f t="shared" ref="I66:I81" si="2">IF(A66&lt;&gt;0,(B66-(B65-D65))/(A66-A65),"")</f>
        <v>25.080000000000002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40</v>
      </c>
      <c r="B67" s="60">
        <v>410</v>
      </c>
      <c r="C67" s="60"/>
      <c r="D67" s="60"/>
      <c r="E67" s="51"/>
      <c r="F67" s="51"/>
      <c r="G67" s="51"/>
      <c r="H67" s="51"/>
      <c r="I67" s="49">
        <f t="shared" si="2"/>
        <v>13.4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45</v>
      </c>
      <c r="B68" s="60">
        <v>470</v>
      </c>
      <c r="C68" s="60">
        <v>3</v>
      </c>
      <c r="D68" s="60">
        <f>B68*0.2</f>
        <v>94</v>
      </c>
      <c r="E68" s="51">
        <v>0.8</v>
      </c>
      <c r="F68" s="51">
        <v>0.2</v>
      </c>
      <c r="G68" s="51"/>
      <c r="H68" s="51"/>
      <c r="I68" s="49">
        <f t="shared" si="2"/>
        <v>12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50</v>
      </c>
      <c r="B69" s="50">
        <v>523</v>
      </c>
      <c r="C69" s="50"/>
      <c r="D69" s="50"/>
      <c r="E69" s="51"/>
      <c r="F69" s="51"/>
      <c r="G69" s="51"/>
      <c r="H69" s="51"/>
      <c r="I69" s="49">
        <f t="shared" si="2"/>
        <v>29.4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55</v>
      </c>
      <c r="B70" s="50">
        <v>572</v>
      </c>
      <c r="C70" s="50"/>
      <c r="D70" s="50"/>
      <c r="E70" s="51"/>
      <c r="F70" s="51"/>
      <c r="G70" s="51"/>
      <c r="H70" s="51"/>
      <c r="I70" s="49">
        <f t="shared" si="2"/>
        <v>9.8000000000000007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60</v>
      </c>
      <c r="B71" s="50">
        <v>624</v>
      </c>
      <c r="C71" s="50">
        <v>4</v>
      </c>
      <c r="D71" s="50">
        <f>0.3*B71</f>
        <v>187.2</v>
      </c>
      <c r="E71" s="51">
        <v>0.8</v>
      </c>
      <c r="F71" s="51">
        <v>0.2</v>
      </c>
      <c r="G71" s="51"/>
      <c r="H71" s="51"/>
      <c r="I71" s="49">
        <f t="shared" si="2"/>
        <v>10.4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65</v>
      </c>
      <c r="B72" s="50">
        <v>673</v>
      </c>
      <c r="C72" s="50"/>
      <c r="D72" s="50"/>
      <c r="E72" s="51"/>
      <c r="F72" s="51"/>
      <c r="G72" s="51"/>
      <c r="H72" s="51"/>
      <c r="I72" s="49">
        <f t="shared" si="2"/>
        <v>47.239999999999995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70</v>
      </c>
      <c r="B73" s="50">
        <v>717</v>
      </c>
      <c r="C73" s="50"/>
      <c r="D73" s="50"/>
      <c r="E73" s="51"/>
      <c r="F73" s="51"/>
      <c r="G73" s="51"/>
      <c r="H73" s="51"/>
      <c r="I73" s="49">
        <f t="shared" si="2"/>
        <v>8.8000000000000007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75</v>
      </c>
      <c r="B74" s="50">
        <v>754</v>
      </c>
      <c r="C74" s="50"/>
      <c r="D74" s="50"/>
      <c r="E74" s="51"/>
      <c r="F74" s="51"/>
      <c r="G74" s="51"/>
      <c r="H74" s="51"/>
      <c r="I74" s="49">
        <f t="shared" si="2"/>
        <v>7.4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80</v>
      </c>
      <c r="B75" s="50">
        <v>789</v>
      </c>
      <c r="C75" s="50">
        <v>5</v>
      </c>
      <c r="D75" s="50">
        <f>B75</f>
        <v>789</v>
      </c>
      <c r="E75" s="51">
        <v>0.8</v>
      </c>
      <c r="F75" s="51">
        <v>0.2</v>
      </c>
      <c r="G75" s="51"/>
      <c r="H75" s="51"/>
      <c r="I75" s="49">
        <f t="shared" si="2"/>
        <v>7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Hêtre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K87" s="23" t="s">
        <v>325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32</v>
      </c>
      <c r="C88" s="60"/>
      <c r="D88" s="60"/>
      <c r="E88" s="51"/>
      <c r="F88" s="51"/>
      <c r="G88" s="51"/>
      <c r="H88" s="87"/>
      <c r="I88" s="53">
        <f>IFERROR(B88/A88,"")</f>
        <v>1.6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69</v>
      </c>
      <c r="C89" s="60">
        <v>1</v>
      </c>
      <c r="D89" s="60">
        <v>7</v>
      </c>
      <c r="E89" s="51">
        <v>0.5</v>
      </c>
      <c r="F89" s="51"/>
      <c r="G89" s="51"/>
      <c r="H89" s="87">
        <v>0.5</v>
      </c>
      <c r="I89" s="53">
        <f t="shared" ref="I89:I107" si="3">IF(A89&lt;&gt;0,(B89-(B88-D88))/(A89-A88),"")</f>
        <v>7.4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88</v>
      </c>
      <c r="C90" s="60"/>
      <c r="D90" s="60"/>
      <c r="E90" s="87"/>
      <c r="F90" s="87"/>
      <c r="G90" s="87"/>
      <c r="H90" s="87"/>
      <c r="I90" s="53">
        <f t="shared" si="3"/>
        <v>5.2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111</v>
      </c>
      <c r="C91" s="60"/>
      <c r="D91" s="60"/>
      <c r="E91" s="87"/>
      <c r="F91" s="87"/>
      <c r="G91" s="87"/>
      <c r="H91" s="87"/>
      <c r="I91" s="53">
        <f t="shared" si="3"/>
        <v>4.5999999999999996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v>135</v>
      </c>
      <c r="C92" s="60">
        <v>2</v>
      </c>
      <c r="D92" s="60">
        <v>28</v>
      </c>
      <c r="E92" s="87">
        <v>0.5</v>
      </c>
      <c r="F92" s="87"/>
      <c r="G92" s="87"/>
      <c r="H92" s="87">
        <v>0.5</v>
      </c>
      <c r="I92" s="53">
        <f t="shared" si="3"/>
        <v>4.8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v>162</v>
      </c>
      <c r="C93" s="60"/>
      <c r="D93" s="60"/>
      <c r="E93" s="87"/>
      <c r="F93" s="87"/>
      <c r="G93" s="87"/>
      <c r="H93" s="87"/>
      <c r="I93" s="53">
        <f t="shared" si="3"/>
        <v>11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50</v>
      </c>
      <c r="B94" s="60">
        <v>189</v>
      </c>
      <c r="C94" s="60"/>
      <c r="D94" s="60"/>
      <c r="E94" s="87"/>
      <c r="F94" s="87"/>
      <c r="G94" s="87"/>
      <c r="H94" s="87"/>
      <c r="I94" s="53">
        <f t="shared" si="3"/>
        <v>5.4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55</v>
      </c>
      <c r="B95" s="60">
        <v>216</v>
      </c>
      <c r="C95" s="60"/>
      <c r="D95" s="60"/>
      <c r="E95" s="87"/>
      <c r="F95" s="87"/>
      <c r="G95" s="87"/>
      <c r="H95" s="87"/>
      <c r="I95" s="53">
        <f t="shared" si="3"/>
        <v>5.4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60</v>
      </c>
      <c r="B96" s="60">
        <v>242</v>
      </c>
      <c r="C96" s="60">
        <v>3</v>
      </c>
      <c r="D96" s="60">
        <v>28</v>
      </c>
      <c r="E96" s="87">
        <v>0.5</v>
      </c>
      <c r="F96" s="87"/>
      <c r="G96" s="87"/>
      <c r="H96" s="87">
        <v>0.5</v>
      </c>
      <c r="I96" s="53">
        <f t="shared" si="3"/>
        <v>5.2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65</v>
      </c>
      <c r="B97" s="60">
        <v>266</v>
      </c>
      <c r="C97" s="60"/>
      <c r="D97" s="60"/>
      <c r="E97" s="87"/>
      <c r="F97" s="87"/>
      <c r="G97" s="87"/>
      <c r="H97" s="87"/>
      <c r="I97" s="53">
        <f t="shared" si="3"/>
        <v>10.4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70</v>
      </c>
      <c r="B98" s="60">
        <v>288</v>
      </c>
      <c r="C98" s="60"/>
      <c r="D98" s="60"/>
      <c r="E98" s="87"/>
      <c r="F98" s="87"/>
      <c r="G98" s="87"/>
      <c r="H98" s="87"/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75</v>
      </c>
      <c r="B99" s="60">
        <v>307</v>
      </c>
      <c r="C99" s="60"/>
      <c r="D99" s="60"/>
      <c r="E99" s="87"/>
      <c r="F99" s="87"/>
      <c r="G99" s="87"/>
      <c r="H99" s="87"/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80</v>
      </c>
      <c r="B100" s="60">
        <v>323</v>
      </c>
      <c r="C100" s="60">
        <v>4</v>
      </c>
      <c r="D100" s="60">
        <v>28</v>
      </c>
      <c r="E100" s="65">
        <v>0.8</v>
      </c>
      <c r="F100" s="65">
        <v>0.2</v>
      </c>
      <c r="G100" s="65"/>
      <c r="H100" s="65"/>
      <c r="I100" s="53">
        <f t="shared" si="3"/>
        <v>3.2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85</v>
      </c>
      <c r="B101" s="60">
        <v>338</v>
      </c>
      <c r="C101" s="60"/>
      <c r="D101" s="60"/>
      <c r="E101" s="65"/>
      <c r="F101" s="65"/>
      <c r="G101" s="65"/>
      <c r="H101" s="65"/>
      <c r="I101" s="53">
        <f t="shared" si="3"/>
        <v>8.6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90</v>
      </c>
      <c r="B102" s="50">
        <v>351</v>
      </c>
      <c r="C102" s="60"/>
      <c r="D102" s="50"/>
      <c r="E102" s="54"/>
      <c r="F102" s="54"/>
      <c r="G102" s="54"/>
      <c r="H102" s="54"/>
      <c r="I102" s="53">
        <f t="shared" si="3"/>
        <v>2.6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95</v>
      </c>
      <c r="B103" s="50">
        <v>364</v>
      </c>
      <c r="C103" s="60"/>
      <c r="D103" s="50"/>
      <c r="E103" s="54"/>
      <c r="F103" s="54"/>
      <c r="G103" s="54"/>
      <c r="H103" s="54"/>
      <c r="I103" s="53">
        <f t="shared" si="3"/>
        <v>2.6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100</v>
      </c>
      <c r="B104" s="50">
        <v>376</v>
      </c>
      <c r="C104" s="60">
        <v>5</v>
      </c>
      <c r="D104" s="50">
        <v>28</v>
      </c>
      <c r="E104" s="54">
        <v>0.8</v>
      </c>
      <c r="F104" s="54">
        <v>0.2</v>
      </c>
      <c r="G104" s="54"/>
      <c r="H104" s="54"/>
      <c r="I104" s="53">
        <f t="shared" si="3"/>
        <v>2.4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120</v>
      </c>
      <c r="B105" s="50">
        <v>411</v>
      </c>
      <c r="C105" s="50"/>
      <c r="D105" s="50"/>
      <c r="E105" s="54"/>
      <c r="F105" s="54"/>
      <c r="G105" s="54"/>
      <c r="H105" s="54"/>
      <c r="I105" s="53">
        <f t="shared" si="3"/>
        <v>3.15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>
        <v>140</v>
      </c>
      <c r="B106" s="50">
        <v>427</v>
      </c>
      <c r="C106" s="50"/>
      <c r="D106" s="50"/>
      <c r="E106" s="54"/>
      <c r="F106" s="54"/>
      <c r="G106" s="54"/>
      <c r="H106" s="54"/>
      <c r="I106" s="53">
        <f t="shared" si="3"/>
        <v>0.8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>
        <v>150</v>
      </c>
      <c r="B107" s="50">
        <v>429</v>
      </c>
      <c r="C107" s="50">
        <v>6</v>
      </c>
      <c r="D107" s="50">
        <f>B107</f>
        <v>429</v>
      </c>
      <c r="E107" s="54">
        <v>0.8</v>
      </c>
      <c r="F107" s="54">
        <v>0.2</v>
      </c>
      <c r="G107" s="54"/>
      <c r="H107" s="54"/>
      <c r="I107" s="53">
        <f t="shared" si="3"/>
        <v>0.2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2" zoomScaleNormal="100" workbookViewId="0">
      <selection activeCell="H33" sqref="H33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Sapin pectiné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Hêtre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350.25444539178324</v>
      </c>
      <c r="T3" s="59">
        <f>IF('Données projet'!E9&gt;30,$R$33-$H$33,LOOKUP('Données projet'!$E$9,$A$3:$A$203,R3:R203)-LOOKUP('Données projet'!$E$9,$A$3:$A$203,$H$3:$H$203))</f>
        <v>421.51176105448474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350.14981500723491</v>
      </c>
      <c r="AO3" s="59">
        <f>IF('Données projet'!E10&gt;30,$AM$33-$H$33,LOOKUP('Données projet'!$E$10,$A$3:$A$203,AM3:AM203)-LOOKUP('Données projet'!$E$10,$A$3:$A$203,$H$3:$H$203))</f>
        <v>270.58548917514111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359.99244410291516</v>
      </c>
      <c r="BJ3" s="59">
        <f>IF('Données projet'!E11&gt;30,$BH$33-$H$33,LOOKUP('Données projet'!$E$11,$A$3:$A$203,BH3:BH203)-LOOKUP('Données projet'!$E$11,$A$3:$A$203,$H$3:$H$203))</f>
        <v>143.73379124174278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259.76966919403429</v>
      </c>
      <c r="S4" s="59">
        <f ca="1">AVERAGE(OFFSET($R$3,0,0,'Données projet'!$E$9+1,1))-AVERAGE(OFFSET($H$3,0,0,'Données projet'!$E$9+1,1))</f>
        <v>350.25444539178324</v>
      </c>
      <c r="T4" s="59">
        <f>$T$3</f>
        <v>421.51176105448474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1.282970348825361</v>
      </c>
      <c r="AJ4" s="13">
        <f>AI4*VLOOKUP('Données projet'!$B$10,Paramètres!$A$1:$I$89,3,0)*VLOOKUP('Données projet'!$B$10,Paramètres!$A$1:$I$89,5,0)</f>
        <v>0.63378735231972827</v>
      </c>
      <c r="AK4" s="13">
        <f>EXP(-1.0587+0.8836*LN(AJ4)+0.284)</f>
        <v>0.30799906762428558</v>
      </c>
      <c r="AL4" s="20">
        <f t="shared" ref="AL4:AL67" si="4">(AJ4+AK4)*0.475*44/12</f>
        <v>1.6402780147358238</v>
      </c>
      <c r="AM4" s="59">
        <f t="shared" ref="AM4:AM67" si="5">AL4+(AD4+AE4)*44/12</f>
        <v>259.52916690362468</v>
      </c>
      <c r="AN4" s="59">
        <f ca="1">AVERAGE(OFFSET($AM$3,0,0,'Données projet'!$E$10+1,1))-AVERAGE(OFFSET($H$3,0,0,'Données projet'!$E$10+1,1))</f>
        <v>350.14981500723491</v>
      </c>
      <c r="AO4" s="59">
        <f>$AO$3</f>
        <v>270.58548917514111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1.6</v>
      </c>
      <c r="BD4" s="12">
        <f>IF('Données projet'!$A$88&gt;35,BD3+BC4-BL3,IF(A4&lt;'Données projet'!$A$88,$BA$205^A4,IF(A4='Données projet'!$A$88,'Données projet'!$B$88,BD3+BC4-BL3)))</f>
        <v>1.189207115002721</v>
      </c>
      <c r="BE4" s="13">
        <f>BD4*VLOOKUP('Données projet'!$B$11,Paramètres!$A$1:$I$89,3,0)*VLOOKUP('Données projet'!$B$11,Paramètres!$A$1:$I$89,5,0)</f>
        <v>1.0203397046723348</v>
      </c>
      <c r="BF4" s="13">
        <f>EXP(-1.0587+0.8836*LN(BE4)+0.284)</f>
        <v>0.46911460970544039</v>
      </c>
      <c r="BG4" s="20">
        <f t="shared" ref="BG4:BG67" si="7">(BE4+BF4)*0.475*44/12</f>
        <v>2.594132930874625</v>
      </c>
      <c r="BH4" s="59">
        <f t="shared" ref="BH4:BH67" si="8">BG4+(AY4+AZ4)*44/12</f>
        <v>260.48302181976351</v>
      </c>
      <c r="BI4" s="59">
        <f ca="1">AVERAGE(OFFSET($BH$3,0,0,'Données projet'!$E$11+1,1))-AVERAGE(OFFSET($H$3,0,0,'Données projet'!$E$11+1,1))</f>
        <v>359.99244410291516</v>
      </c>
      <c r="BJ4" s="59">
        <f>$BJ$3</f>
        <v>143.73379124174278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261.54497706414969</v>
      </c>
      <c r="S5" s="59">
        <f ca="1">AVERAGE(OFFSET($R$3,0,0,'Données projet'!$E$9+1,1))-AVERAGE(OFFSET($H$3,0,0,'Données projet'!$E$9+1,1))</f>
        <v>350.25444539178324</v>
      </c>
      <c r="T5" s="59">
        <f t="shared" ref="T5:T68" si="34">$T$3</f>
        <v>421.51176105448474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1.6460129159650685</v>
      </c>
      <c r="AJ5" s="13">
        <f>AI5*VLOOKUP('Données projet'!$B$10,Paramètres!$A$1:$I$89,3,0)*VLOOKUP('Données projet'!$B$10,Paramètres!$A$1:$I$89,5,0)</f>
        <v>0.81313038048674391</v>
      </c>
      <c r="AK5" s="13">
        <f t="shared" ref="AK5:AK68" si="35">EXP(-1.0587+0.8836*LN(AJ5)+0.284)</f>
        <v>0.38385712540288347</v>
      </c>
      <c r="AL5" s="20">
        <f t="shared" si="4"/>
        <v>2.0847532394244346</v>
      </c>
      <c r="AM5" s="59">
        <f t="shared" si="5"/>
        <v>261.1958643505356</v>
      </c>
      <c r="AN5" s="59">
        <f ca="1">AVERAGE(OFFSET($AM$3,0,0,'Données projet'!$E$10+1,1))-AVERAGE(OFFSET($H$3,0,0,'Données projet'!$E$10+1,1))</f>
        <v>350.14981500723491</v>
      </c>
      <c r="AO5" s="59">
        <f t="shared" ref="AO5:AO68" si="36">$AO$3</f>
        <v>270.58548917514111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1.6</v>
      </c>
      <c r="BD5" s="12">
        <f>IF('Données projet'!$A$88&gt;35,BD4+BC5-BL4,IF(A5&lt;'Données projet'!$A$88,$BA$205^A5,IF(A5='Données projet'!$A$88,'Données projet'!$B$88,BD4+BC5-BL4)))</f>
        <v>1.4142135623730949</v>
      </c>
      <c r="BE5" s="13">
        <f>BD5*VLOOKUP('Données projet'!$B$11,Paramètres!$A$1:$I$89,3,0)*VLOOKUP('Données projet'!$B$11,Paramètres!$A$1:$I$89,5,0)</f>
        <v>1.2133952365161156</v>
      </c>
      <c r="BF5" s="13">
        <f t="shared" ref="BF5:BF68" si="37">EXP(-1.0587+0.8836*LN(BE5)+0.284)</f>
        <v>0.54673450619692521</v>
      </c>
      <c r="BG5" s="20">
        <f t="shared" si="7"/>
        <v>3.0655593018918794</v>
      </c>
      <c r="BH5" s="59">
        <f t="shared" si="8"/>
        <v>262.17667041300302</v>
      </c>
      <c r="BI5" s="59">
        <f ca="1">AVERAGE(OFFSET($BH$3,0,0,'Données projet'!$E$11+1,1))-AVERAGE(OFFSET($H$3,0,0,'Données projet'!$E$11+1,1))</f>
        <v>359.99244410291516</v>
      </c>
      <c r="BJ5" s="59">
        <f t="shared" ref="BJ5:BJ68" si="38">$BJ$3</f>
        <v>143.73379124174278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263.48359426836487</v>
      </c>
      <c r="S6" s="59">
        <f ca="1">AVERAGE(OFFSET($R$3,0,0,'Données projet'!$E$9+1,1))-AVERAGE(OFFSET($H$3,0,0,'Données projet'!$E$9+1,1))</f>
        <v>350.25444539178324</v>
      </c>
      <c r="T6" s="59">
        <f t="shared" si="34"/>
        <v>421.51176105448474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2.1117857649667533</v>
      </c>
      <c r="AJ6" s="13">
        <f>AI6*VLOOKUP('Données projet'!$B$10,Paramètres!$A$1:$I$89,3,0)*VLOOKUP('Données projet'!$B$10,Paramètres!$A$1:$I$89,5,0)</f>
        <v>1.0432221678935762</v>
      </c>
      <c r="AK6" s="13">
        <f t="shared" si="35"/>
        <v>0.47839850249906024</v>
      </c>
      <c r="AL6" s="20">
        <f t="shared" si="4"/>
        <v>2.6501560009338418</v>
      </c>
      <c r="AM6" s="59">
        <f t="shared" si="5"/>
        <v>262.98348933426718</v>
      </c>
      <c r="AN6" s="59">
        <f ca="1">AVERAGE(OFFSET($AM$3,0,0,'Données projet'!$E$10+1,1))-AVERAGE(OFFSET($H$3,0,0,'Données projet'!$E$10+1,1))</f>
        <v>350.14981500723491</v>
      </c>
      <c r="AO6" s="59">
        <f t="shared" si="36"/>
        <v>270.58548917514111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1.6</v>
      </c>
      <c r="BD6" s="12">
        <f>IF('Données projet'!$A$88&gt;35,BD5+BC6-BL5,IF(A6&lt;'Données projet'!$A$88,$BA$205^A6,IF(A6='Données projet'!$A$88,'Données projet'!$B$88,BD5+BC6-BL5)))</f>
        <v>1.6817928305074288</v>
      </c>
      <c r="BE6" s="13">
        <f>BD6*VLOOKUP('Données projet'!$B$11,Paramètres!$A$1:$I$89,3,0)*VLOOKUP('Données projet'!$B$11,Paramètres!$A$1:$I$89,5,0)</f>
        <v>1.4429782485753739</v>
      </c>
      <c r="BF6" s="13">
        <f t="shared" si="37"/>
        <v>0.6371974227238163</v>
      </c>
      <c r="BG6" s="20">
        <f t="shared" si="7"/>
        <v>3.6229726275127558</v>
      </c>
      <c r="BH6" s="59">
        <f t="shared" si="8"/>
        <v>263.95630596084607</v>
      </c>
      <c r="BI6" s="59">
        <f ca="1">AVERAGE(OFFSET($BH$3,0,0,'Données projet'!$E$11+1,1))-AVERAGE(OFFSET($H$3,0,0,'Données projet'!$E$11+1,1))</f>
        <v>359.99244410291516</v>
      </c>
      <c r="BJ6" s="59">
        <f t="shared" si="38"/>
        <v>143.73379124174278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265.63392560576659</v>
      </c>
      <c r="S7" s="59">
        <f ca="1">AVERAGE(OFFSET($R$3,0,0,'Données projet'!$E$9+1,1))-AVERAGE(OFFSET($H$3,0,0,'Données projet'!$E$9+1,1))</f>
        <v>350.25444539178324</v>
      </c>
      <c r="T7" s="59">
        <f t="shared" si="34"/>
        <v>421.51176105448474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2.7093585195238274</v>
      </c>
      <c r="AJ7" s="13">
        <f>AI7*VLOOKUP('Données projet'!$B$10,Paramètres!$A$1:$I$89,3,0)*VLOOKUP('Données projet'!$B$10,Paramètres!$A$1:$I$89,5,0)</f>
        <v>1.3384231086447707</v>
      </c>
      <c r="AK7" s="13">
        <f t="shared" si="35"/>
        <v>0.5962247723111409</v>
      </c>
      <c r="AL7" s="20">
        <f t="shared" si="4"/>
        <v>3.3695117259982124</v>
      </c>
      <c r="AM7" s="59">
        <f t="shared" si="5"/>
        <v>264.92506728155377</v>
      </c>
      <c r="AN7" s="59">
        <f ca="1">AVERAGE(OFFSET($AM$3,0,0,'Données projet'!$E$10+1,1))-AVERAGE(OFFSET($H$3,0,0,'Données projet'!$E$10+1,1))</f>
        <v>350.14981500723491</v>
      </c>
      <c r="AO7" s="59">
        <f t="shared" si="36"/>
        <v>270.58548917514111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1.6</v>
      </c>
      <c r="BD7" s="12">
        <f>IF('Données projet'!$A$88&gt;35,BD6+BC7-BL6,IF(A7&lt;'Données projet'!$A$88,$BA$205^A7,IF(A7='Données projet'!$A$88,'Données projet'!$B$88,BD6+BC7-BL6)))</f>
        <v>1.9999999999999996</v>
      </c>
      <c r="BE7" s="13">
        <f>BD7*VLOOKUP('Données projet'!$B$11,Paramètres!$A$1:$I$89,3,0)*VLOOKUP('Données projet'!$B$11,Paramètres!$A$1:$I$89,5,0)</f>
        <v>1.7159999999999997</v>
      </c>
      <c r="BF7" s="13">
        <f t="shared" si="37"/>
        <v>0.74262837066960552</v>
      </c>
      <c r="BG7" s="20">
        <f t="shared" si="7"/>
        <v>4.2821110789162296</v>
      </c>
      <c r="BH7" s="59">
        <f t="shared" si="8"/>
        <v>265.83766663447176</v>
      </c>
      <c r="BI7" s="59">
        <f ca="1">AVERAGE(OFFSET($BH$3,0,0,'Données projet'!$E$11+1,1))-AVERAGE(OFFSET($H$3,0,0,'Données projet'!$E$11+1,1))</f>
        <v>359.99244410291516</v>
      </c>
      <c r="BJ7" s="59">
        <f t="shared" si="38"/>
        <v>143.73379124174278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268.05877425367106</v>
      </c>
      <c r="S8" s="59">
        <f ca="1">AVERAGE(OFFSET($R$3,0,0,'Données projet'!$E$9+1,1))-AVERAGE(OFFSET($H$3,0,0,'Données projet'!$E$9+1,1))</f>
        <v>350.25444539178324</v>
      </c>
      <c r="T8" s="59">
        <f t="shared" si="34"/>
        <v>421.51176105448474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3.4760266448864483</v>
      </c>
      <c r="AJ8" s="13">
        <f>AI8*VLOOKUP('Données projet'!$B$10,Paramètres!$A$1:$I$89,3,0)*VLOOKUP('Données projet'!$B$10,Paramètres!$A$1:$I$89,5,0)</f>
        <v>1.7171571625739055</v>
      </c>
      <c r="AK8" s="13">
        <f t="shared" si="35"/>
        <v>0.74307084420309244</v>
      </c>
      <c r="AL8" s="20">
        <f t="shared" si="4"/>
        <v>4.2848971118032706</v>
      </c>
      <c r="AM8" s="59">
        <f t="shared" si="5"/>
        <v>267.06267488958105</v>
      </c>
      <c r="AN8" s="59">
        <f ca="1">AVERAGE(OFFSET($AM$3,0,0,'Données projet'!$E$10+1,1))-AVERAGE(OFFSET($H$3,0,0,'Données projet'!$E$10+1,1))</f>
        <v>350.14981500723491</v>
      </c>
      <c r="AO8" s="59">
        <f t="shared" si="36"/>
        <v>270.58548917514111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1.6</v>
      </c>
      <c r="BD8" s="12">
        <f>IF('Données projet'!$A$88&gt;35,BD7+BC8-BL7,IF(A8&lt;'Données projet'!$A$88,$BA$205^A8,IF(A8='Données projet'!$A$88,'Données projet'!$B$88,BD7+BC8-BL7)))</f>
        <v>2.3784142300054416</v>
      </c>
      <c r="BE8" s="13">
        <f>BD8*VLOOKUP('Données projet'!$B$11,Paramètres!$A$1:$I$89,3,0)*VLOOKUP('Données projet'!$B$11,Paramètres!$A$1:$I$89,5,0)</f>
        <v>2.0406794093446692</v>
      </c>
      <c r="BF8" s="13">
        <f t="shared" si="37"/>
        <v>0.86550396667632346</v>
      </c>
      <c r="BG8" s="20">
        <f t="shared" si="7"/>
        <v>5.061602713236562</v>
      </c>
      <c r="BH8" s="59">
        <f t="shared" si="8"/>
        <v>267.83938049101431</v>
      </c>
      <c r="BI8" s="59">
        <f ca="1">AVERAGE(OFFSET($BH$3,0,0,'Données projet'!$E$11+1,1))-AVERAGE(OFFSET($H$3,0,0,'Données projet'!$E$11+1,1))</f>
        <v>359.99244410291516</v>
      </c>
      <c r="BJ8" s="59">
        <f t="shared" si="38"/>
        <v>143.73379124174278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270.83963883937986</v>
      </c>
      <c r="S9" s="59">
        <f ca="1">AVERAGE(OFFSET($R$3,0,0,'Données projet'!$E$9+1,1))-AVERAGE(OFFSET($H$3,0,0,'Données projet'!$E$9+1,1))</f>
        <v>350.25444539178324</v>
      </c>
      <c r="T9" s="59">
        <f t="shared" si="34"/>
        <v>421.51176105448474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4.4596391171162164</v>
      </c>
      <c r="AJ9" s="13">
        <f>AI9*VLOOKUP('Données projet'!$B$10,Paramètres!$A$1:$I$89,3,0)*VLOOKUP('Données projet'!$B$10,Paramètres!$A$1:$I$89,5,0)</f>
        <v>2.2030617238554107</v>
      </c>
      <c r="AK9" s="13">
        <f t="shared" si="35"/>
        <v>0.92608409637926592</v>
      </c>
      <c r="AL9" s="20">
        <f t="shared" si="4"/>
        <v>5.4499289702420617</v>
      </c>
      <c r="AM9" s="59">
        <f t="shared" si="5"/>
        <v>269.44992897024207</v>
      </c>
      <c r="AN9" s="59">
        <f ca="1">AVERAGE(OFFSET($AM$3,0,0,'Données projet'!$E$10+1,1))-AVERAGE(OFFSET($H$3,0,0,'Données projet'!$E$10+1,1))</f>
        <v>350.14981500723491</v>
      </c>
      <c r="AO9" s="59">
        <f t="shared" si="36"/>
        <v>270.58548917514111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1.6</v>
      </c>
      <c r="BD9" s="12">
        <f>IF('Données projet'!$A$88&gt;35,BD8+BC9-BL8,IF(A9&lt;'Données projet'!$A$88,$BA$205^A9,IF(A9='Données projet'!$A$88,'Données projet'!$B$88,BD8+BC9-BL8)))</f>
        <v>2.8284271247461894</v>
      </c>
      <c r="BE9" s="13">
        <f>BD9*VLOOKUP('Données projet'!$B$11,Paramètres!$A$1:$I$89,3,0)*VLOOKUP('Données projet'!$B$11,Paramètres!$A$1:$I$89,5,0)</f>
        <v>2.4267904730322307</v>
      </c>
      <c r="BF9" s="13">
        <f t="shared" si="37"/>
        <v>1.0087106093953995</v>
      </c>
      <c r="BG9" s="20">
        <f t="shared" si="7"/>
        <v>5.9834977185614555</v>
      </c>
      <c r="BH9" s="59">
        <f t="shared" si="8"/>
        <v>269.98349771856147</v>
      </c>
      <c r="BI9" s="59">
        <f ca="1">AVERAGE(OFFSET($BH$3,0,0,'Données projet'!$E$11+1,1))-AVERAGE(OFFSET($H$3,0,0,'Données projet'!$E$11+1,1))</f>
        <v>359.99244410291516</v>
      </c>
      <c r="BJ9" s="59">
        <f t="shared" si="38"/>
        <v>143.73379124174278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274.08229683859719</v>
      </c>
      <c r="S10" s="59">
        <f ca="1">AVERAGE(OFFSET($R$3,0,0,'Données projet'!$E$9+1,1))-AVERAGE(OFFSET($H$3,0,0,'Données projet'!$E$9+1,1))</f>
        <v>350.25444539178324</v>
      </c>
      <c r="T10" s="59">
        <f t="shared" si="34"/>
        <v>421.51176105448474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5.7215847537218165</v>
      </c>
      <c r="AJ10" s="13">
        <f>AI10*VLOOKUP('Données projet'!$B$10,Paramètres!$A$1:$I$89,3,0)*VLOOKUP('Données projet'!$B$10,Paramètres!$A$1:$I$89,5,0)</f>
        <v>2.8264628683385773</v>
      </c>
      <c r="AK10" s="13">
        <f t="shared" si="35"/>
        <v>1.1541722572716064</v>
      </c>
      <c r="AL10" s="20">
        <f t="shared" si="4"/>
        <v>6.9329395104377367</v>
      </c>
      <c r="AM10" s="59">
        <f t="shared" si="5"/>
        <v>272.15516173265996</v>
      </c>
      <c r="AN10" s="59">
        <f ca="1">AVERAGE(OFFSET($AM$3,0,0,'Données projet'!$E$10+1,1))-AVERAGE(OFFSET($H$3,0,0,'Données projet'!$E$10+1,1))</f>
        <v>350.14981500723491</v>
      </c>
      <c r="AO10" s="59">
        <f t="shared" si="36"/>
        <v>270.58548917514111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1.6</v>
      </c>
      <c r="BD10" s="12">
        <f>IF('Données projet'!$A$88&gt;35,BD9+BC10-BL9,IF(A10&lt;'Données projet'!$A$88,$BA$205^A10,IF(A10='Données projet'!$A$88,'Données projet'!$B$88,BD9+BC10-BL9)))</f>
        <v>3.3635856610148567</v>
      </c>
      <c r="BE10" s="13">
        <f>BD10*VLOOKUP('Données projet'!$B$11,Paramètres!$A$1:$I$89,3,0)*VLOOKUP('Données projet'!$B$11,Paramètres!$A$1:$I$89,5,0)</f>
        <v>2.8859564971507474</v>
      </c>
      <c r="BF10" s="13">
        <f t="shared" si="37"/>
        <v>1.1756122821876749</v>
      </c>
      <c r="BG10" s="20">
        <f t="shared" si="7"/>
        <v>7.073898957347752</v>
      </c>
      <c r="BH10" s="59">
        <f t="shared" si="8"/>
        <v>272.29612117956998</v>
      </c>
      <c r="BI10" s="59">
        <f ca="1">AVERAGE(OFFSET($BH$3,0,0,'Données projet'!$E$11+1,1))-AVERAGE(OFFSET($H$3,0,0,'Données projet'!$E$11+1,1))</f>
        <v>359.99244410291516</v>
      </c>
      <c r="BJ10" s="59">
        <f t="shared" si="38"/>
        <v>143.73379124174278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277.9240604336527</v>
      </c>
      <c r="S11" s="59">
        <f ca="1">AVERAGE(OFFSET($R$3,0,0,'Données projet'!$E$9+1,1))-AVERAGE(OFFSET($H$3,0,0,'Données projet'!$E$9+1,1))</f>
        <v>350.25444539178324</v>
      </c>
      <c r="T11" s="59">
        <f t="shared" si="34"/>
        <v>421.51176105448474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7.3406235873163457</v>
      </c>
      <c r="AJ11" s="13">
        <f>AI11*VLOOKUP('Données projet'!$B$10,Paramètres!$A$1:$I$89,3,0)*VLOOKUP('Données projet'!$B$10,Paramètres!$A$1:$I$89,5,0)</f>
        <v>3.6262680521342747</v>
      </c>
      <c r="AK11" s="13">
        <f t="shared" si="35"/>
        <v>1.4384369677264006</v>
      </c>
      <c r="AL11" s="20">
        <f t="shared" si="4"/>
        <v>8.8210279095906756</v>
      </c>
      <c r="AM11" s="59">
        <f t="shared" si="5"/>
        <v>275.26547235403513</v>
      </c>
      <c r="AN11" s="59">
        <f ca="1">AVERAGE(OFFSET($AM$3,0,0,'Données projet'!$E$10+1,1))-AVERAGE(OFFSET($H$3,0,0,'Données projet'!$E$10+1,1))</f>
        <v>350.14981500723491</v>
      </c>
      <c r="AO11" s="59">
        <f t="shared" si="36"/>
        <v>270.58548917514111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1.6</v>
      </c>
      <c r="BD11" s="12">
        <f>IF('Données projet'!$A$88&gt;35,BD10+BC11-BL10,IF(A11&lt;'Données projet'!$A$88,$BA$205^A11,IF(A11='Données projet'!$A$88,'Données projet'!$B$88,BD10+BC11-BL10)))</f>
        <v>3.9999999999999982</v>
      </c>
      <c r="BE11" s="13">
        <f>BD11*VLOOKUP('Données projet'!$B$11,Paramètres!$A$1:$I$89,3,0)*VLOOKUP('Données projet'!$B$11,Paramètres!$A$1:$I$89,5,0)</f>
        <v>3.4319999999999991</v>
      </c>
      <c r="BF11" s="13">
        <f t="shared" si="37"/>
        <v>1.3701295744860806</v>
      </c>
      <c r="BG11" s="20">
        <f t="shared" si="7"/>
        <v>8.3637090088965884</v>
      </c>
      <c r="BH11" s="59">
        <f t="shared" si="8"/>
        <v>274.80815345334105</v>
      </c>
      <c r="BI11" s="59">
        <f ca="1">AVERAGE(OFFSET($BH$3,0,0,'Données projet'!$E$11+1,1))-AVERAGE(OFFSET($H$3,0,0,'Données projet'!$E$11+1,1))</f>
        <v>359.99244410291516</v>
      </c>
      <c r="BJ11" s="59">
        <f t="shared" si="38"/>
        <v>143.73379124174278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282.54320716865197</v>
      </c>
      <c r="S12" s="59">
        <f ca="1">AVERAGE(OFFSET($R$3,0,0,'Données projet'!$E$9+1,1))-AVERAGE(OFFSET($H$3,0,0,'Données projet'!$E$9+1,1))</f>
        <v>350.25444539178324</v>
      </c>
      <c r="T12" s="59">
        <f t="shared" si="34"/>
        <v>421.51176105448474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9.4178024044149247</v>
      </c>
      <c r="AJ12" s="13">
        <f>AI12*VLOOKUP('Données projet'!$B$10,Paramètres!$A$1:$I$89,3,0)*VLOOKUP('Données projet'!$B$10,Paramètres!$A$1:$I$89,5,0)</f>
        <v>4.6523943877809728</v>
      </c>
      <c r="AK12" s="13">
        <f t="shared" si="35"/>
        <v>1.7927141265838018</v>
      </c>
      <c r="AL12" s="20">
        <f t="shared" si="4"/>
        <v>11.225230662518648</v>
      </c>
      <c r="AM12" s="59">
        <f t="shared" si="5"/>
        <v>278.89189732918533</v>
      </c>
      <c r="AN12" s="59">
        <f ca="1">AVERAGE(OFFSET($AM$3,0,0,'Données projet'!$E$10+1,1))-AVERAGE(OFFSET($H$3,0,0,'Données projet'!$E$10+1,1))</f>
        <v>350.14981500723491</v>
      </c>
      <c r="AO12" s="59">
        <f t="shared" si="36"/>
        <v>270.58548917514111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1.6</v>
      </c>
      <c r="BD12" s="12">
        <f>IF('Données projet'!$A$88&gt;35,BD11+BC12-BL11,IF(A12&lt;'Données projet'!$A$88,$BA$205^A12,IF(A12='Données projet'!$A$88,'Données projet'!$B$88,BD11+BC12-BL11)))</f>
        <v>4.7568284600108823</v>
      </c>
      <c r="BE12" s="13">
        <f>BD12*VLOOKUP('Données projet'!$B$11,Paramètres!$A$1:$I$89,3,0)*VLOOKUP('Données projet'!$B$11,Paramètres!$A$1:$I$89,5,0)</f>
        <v>4.0813588186893375</v>
      </c>
      <c r="BF12" s="13">
        <f t="shared" si="37"/>
        <v>1.5968317780655192</v>
      </c>
      <c r="BG12" s="20">
        <f t="shared" si="7"/>
        <v>9.8895152893480418</v>
      </c>
      <c r="BH12" s="59">
        <f t="shared" si="8"/>
        <v>277.55618195601471</v>
      </c>
      <c r="BI12" s="59">
        <f ca="1">AVERAGE(OFFSET($BH$3,0,0,'Données projet'!$E$11+1,1))-AVERAGE(OFFSET($H$3,0,0,'Données projet'!$E$11+1,1))</f>
        <v>359.99244410291516</v>
      </c>
      <c r="BJ12" s="59">
        <f t="shared" si="38"/>
        <v>143.73379124174278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288.17123899352742</v>
      </c>
      <c r="S13" s="59">
        <f ca="1">AVERAGE(OFFSET($R$3,0,0,'Données projet'!$E$9+1,1))-AVERAGE(OFFSET($H$3,0,0,'Données projet'!$E$9+1,1))</f>
        <v>350.25444539178324</v>
      </c>
      <c r="T13" s="59">
        <f t="shared" si="34"/>
        <v>421.51176105448474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12.08276123596054</v>
      </c>
      <c r="AJ13" s="13">
        <f>AI13*VLOOKUP('Données projet'!$B$10,Paramètres!$A$1:$I$89,3,0)*VLOOKUP('Données projet'!$B$10,Paramètres!$A$1:$I$89,5,0)</f>
        <v>5.9688840505645064</v>
      </c>
      <c r="AK13" s="13">
        <f t="shared" si="35"/>
        <v>2.2342473196673369</v>
      </c>
      <c r="AL13" s="20">
        <f t="shared" si="4"/>
        <v>14.287120469820463</v>
      </c>
      <c r="AM13" s="59">
        <f t="shared" si="5"/>
        <v>283.17600935870934</v>
      </c>
      <c r="AN13" s="59">
        <f ca="1">AVERAGE(OFFSET($AM$3,0,0,'Données projet'!$E$10+1,1))-AVERAGE(OFFSET($H$3,0,0,'Données projet'!$E$10+1,1))</f>
        <v>350.14981500723491</v>
      </c>
      <c r="AO13" s="59">
        <f t="shared" si="36"/>
        <v>270.58548917514111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1.6</v>
      </c>
      <c r="BD13" s="12">
        <f>IF('Données projet'!$A$88&gt;35,BD12+BC13-BL12,IF(A13&lt;'Données projet'!$A$88,$BA$205^A13,IF(A13='Données projet'!$A$88,'Données projet'!$B$88,BD12+BC13-BL12)))</f>
        <v>5.656854249492377</v>
      </c>
      <c r="BE13" s="13">
        <f>BD13*VLOOKUP('Données projet'!$B$11,Paramètres!$A$1:$I$89,3,0)*VLOOKUP('Données projet'!$B$11,Paramètres!$A$1:$I$89,5,0)</f>
        <v>4.8535809460644597</v>
      </c>
      <c r="BF13" s="13">
        <f t="shared" si="37"/>
        <v>1.8610442215994896</v>
      </c>
      <c r="BG13" s="20">
        <f t="shared" si="7"/>
        <v>11.694638833681379</v>
      </c>
      <c r="BH13" s="59">
        <f t="shared" si="8"/>
        <v>280.58352772257024</v>
      </c>
      <c r="BI13" s="59">
        <f ca="1">AVERAGE(OFFSET($BH$3,0,0,'Données projet'!$E$11+1,1))-AVERAGE(OFFSET($H$3,0,0,'Données projet'!$E$11+1,1))</f>
        <v>359.99244410291516</v>
      </c>
      <c r="BJ13" s="59">
        <f t="shared" si="38"/>
        <v>143.73379124174278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295.10882018897831</v>
      </c>
      <c r="S14" s="59">
        <f ca="1">AVERAGE(OFFSET($R$3,0,0,'Données projet'!$E$9+1,1))-AVERAGE(OFFSET($H$3,0,0,'Données projet'!$E$9+1,1))</f>
        <v>350.25444539178324</v>
      </c>
      <c r="T14" s="59">
        <f t="shared" si="34"/>
        <v>421.51176105448474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15.501824397673841</v>
      </c>
      <c r="AJ14" s="13">
        <f>AI14*VLOOKUP('Données projet'!$B$10,Paramètres!$A$1:$I$89,3,0)*VLOOKUP('Données projet'!$B$10,Paramètres!$A$1:$I$89,5,0)</f>
        <v>7.6579012524508778</v>
      </c>
      <c r="AK14" s="13">
        <f t="shared" si="35"/>
        <v>2.7845271097144622</v>
      </c>
      <c r="AL14" s="20">
        <f t="shared" si="4"/>
        <v>18.187229397437967</v>
      </c>
      <c r="AM14" s="59">
        <f t="shared" si="5"/>
        <v>288.29834050854913</v>
      </c>
      <c r="AN14" s="59">
        <f ca="1">AVERAGE(OFFSET($AM$3,0,0,'Données projet'!$E$10+1,1))-AVERAGE(OFFSET($H$3,0,0,'Données projet'!$E$10+1,1))</f>
        <v>350.14981500723491</v>
      </c>
      <c r="AO14" s="59">
        <f t="shared" si="36"/>
        <v>270.58548917514111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1.6</v>
      </c>
      <c r="BD14" s="12">
        <f>IF('Données projet'!$A$88&gt;35,BD13+BC14-BL13,IF(A14&lt;'Données projet'!$A$88,$BA$205^A14,IF(A14='Données projet'!$A$88,'Données projet'!$B$88,BD13+BC14-BL13)))</f>
        <v>6.7271713220297125</v>
      </c>
      <c r="BE14" s="13">
        <f>BD14*VLOOKUP('Données projet'!$B$11,Paramètres!$A$1:$I$89,3,0)*VLOOKUP('Données projet'!$B$11,Paramètres!$A$1:$I$89,5,0)</f>
        <v>5.771912994301494</v>
      </c>
      <c r="BF14" s="13">
        <f t="shared" si="37"/>
        <v>2.1689733648366443</v>
      </c>
      <c r="BG14" s="20">
        <f t="shared" si="7"/>
        <v>13.830377075498925</v>
      </c>
      <c r="BH14" s="59">
        <f t="shared" si="8"/>
        <v>283.94148818661006</v>
      </c>
      <c r="BI14" s="59">
        <f ca="1">AVERAGE(OFFSET($BH$3,0,0,'Données projet'!$E$11+1,1))-AVERAGE(OFFSET($H$3,0,0,'Données projet'!$E$11+1,1))</f>
        <v>359.99244410291516</v>
      </c>
      <c r="BJ14" s="59">
        <f t="shared" si="38"/>
        <v>143.73379124174278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303.74650101186751</v>
      </c>
      <c r="S15" s="59">
        <f ca="1">AVERAGE(OFFSET($R$3,0,0,'Données projet'!$E$9+1,1))-AVERAGE(OFFSET($H$3,0,0,'Données projet'!$E$9+1,1))</f>
        <v>350.25444539178324</v>
      </c>
      <c r="T15" s="59">
        <f t="shared" si="34"/>
        <v>421.51176105448474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19.888381054913101</v>
      </c>
      <c r="AJ15" s="13">
        <f>AI15*VLOOKUP('Données projet'!$B$10,Paramètres!$A$1:$I$89,3,0)*VLOOKUP('Données projet'!$B$10,Paramètres!$A$1:$I$89,5,0)</f>
        <v>9.8248602411270713</v>
      </c>
      <c r="AK15" s="13">
        <f t="shared" si="35"/>
        <v>3.4703370376602853</v>
      </c>
      <c r="AL15" s="20">
        <f t="shared" si="4"/>
        <v>23.155801927221308</v>
      </c>
      <c r="AM15" s="59">
        <f t="shared" si="5"/>
        <v>294.48913526055463</v>
      </c>
      <c r="AN15" s="59">
        <f ca="1">AVERAGE(OFFSET($AM$3,0,0,'Données projet'!$E$10+1,1))-AVERAGE(OFFSET($H$3,0,0,'Données projet'!$E$10+1,1))</f>
        <v>350.14981500723491</v>
      </c>
      <c r="AO15" s="59">
        <f t="shared" si="36"/>
        <v>270.58548917514111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1.6</v>
      </c>
      <c r="BD15" s="12">
        <f>IF('Données projet'!$A$88&gt;35,BD14+BC15-BL14,IF(A15&lt;'Données projet'!$A$88,$BA$205^A15,IF(A15='Données projet'!$A$88,'Données projet'!$B$88,BD14+BC15-BL14)))</f>
        <v>7.9999999999999947</v>
      </c>
      <c r="BE15" s="13">
        <f>BD15*VLOOKUP('Données projet'!$B$11,Paramètres!$A$1:$I$89,3,0)*VLOOKUP('Données projet'!$B$11,Paramètres!$A$1:$I$89,5,0)</f>
        <v>6.8639999999999963</v>
      </c>
      <c r="BF15" s="13">
        <f t="shared" si="37"/>
        <v>2.5278525909113112</v>
      </c>
      <c r="BG15" s="20">
        <f t="shared" si="7"/>
        <v>16.357476595837191</v>
      </c>
      <c r="BH15" s="59">
        <f t="shared" si="8"/>
        <v>287.69080992917048</v>
      </c>
      <c r="BI15" s="59">
        <f ca="1">AVERAGE(OFFSET($BH$3,0,0,'Données projet'!$E$11+1,1))-AVERAGE(OFFSET($H$3,0,0,'Données projet'!$E$11+1,1))</f>
        <v>359.99244410291516</v>
      </c>
      <c r="BJ15" s="59">
        <f t="shared" si="38"/>
        <v>143.73379124174278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314.59166767936932</v>
      </c>
      <c r="S16" s="59">
        <f ca="1">AVERAGE(OFFSET($R$3,0,0,'Données projet'!$E$9+1,1))-AVERAGE(OFFSET($H$3,0,0,'Données projet'!$E$9+1,1))</f>
        <v>350.25444539178324</v>
      </c>
      <c r="T16" s="59">
        <f t="shared" si="34"/>
        <v>421.51176105448474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25.51620317959356</v>
      </c>
      <c r="AJ16" s="13">
        <f>AI16*VLOOKUP('Données projet'!$B$10,Paramètres!$A$1:$I$89,3,0)*VLOOKUP('Données projet'!$B$10,Paramètres!$A$1:$I$89,5,0)</f>
        <v>12.60500437071922</v>
      </c>
      <c r="AK16" s="13">
        <f t="shared" si="35"/>
        <v>4.325057246862908</v>
      </c>
      <c r="AL16" s="20">
        <f t="shared" si="4"/>
        <v>29.486523983955536</v>
      </c>
      <c r="AM16" s="59">
        <f t="shared" si="5"/>
        <v>302.04207953951106</v>
      </c>
      <c r="AN16" s="59">
        <f ca="1">AVERAGE(OFFSET($AM$3,0,0,'Données projet'!$E$10+1,1))-AVERAGE(OFFSET($H$3,0,0,'Données projet'!$E$10+1,1))</f>
        <v>350.14981500723491</v>
      </c>
      <c r="AO16" s="59">
        <f t="shared" si="36"/>
        <v>270.58548917514111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1.6</v>
      </c>
      <c r="BD16" s="12">
        <f>IF('Données projet'!$A$88&gt;35,BD15+BC16-BL15,IF(A16&lt;'Données projet'!$A$88,$BA$205^A16,IF(A16='Données projet'!$A$88,'Données projet'!$B$88,BD15+BC16-BL15)))</f>
        <v>9.5136569200217629</v>
      </c>
      <c r="BE16" s="13">
        <f>BD16*VLOOKUP('Données projet'!$B$11,Paramètres!$A$1:$I$89,3,0)*VLOOKUP('Données projet'!$B$11,Paramètres!$A$1:$I$89,5,0)</f>
        <v>8.1627176373786732</v>
      </c>
      <c r="BF16" s="13">
        <f t="shared" si="37"/>
        <v>2.946112121509751</v>
      </c>
      <c r="BG16" s="20">
        <f t="shared" si="7"/>
        <v>19.347878496730672</v>
      </c>
      <c r="BH16" s="59">
        <f t="shared" si="8"/>
        <v>291.90343405228623</v>
      </c>
      <c r="BI16" s="59">
        <f ca="1">AVERAGE(OFFSET($BH$3,0,0,'Données projet'!$E$11+1,1))-AVERAGE(OFFSET($H$3,0,0,'Données projet'!$E$11+1,1))</f>
        <v>359.99244410291516</v>
      </c>
      <c r="BJ16" s="59">
        <f t="shared" si="38"/>
        <v>143.73379124174278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328.3035939534235</v>
      </c>
      <c r="S17" s="59">
        <f ca="1">AVERAGE(OFFSET($R$3,0,0,'Données projet'!$E$9+1,1))-AVERAGE(OFFSET($H$3,0,0,'Données projet'!$E$9+1,1))</f>
        <v>350.25444539178324</v>
      </c>
      <c r="T17" s="59">
        <f t="shared" si="34"/>
        <v>421.51176105448474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32.736532094021939</v>
      </c>
      <c r="AJ17" s="13">
        <f>AI17*VLOOKUP('Données projet'!$B$10,Paramètres!$A$1:$I$89,3,0)*VLOOKUP('Données projet'!$B$10,Paramètres!$A$1:$I$89,5,0)</f>
        <v>16.171846854446841</v>
      </c>
      <c r="AK17" s="13">
        <f t="shared" si="35"/>
        <v>5.390289181033868</v>
      </c>
      <c r="AL17" s="20">
        <f t="shared" si="4"/>
        <v>37.554053595128899</v>
      </c>
      <c r="AM17" s="59">
        <f t="shared" si="5"/>
        <v>311.33183137290666</v>
      </c>
      <c r="AN17" s="59">
        <f ca="1">AVERAGE(OFFSET($AM$3,0,0,'Données projet'!$E$10+1,1))-AVERAGE(OFFSET($H$3,0,0,'Données projet'!$E$10+1,1))</f>
        <v>350.14981500723491</v>
      </c>
      <c r="AO17" s="59">
        <f t="shared" si="36"/>
        <v>270.58548917514111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1.6</v>
      </c>
      <c r="BD17" s="12">
        <f>IF('Données projet'!$A$88&gt;35,BD16+BC17-BL16,IF(A17&lt;'Données projet'!$A$88,$BA$205^A17,IF(A17='Données projet'!$A$88,'Données projet'!$B$88,BD16+BC17-BL16)))</f>
        <v>11.313708498984752</v>
      </c>
      <c r="BE17" s="13">
        <f>BD17*VLOOKUP('Données projet'!$B$11,Paramètres!$A$1:$I$89,3,0)*VLOOKUP('Données projet'!$B$11,Paramètres!$A$1:$I$89,5,0)</f>
        <v>9.7071618921289176</v>
      </c>
      <c r="BF17" s="13">
        <f t="shared" si="37"/>
        <v>3.433577046269785</v>
      </c>
      <c r="BG17" s="20">
        <f t="shared" si="7"/>
        <v>22.886786984377736</v>
      </c>
      <c r="BH17" s="59">
        <f t="shared" si="8"/>
        <v>296.66456476215552</v>
      </c>
      <c r="BI17" s="59">
        <f ca="1">AVERAGE(OFFSET($BH$3,0,0,'Données projet'!$E$11+1,1))-AVERAGE(OFFSET($H$3,0,0,'Données projet'!$E$11+1,1))</f>
        <v>359.99244410291516</v>
      </c>
      <c r="BJ17" s="59">
        <f t="shared" si="38"/>
        <v>143.73379124174278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345.73903563222814</v>
      </c>
      <c r="S18" s="59">
        <f ca="1">AVERAGE(OFFSET($R$3,0,0,'Données projet'!$E$9+1,1))-AVERAGE(OFFSET($H$3,0,0,'Données projet'!$E$9+1,1))</f>
        <v>350.25444539178324</v>
      </c>
      <c r="T18" s="59">
        <f t="shared" si="34"/>
        <v>421.51176105448474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42</v>
      </c>
      <c r="AG18" s="12">
        <f>VLOOKUP(A18,'Données projet'!$A$61:$I$81,9,0)</f>
        <v>2.8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42</v>
      </c>
      <c r="AJ18" s="13">
        <f>AI18*VLOOKUP('Données projet'!$B$10,Paramètres!$A$1:$I$89,3,0)*VLOOKUP('Données projet'!$B$10,Paramètres!$A$1:$I$89,5,0)</f>
        <v>20.748000000000001</v>
      </c>
      <c r="AK18" s="13">
        <f t="shared" si="35"/>
        <v>6.7178804341249814</v>
      </c>
      <c r="AL18" s="20">
        <f t="shared" si="4"/>
        <v>47.836408422767676</v>
      </c>
      <c r="AM18" s="59">
        <f t="shared" si="5"/>
        <v>322.8364084227677</v>
      </c>
      <c r="AN18" s="59">
        <f ca="1">AVERAGE(OFFSET($AM$3,0,0,'Données projet'!$E$10+1,1))-AVERAGE(OFFSET($H$3,0,0,'Données projet'!$E$10+1,1))</f>
        <v>350.14981500723491</v>
      </c>
      <c r="AO18" s="59">
        <f t="shared" si="36"/>
        <v>270.58548917514111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1.6</v>
      </c>
      <c r="BD18" s="12">
        <f>IF('Données projet'!$A$88&gt;35,BD17+BC18-BL17,IF(A18&lt;'Données projet'!$A$88,$BA$205^A18,IF(A18='Données projet'!$A$88,'Données projet'!$B$88,BD17+BC18-BL17)))</f>
        <v>13.454342644059421</v>
      </c>
      <c r="BE18" s="13">
        <f>BD18*VLOOKUP('Données projet'!$B$11,Paramètres!$A$1:$I$89,3,0)*VLOOKUP('Données projet'!$B$11,Paramètres!$A$1:$I$89,5,0)</f>
        <v>11.543825988602984</v>
      </c>
      <c r="BF18" s="13">
        <f t="shared" si="37"/>
        <v>4.0016981182064377</v>
      </c>
      <c r="BG18" s="20">
        <f t="shared" si="7"/>
        <v>27.075121152693075</v>
      </c>
      <c r="BH18" s="59">
        <f t="shared" si="8"/>
        <v>302.0751211526931</v>
      </c>
      <c r="BI18" s="59">
        <f ca="1">AVERAGE(OFFSET($BH$3,0,0,'Données projet'!$E$11+1,1))-AVERAGE(OFFSET($H$3,0,0,'Données projet'!$E$11+1,1))</f>
        <v>359.99244410291516</v>
      </c>
      <c r="BJ18" s="59">
        <f t="shared" si="38"/>
        <v>143.73379124174278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368.01154650081702</v>
      </c>
      <c r="S19" s="59">
        <f ca="1">AVERAGE(OFFSET($R$3,0,0,'Données projet'!$E$9+1,1))-AVERAGE(OFFSET($H$3,0,0,'Données projet'!$E$9+1,1))</f>
        <v>350.25444539178324</v>
      </c>
      <c r="T19" s="59">
        <f t="shared" si="34"/>
        <v>421.51176105448474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18.399999999999999</v>
      </c>
      <c r="AI19" s="13">
        <f>IF('Données projet'!$A$62&gt;35,AI18+AH19-AQ18,IF(A19&lt;'Données projet'!$A$62,$AF$205^A19,IF(A19='Données projet'!$A$62,'Données projet'!$B$62,AI18+AH19-AQ18)))</f>
        <v>60.4</v>
      </c>
      <c r="AJ19" s="13">
        <f>AI19*VLOOKUP('Données projet'!$B$10,Paramètres!$A$1:$I$89,3,0)*VLOOKUP('Données projet'!$B$10,Paramètres!$A$1:$I$89,5,0)</f>
        <v>29.837599999999998</v>
      </c>
      <c r="AK19" s="13">
        <f t="shared" si="35"/>
        <v>9.2609051439168777</v>
      </c>
      <c r="AL19" s="20">
        <f t="shared" si="4"/>
        <v>68.096563125655223</v>
      </c>
      <c r="AM19" s="59">
        <f t="shared" si="5"/>
        <v>344.31878534787745</v>
      </c>
      <c r="AN19" s="59">
        <f ca="1">AVERAGE(OFFSET($AM$3,0,0,'Données projet'!$E$10+1,1))-AVERAGE(OFFSET($H$3,0,0,'Données projet'!$E$10+1,1))</f>
        <v>350.14981500723491</v>
      </c>
      <c r="AO19" s="59">
        <f t="shared" si="36"/>
        <v>270.58548917514111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1.6</v>
      </c>
      <c r="BD19" s="12">
        <f>IF('Données projet'!$A$88&gt;35,BD18+BC19-BL18,IF(A19&lt;'Données projet'!$A$88,$BA$205^A19,IF(A19='Données projet'!$A$88,'Données projet'!$B$88,BD18+BC19-BL18)))</f>
        <v>15.999999999999986</v>
      </c>
      <c r="BE19" s="13">
        <f>BD19*VLOOKUP('Données projet'!$B$11,Paramètres!$A$1:$I$89,3,0)*VLOOKUP('Données projet'!$B$11,Paramètres!$A$1:$I$89,5,0)</f>
        <v>13.727999999999991</v>
      </c>
      <c r="BF19" s="13">
        <f t="shared" si="37"/>
        <v>4.6638207366437268</v>
      </c>
      <c r="BG19" s="20">
        <f t="shared" si="7"/>
        <v>32.032421116321139</v>
      </c>
      <c r="BH19" s="59">
        <f t="shared" si="8"/>
        <v>308.25464333854336</v>
      </c>
      <c r="BI19" s="59">
        <f ca="1">AVERAGE(OFFSET($BH$3,0,0,'Données projet'!$E$11+1,1))-AVERAGE(OFFSET($H$3,0,0,'Données projet'!$E$11+1,1))</f>
        <v>359.99244410291516</v>
      </c>
      <c r="BJ19" s="59">
        <f t="shared" si="38"/>
        <v>143.73379124174278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396.56865461000649</v>
      </c>
      <c r="S20" s="59">
        <f ca="1">AVERAGE(OFFSET($R$3,0,0,'Données projet'!$E$9+1,1))-AVERAGE(OFFSET($H$3,0,0,'Données projet'!$E$9+1,1))</f>
        <v>350.25444539178324</v>
      </c>
      <c r="T20" s="59">
        <f t="shared" si="34"/>
        <v>421.51176105448474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18.399999999999999</v>
      </c>
      <c r="AI20" s="13">
        <f>IF('Données projet'!$A$62&gt;35,AI19+AH20-AQ19,IF(A20&lt;'Données projet'!$A$62,$AF$205^A20,IF(A20='Données projet'!$A$62,'Données projet'!$B$62,AI19+AH20-AQ19)))</f>
        <v>78.8</v>
      </c>
      <c r="AJ20" s="13">
        <f>AI20*VLOOKUP('Données projet'!$B$10,Paramètres!$A$1:$I$89,3,0)*VLOOKUP('Données projet'!$B$10,Paramètres!$A$1:$I$89,5,0)</f>
        <v>38.927199999999999</v>
      </c>
      <c r="AK20" s="13">
        <f t="shared" si="35"/>
        <v>11.713852812639599</v>
      </c>
      <c r="AL20" s="20">
        <f t="shared" si="4"/>
        <v>88.199833648680638</v>
      </c>
      <c r="AM20" s="59">
        <f t="shared" si="5"/>
        <v>365.64427809312508</v>
      </c>
      <c r="AN20" s="59">
        <f ca="1">AVERAGE(OFFSET($AM$3,0,0,'Données projet'!$E$10+1,1))-AVERAGE(OFFSET($H$3,0,0,'Données projet'!$E$10+1,1))</f>
        <v>350.14981500723491</v>
      </c>
      <c r="AO20" s="59">
        <f t="shared" si="36"/>
        <v>270.58548917514111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1.6</v>
      </c>
      <c r="BD20" s="12">
        <f>IF('Données projet'!$A$88&gt;35,BD19+BC20-BL19,IF(A20&lt;'Données projet'!$A$88,$BA$205^A20,IF(A20='Données projet'!$A$88,'Données projet'!$B$88,BD19+BC20-BL19)))</f>
        <v>19.027313840043519</v>
      </c>
      <c r="BE20" s="13">
        <f>BD20*VLOOKUP('Données projet'!$B$11,Paramètres!$A$1:$I$89,3,0)*VLOOKUP('Données projet'!$B$11,Paramètres!$A$1:$I$89,5,0)</f>
        <v>16.325435274757343</v>
      </c>
      <c r="BF20" s="13">
        <f t="shared" si="37"/>
        <v>5.4354984361731269</v>
      </c>
      <c r="BG20" s="20">
        <f t="shared" si="7"/>
        <v>37.90029287987057</v>
      </c>
      <c r="BH20" s="59">
        <f t="shared" si="8"/>
        <v>315.34473732431502</v>
      </c>
      <c r="BI20" s="59">
        <f ca="1">AVERAGE(OFFSET($BH$3,0,0,'Données projet'!$E$11+1,1))-AVERAGE(OFFSET($H$3,0,0,'Données projet'!$E$11+1,1))</f>
        <v>359.99244410291516</v>
      </c>
      <c r="BJ20" s="59">
        <f t="shared" si="38"/>
        <v>143.73379124174278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433.29228875555856</v>
      </c>
      <c r="S21" s="59">
        <f ca="1">AVERAGE(OFFSET($R$3,0,0,'Données projet'!$E$9+1,1))-AVERAGE(OFFSET($H$3,0,0,'Données projet'!$E$9+1,1))</f>
        <v>350.25444539178324</v>
      </c>
      <c r="T21" s="59">
        <f t="shared" si="34"/>
        <v>421.51176105448474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18.399999999999999</v>
      </c>
      <c r="AI21" s="13">
        <f>IF('Données projet'!$A$62&gt;35,AI20+AH21-AQ20,IF(A21&lt;'Données projet'!$A$62,$AF$205^A21,IF(A21='Données projet'!$A$62,'Données projet'!$B$62,AI20+AH21-AQ20)))</f>
        <v>97.199999999999989</v>
      </c>
      <c r="AJ21" s="13">
        <f>AI21*VLOOKUP('Données projet'!$B$10,Paramètres!$A$1:$I$89,3,0)*VLOOKUP('Données projet'!$B$10,Paramètres!$A$1:$I$89,5,0)</f>
        <v>48.016799999999989</v>
      </c>
      <c r="AK21" s="13">
        <f t="shared" si="35"/>
        <v>14.10038947200055</v>
      </c>
      <c r="AL21" s="20">
        <f t="shared" si="4"/>
        <v>108.18743833040094</v>
      </c>
      <c r="AM21" s="59">
        <f t="shared" si="5"/>
        <v>386.85410499706762</v>
      </c>
      <c r="AN21" s="59">
        <f ca="1">AVERAGE(OFFSET($AM$3,0,0,'Données projet'!$E$10+1,1))-AVERAGE(OFFSET($H$3,0,0,'Données projet'!$E$10+1,1))</f>
        <v>350.14981500723491</v>
      </c>
      <c r="AO21" s="59">
        <f t="shared" si="36"/>
        <v>270.58548917514111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1.6</v>
      </c>
      <c r="BD21" s="12">
        <f>IF('Données projet'!$A$88&gt;35,BD20+BC21-BL20,IF(A21&lt;'Données projet'!$A$88,$BA$205^A21,IF(A21='Données projet'!$A$88,'Données projet'!$B$88,BD20+BC21-BL20)))</f>
        <v>22.627416997969497</v>
      </c>
      <c r="BE21" s="13">
        <f>BD21*VLOOKUP('Données projet'!$B$11,Paramètres!$A$1:$I$89,3,0)*VLOOKUP('Données projet'!$B$11,Paramètres!$A$1:$I$89,5,0)</f>
        <v>19.414323784257832</v>
      </c>
      <c r="BF21" s="13">
        <f t="shared" si="37"/>
        <v>6.3348582456241713</v>
      </c>
      <c r="BG21" s="20">
        <f t="shared" si="7"/>
        <v>44.846492035377821</v>
      </c>
      <c r="BH21" s="59">
        <f t="shared" si="8"/>
        <v>323.51315870204451</v>
      </c>
      <c r="BI21" s="59">
        <f ca="1">AVERAGE(OFFSET($BH$3,0,0,'Données projet'!$E$11+1,1))-AVERAGE(OFFSET($H$3,0,0,'Données projet'!$E$11+1,1))</f>
        <v>359.99244410291516</v>
      </c>
      <c r="BJ21" s="59">
        <f t="shared" si="38"/>
        <v>143.73379124174278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480.62947485620896</v>
      </c>
      <c r="S22" s="59">
        <f ca="1">AVERAGE(OFFSET($R$3,0,0,'Données projet'!$E$9+1,1))-AVERAGE(OFFSET($H$3,0,0,'Données projet'!$E$9+1,1))</f>
        <v>350.25444539178324</v>
      </c>
      <c r="T22" s="59">
        <f t="shared" si="34"/>
        <v>421.51176105448474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18.399999999999999</v>
      </c>
      <c r="AI22" s="13">
        <f>IF('Données projet'!$A$62&gt;35,AI21+AH22-AQ21,IF(A22&lt;'Données projet'!$A$62,$AF$205^A22,IF(A22='Données projet'!$A$62,'Données projet'!$B$62,AI21+AH22-AQ21)))</f>
        <v>115.6</v>
      </c>
      <c r="AJ22" s="13">
        <f>AI22*VLOOKUP('Données projet'!$B$10,Paramètres!$A$1:$I$89,3,0)*VLOOKUP('Données projet'!$B$10,Paramètres!$A$1:$I$89,5,0)</f>
        <v>57.106400000000001</v>
      </c>
      <c r="AK22" s="13">
        <f t="shared" si="35"/>
        <v>16.43458489485392</v>
      </c>
      <c r="AL22" s="20">
        <f t="shared" si="4"/>
        <v>128.08388202520391</v>
      </c>
      <c r="AM22" s="59">
        <f t="shared" si="5"/>
        <v>407.97277091409273</v>
      </c>
      <c r="AN22" s="59">
        <f ca="1">AVERAGE(OFFSET($AM$3,0,0,'Données projet'!$E$10+1,1))-AVERAGE(OFFSET($H$3,0,0,'Données projet'!$E$10+1,1))</f>
        <v>350.14981500723491</v>
      </c>
      <c r="AO22" s="59">
        <f t="shared" si="36"/>
        <v>270.58548917514111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1.6</v>
      </c>
      <c r="BD22" s="12">
        <f>IF('Données projet'!$A$88&gt;35,BD21+BC22-BL21,IF(A22&lt;'Données projet'!$A$88,$BA$205^A22,IF(A22='Données projet'!$A$88,'Données projet'!$B$88,BD21+BC22-BL21)))</f>
        <v>26.908685288118836</v>
      </c>
      <c r="BE22" s="13">
        <f>BD22*VLOOKUP('Données projet'!$B$11,Paramètres!$A$1:$I$89,3,0)*VLOOKUP('Données projet'!$B$11,Paramètres!$A$1:$I$89,5,0)</f>
        <v>23.087651977205965</v>
      </c>
      <c r="BF22" s="13">
        <f t="shared" si="37"/>
        <v>7.3830264994807839</v>
      </c>
      <c r="BG22" s="20">
        <f t="shared" si="7"/>
        <v>53.069765013562751</v>
      </c>
      <c r="BH22" s="59">
        <f t="shared" si="8"/>
        <v>332.9586539024516</v>
      </c>
      <c r="BI22" s="59">
        <f ca="1">AVERAGE(OFFSET($BH$3,0,0,'Données projet'!$E$11+1,1))-AVERAGE(OFFSET($H$3,0,0,'Données projet'!$E$11+1,1))</f>
        <v>359.99244410291516</v>
      </c>
      <c r="BJ22" s="59">
        <f t="shared" si="38"/>
        <v>143.73379124174278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19.833333333333332</v>
      </c>
      <c r="N23" s="13">
        <f>IF('Données projet'!$A$36&gt;35,N22+M23-V22,IF(A23&lt;'Données projet'!$A$36,$K$205^A23,IF(A23='Données projet'!$A$36,'Données projet'!$B$36,N22+M23-V22)))</f>
        <v>181.83333333333334</v>
      </c>
      <c r="O23" s="13">
        <f>N23*VLOOKUP('Données projet'!$B$9,Paramètres!$A$1:$I$89,3,0)*VLOOKUP('Données projet'!$B$9,Paramètres!$A$1:$I$89,5,0)</f>
        <v>101.64483333333334</v>
      </c>
      <c r="P23" s="13">
        <f t="shared" si="33"/>
        <v>27.353483560919244</v>
      </c>
      <c r="Q23" s="20">
        <f t="shared" si="2"/>
        <v>224.67206859082322</v>
      </c>
      <c r="R23" s="59">
        <f t="shared" si="0"/>
        <v>505.78317970193439</v>
      </c>
      <c r="S23" s="59">
        <f ca="1">AVERAGE(OFFSET($R$3,0,0,'Données projet'!$E$9+1,1))-AVERAGE(OFFSET($H$3,0,0,'Données projet'!$E$9+1,1))</f>
        <v>350.25444539178324</v>
      </c>
      <c r="T23" s="59">
        <f t="shared" si="34"/>
        <v>421.51176105448474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134</v>
      </c>
      <c r="AG23" s="12">
        <f>VLOOKUP(A23,'Données projet'!$A$61:$I$81,9,0)</f>
        <v>18.399999999999999</v>
      </c>
      <c r="AH23" s="12">
        <f t="array" ref="AH23">INDEX(AG:AG,MIN(IF(ISNUMBER(AG23:AG219),ROW(AG23:AG219),"")))</f>
        <v>18.399999999999999</v>
      </c>
      <c r="AI23" s="13">
        <f>IF('Données projet'!$A$62&gt;35,AI22+AH23-AQ22,IF(A23&lt;'Données projet'!$A$62,$AF$205^A23,IF(A23='Données projet'!$A$62,'Données projet'!$B$62,AI22+AH23-AQ22)))</f>
        <v>134</v>
      </c>
      <c r="AJ23" s="13">
        <f>AI23*VLOOKUP('Données projet'!$B$10,Paramètres!$A$1:$I$89,3,0)*VLOOKUP('Données projet'!$B$10,Paramètres!$A$1:$I$89,5,0)</f>
        <v>66.195999999999998</v>
      </c>
      <c r="AK23" s="13">
        <f t="shared" si="35"/>
        <v>18.725740332076622</v>
      </c>
      <c r="AL23" s="20">
        <f t="shared" si="4"/>
        <v>147.90536441170011</v>
      </c>
      <c r="AM23" s="59">
        <f t="shared" si="5"/>
        <v>429.01647552281122</v>
      </c>
      <c r="AN23" s="59">
        <f ca="1">AVERAGE(OFFSET($AM$3,0,0,'Données projet'!$E$10+1,1))-AVERAGE(OFFSET($H$3,0,0,'Données projet'!$E$10+1,1))</f>
        <v>350.14981500723491</v>
      </c>
      <c r="AO23" s="59">
        <f t="shared" si="36"/>
        <v>270.58548917514111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22</v>
      </c>
      <c r="AR23" s="16">
        <f>IF(ISNA(VLOOKUP(A23,'Données projet'!$A$61:$I$81,5,0)),0%,VLOOKUP(A23,'Données projet'!$A$61:$I$81,5,0)*VLOOKUP('Données projet'!$B$10,Paramètres!$A$1:$I$89,7,0))</f>
        <v>0.44000000000000006</v>
      </c>
      <c r="AS23" s="16">
        <f>IF(ISNA(VLOOKUP(A23,'Données projet'!$A$61:$I$81,6,0)),0%,VLOOKUP(A23,'Données projet'!$A$61:$I$81,6,0)*VLOOKUP('Données projet'!$B$10,Paramètres!$A$1:$I$89,7,0))</f>
        <v>0.11000000000000001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6.3435251007554472</v>
      </c>
      <c r="AV23" s="21">
        <f>EXP(-LN(2)/25)*AV22+(1-EXP(-LN(2)/25))/(LN(2)/25)*Calculateur!AQ23*Calculateur!AS23*VLOOKUP('Données projet'!$B$10,Paramètres!$A$1:$I$89,3,0)*0.475*44/12</f>
        <v>1.5796370563403037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7.9231621570957511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32</v>
      </c>
      <c r="BB23" s="12">
        <f>VLOOKUP(A23,'Données projet'!$A$87:$I$107,9,0)</f>
        <v>1.6</v>
      </c>
      <c r="BC23" s="12">
        <f t="array" ref="BC23">INDEX(BB:BB,MIN(IF(ISNUMBER(BB23:BB219),ROW(BB23:BB219),"")))</f>
        <v>1.6</v>
      </c>
      <c r="BD23" s="12">
        <f>IF('Données projet'!$A$88&gt;35,BD22+BC23-BL22,IF(A23&lt;'Données projet'!$A$88,$BA$205^A23,IF(A23='Données projet'!$A$88,'Données projet'!$B$88,BD22+BC23-BL22)))</f>
        <v>32</v>
      </c>
      <c r="BE23" s="13">
        <f>BD23*VLOOKUP('Données projet'!$B$11,Paramètres!$A$1:$I$89,3,0)*VLOOKUP('Données projet'!$B$11,Paramètres!$A$1:$I$89,5,0)</f>
        <v>27.456000000000003</v>
      </c>
      <c r="BF23" s="13">
        <f t="shared" si="37"/>
        <v>8.604625104229898</v>
      </c>
      <c r="BG23" s="20">
        <f t="shared" si="7"/>
        <v>62.805588723200408</v>
      </c>
      <c r="BH23" s="59">
        <f t="shared" si="8"/>
        <v>343.91669983431154</v>
      </c>
      <c r="BI23" s="59">
        <f ca="1">AVERAGE(OFFSET($BH$3,0,0,'Données projet'!$E$11+1,1))-AVERAGE(OFFSET($H$3,0,0,'Données projet'!$E$11+1,1))</f>
        <v>359.99244410291516</v>
      </c>
      <c r="BJ23" s="59">
        <f t="shared" si="38"/>
        <v>143.73379124174278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19.833333333333332</v>
      </c>
      <c r="N24" s="13">
        <f>IF('Données projet'!$A$36&gt;35,N23+M24-V23,IF(A24&lt;'Données projet'!$A$36,$K$205^A24,IF(A24='Données projet'!$A$36,'Données projet'!$B$36,N23+M24-V23)))</f>
        <v>201.66666666666669</v>
      </c>
      <c r="O24" s="13">
        <f>N24*VLOOKUP('Données projet'!$B$9,Paramètres!$A$1:$I$89,3,0)*VLOOKUP('Données projet'!$B$9,Paramètres!$A$1:$I$89,5,0)</f>
        <v>112.73166666666667</v>
      </c>
      <c r="P24" s="13">
        <f t="shared" si="33"/>
        <v>29.973664832526055</v>
      </c>
      <c r="Q24" s="20">
        <f t="shared" si="2"/>
        <v>248.54511902776062</v>
      </c>
      <c r="R24" s="59">
        <f t="shared" si="0"/>
        <v>530.87845236109388</v>
      </c>
      <c r="S24" s="59">
        <f ca="1">AVERAGE(OFFSET($R$3,0,0,'Données projet'!$E$9+1,1))-AVERAGE(OFFSET($H$3,0,0,'Données projet'!$E$9+1,1))</f>
        <v>350.25444539178324</v>
      </c>
      <c r="T24" s="59">
        <f t="shared" si="34"/>
        <v>421.51176105448474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17.399999999999999</v>
      </c>
      <c r="AI24" s="13">
        <f>IF('Données projet'!$A$62&gt;35,AI23+AH24-AQ23,IF(A24&lt;'Données projet'!$A$62,$AF$205^A24,IF(A24='Données projet'!$A$62,'Données projet'!$B$62,AI23+AH24-AQ23)))</f>
        <v>129.4</v>
      </c>
      <c r="AJ24" s="13">
        <f>AI24*VLOOKUP('Données projet'!$B$10,Paramètres!$A$1:$I$89,3,0)*VLOOKUP('Données projet'!$B$10,Paramètres!$A$1:$I$89,5,0)</f>
        <v>63.923600000000008</v>
      </c>
      <c r="AK24" s="13">
        <f t="shared" si="35"/>
        <v>18.15659153717511</v>
      </c>
      <c r="AL24" s="20">
        <f t="shared" si="4"/>
        <v>142.95633359391334</v>
      </c>
      <c r="AM24" s="59">
        <f t="shared" si="5"/>
        <v>425.28966692724669</v>
      </c>
      <c r="AN24" s="59">
        <f ca="1">AVERAGE(OFFSET($AM$3,0,0,'Données projet'!$E$10+1,1))-AVERAGE(OFFSET($H$3,0,0,'Données projet'!$E$10+1,1))</f>
        <v>350.14981500723491</v>
      </c>
      <c r="AO24" s="59">
        <f t="shared" si="36"/>
        <v>270.58548917514111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6.2191324426978953</v>
      </c>
      <c r="AV24" s="21">
        <f>EXP(-LN(2)/25)*AV23+(1-EXP(-LN(2)/25))/(LN(2)/25)*Calculateur!AQ24*Calculateur!AS24*VLOOKUP('Données projet'!$B$10,Paramètres!$A$1:$I$89,3,0)*0.475*44/12</f>
        <v>1.5364417979651757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7.755574240663071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7.4</v>
      </c>
      <c r="BD24" s="12">
        <f>IF('Données projet'!$A$88&gt;35,BD23+BC24-BL23,IF(A24&lt;'Données projet'!$A$88,$BA$205^A24,IF(A24='Données projet'!$A$88,'Données projet'!$B$88,BD23+BC24-BL23)))</f>
        <v>39.4</v>
      </c>
      <c r="BE24" s="13">
        <f>BD24*VLOOKUP('Données projet'!$B$11,Paramètres!$A$1:$I$89,3,0)*VLOOKUP('Données projet'!$B$11,Paramètres!$A$1:$I$89,5,0)</f>
        <v>33.805200000000006</v>
      </c>
      <c r="BF24" s="13">
        <f t="shared" si="37"/>
        <v>10.34098466309046</v>
      </c>
      <c r="BG24" s="20">
        <f t="shared" si="7"/>
        <v>76.887938288215892</v>
      </c>
      <c r="BH24" s="59">
        <f t="shared" si="8"/>
        <v>359.22127162154919</v>
      </c>
      <c r="BI24" s="59">
        <f ca="1">AVERAGE(OFFSET($BH$3,0,0,'Données projet'!$E$11+1,1))-AVERAGE(OFFSET($H$3,0,0,'Données projet'!$E$11+1,1))</f>
        <v>359.99244410291516</v>
      </c>
      <c r="BJ24" s="59">
        <f t="shared" si="38"/>
        <v>143.73379124174278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19.833333333333332</v>
      </c>
      <c r="N25" s="13">
        <f>IF('Données projet'!$A$36&gt;35,N24+M25-V24,IF(A25&lt;'Données projet'!$A$36,$K$205^A25,IF(A25='Données projet'!$A$36,'Données projet'!$B$36,N24+M25-V24)))</f>
        <v>221.50000000000003</v>
      </c>
      <c r="O25" s="13">
        <f>N25*VLOOKUP('Données projet'!$B$9,Paramètres!$A$1:$I$89,3,0)*VLOOKUP('Données projet'!$B$9,Paramètres!$A$1:$I$89,5,0)</f>
        <v>123.81850000000001</v>
      </c>
      <c r="P25" s="13">
        <f t="shared" si="33"/>
        <v>32.563971549777349</v>
      </c>
      <c r="Q25" s="20">
        <f t="shared" si="2"/>
        <v>272.36613794919555</v>
      </c>
      <c r="R25" s="59">
        <f t="shared" si="0"/>
        <v>555.92169350475115</v>
      </c>
      <c r="S25" s="59">
        <f ca="1">AVERAGE(OFFSET($R$3,0,0,'Données projet'!$E$9+1,1))-AVERAGE(OFFSET($H$3,0,0,'Données projet'!$E$9+1,1))</f>
        <v>350.25444539178324</v>
      </c>
      <c r="T25" s="59">
        <f t="shared" si="34"/>
        <v>421.51176105448474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17.399999999999999</v>
      </c>
      <c r="AI25" s="13">
        <f>IF('Données projet'!$A$62&gt;35,AI24+AH25-AQ24,IF(A25&lt;'Données projet'!$A$62,$AF$205^A25,IF(A25='Données projet'!$A$62,'Données projet'!$B$62,AI24+AH25-AQ24)))</f>
        <v>146.80000000000001</v>
      </c>
      <c r="AJ25" s="13">
        <f>AI25*VLOOKUP('Données projet'!$B$10,Paramètres!$A$1:$I$89,3,0)*VLOOKUP('Données projet'!$B$10,Paramètres!$A$1:$I$89,5,0)</f>
        <v>72.519200000000012</v>
      </c>
      <c r="AK25" s="13">
        <f t="shared" si="35"/>
        <v>20.297770587394147</v>
      </c>
      <c r="AL25" s="20">
        <f t="shared" si="4"/>
        <v>161.65622377304484</v>
      </c>
      <c r="AM25" s="59">
        <f t="shared" si="5"/>
        <v>445.21177932860041</v>
      </c>
      <c r="AN25" s="59">
        <f ca="1">AVERAGE(OFFSET($AM$3,0,0,'Données projet'!$E$10+1,1))-AVERAGE(OFFSET($H$3,0,0,'Données projet'!$E$10+1,1))</f>
        <v>350.14981500723491</v>
      </c>
      <c r="AO25" s="59">
        <f t="shared" si="36"/>
        <v>270.58548917514111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6.0971790487928228</v>
      </c>
      <c r="AV25" s="21">
        <f>EXP(-LN(2)/25)*AV24+(1-EXP(-LN(2)/25))/(LN(2)/25)*Calculateur!AQ25*Calculateur!AS25*VLOOKUP('Données projet'!$B$10,Paramètres!$A$1:$I$89,3,0)*0.475*44/12</f>
        <v>1.4944277162018553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7.5916067649946779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7.4</v>
      </c>
      <c r="BD25" s="12">
        <f>IF('Données projet'!$A$88&gt;35,BD24+BC25-BL24,IF(A25&lt;'Données projet'!$A$88,$BA$205^A25,IF(A25='Données projet'!$A$88,'Données projet'!$B$88,BD24+BC25-BL24)))</f>
        <v>46.8</v>
      </c>
      <c r="BE25" s="13">
        <f>BD25*VLOOKUP('Données projet'!$B$11,Paramètres!$A$1:$I$89,3,0)*VLOOKUP('Données projet'!$B$11,Paramètres!$A$1:$I$89,5,0)</f>
        <v>40.154400000000003</v>
      </c>
      <c r="BF25" s="13">
        <f t="shared" si="37"/>
        <v>12.039561463286329</v>
      </c>
      <c r="BG25" s="20">
        <f t="shared" si="7"/>
        <v>90.90448288189036</v>
      </c>
      <c r="BH25" s="59">
        <f t="shared" si="8"/>
        <v>374.46003843744592</v>
      </c>
      <c r="BI25" s="59">
        <f ca="1">AVERAGE(OFFSET($BH$3,0,0,'Données projet'!$E$11+1,1))-AVERAGE(OFFSET($H$3,0,0,'Données projet'!$E$11+1,1))</f>
        <v>359.99244410291516</v>
      </c>
      <c r="BJ25" s="59">
        <f t="shared" si="38"/>
        <v>143.73379124174278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19.833333333333332</v>
      </c>
      <c r="N26" s="13">
        <f>IF('Données projet'!$A$36&gt;35,N25+M26-V25,IF(A26&lt;'Données projet'!$A$36,$K$205^A26,IF(A26='Données projet'!$A$36,'Données projet'!$B$36,N25+M26-V25)))</f>
        <v>241.33333333333337</v>
      </c>
      <c r="O26" s="13">
        <f>N26*VLOOKUP('Données projet'!$B$9,Paramètres!$A$1:$I$89,3,0)*VLOOKUP('Données projet'!$B$9,Paramètres!$A$1:$I$89,5,0)</f>
        <v>134.90533333333337</v>
      </c>
      <c r="P26" s="13">
        <f t="shared" si="33"/>
        <v>35.127382903297395</v>
      </c>
      <c r="Q26" s="20">
        <f t="shared" si="2"/>
        <v>296.14031411213193</v>
      </c>
      <c r="R26" s="59">
        <f t="shared" si="0"/>
        <v>580.91809188990965</v>
      </c>
      <c r="S26" s="59">
        <f ca="1">AVERAGE(OFFSET($R$3,0,0,'Données projet'!$E$9+1,1))-AVERAGE(OFFSET($H$3,0,0,'Données projet'!$E$9+1,1))</f>
        <v>350.25444539178324</v>
      </c>
      <c r="T26" s="59">
        <f t="shared" si="34"/>
        <v>421.51176105448474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17.399999999999999</v>
      </c>
      <c r="AI26" s="13">
        <f>IF('Données projet'!$A$62&gt;35,AI25+AH26-AQ25,IF(A26&lt;'Données projet'!$A$62,$AF$205^A26,IF(A26='Données projet'!$A$62,'Données projet'!$B$62,AI25+AH26-AQ25)))</f>
        <v>164.20000000000002</v>
      </c>
      <c r="AJ26" s="13">
        <f>AI26*VLOOKUP('Données projet'!$B$10,Paramètres!$A$1:$I$89,3,0)*VLOOKUP('Données projet'!$B$10,Paramètres!$A$1:$I$89,5,0)</f>
        <v>81.114800000000017</v>
      </c>
      <c r="AK26" s="13">
        <f t="shared" si="35"/>
        <v>22.409538599684147</v>
      </c>
      <c r="AL26" s="20">
        <f t="shared" si="4"/>
        <v>180.30488972778326</v>
      </c>
      <c r="AM26" s="59">
        <f t="shared" si="5"/>
        <v>465.08266750556106</v>
      </c>
      <c r="AN26" s="59">
        <f ca="1">AVERAGE(OFFSET($AM$3,0,0,'Données projet'!$E$10+1,1))-AVERAGE(OFFSET($H$3,0,0,'Données projet'!$E$10+1,1))</f>
        <v>350.14981500723491</v>
      </c>
      <c r="AO26" s="59">
        <f t="shared" si="36"/>
        <v>270.58548917514111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5.9776170865580029</v>
      </c>
      <c r="AV26" s="21">
        <f>EXP(-LN(2)/25)*AV25+(1-EXP(-LN(2)/25))/(LN(2)/25)*Calculateur!AQ26*Calculateur!AS26*VLOOKUP('Données projet'!$B$10,Paramètres!$A$1:$I$89,3,0)*0.475*44/12</f>
        <v>1.4535625117137776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7.4311795982717808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7.4</v>
      </c>
      <c r="BD26" s="12">
        <f>IF('Données projet'!$A$88&gt;35,BD25+BC26-BL25,IF(A26&lt;'Données projet'!$A$88,$BA$205^A26,IF(A26='Données projet'!$A$88,'Données projet'!$B$88,BD25+BC26-BL25)))</f>
        <v>54.199999999999996</v>
      </c>
      <c r="BE26" s="13">
        <f>BD26*VLOOKUP('Données projet'!$B$11,Paramètres!$A$1:$I$89,3,0)*VLOOKUP('Données projet'!$B$11,Paramètres!$A$1:$I$89,5,0)</f>
        <v>46.503599999999999</v>
      </c>
      <c r="BF26" s="13">
        <f t="shared" si="37"/>
        <v>13.707024909099026</v>
      </c>
      <c r="BG26" s="20">
        <f t="shared" si="7"/>
        <v>104.86683838334746</v>
      </c>
      <c r="BH26" s="59">
        <f t="shared" si="8"/>
        <v>389.64461616112521</v>
      </c>
      <c r="BI26" s="59">
        <f ca="1">AVERAGE(OFFSET($BH$3,0,0,'Données projet'!$E$11+1,1))-AVERAGE(OFFSET($H$3,0,0,'Données projet'!$E$11+1,1))</f>
        <v>359.99244410291516</v>
      </c>
      <c r="BJ26" s="59">
        <f t="shared" si="38"/>
        <v>143.73379124174278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19.833333333333332</v>
      </c>
      <c r="N27" s="13">
        <f>IF('Données projet'!$A$36&gt;35,N26+M27-V26,IF(A27&lt;'Données projet'!$A$36,$K$205^A27,IF(A27='Données projet'!$A$36,'Données projet'!$B$36,N26+M27-V26)))</f>
        <v>261.16666666666669</v>
      </c>
      <c r="O27" s="13">
        <f>N27*VLOOKUP('Données projet'!$B$9,Paramètres!$A$1:$I$89,3,0)*VLOOKUP('Données projet'!$B$9,Paramètres!$A$1:$I$89,5,0)</f>
        <v>145.99216666666669</v>
      </c>
      <c r="P27" s="13">
        <f t="shared" si="33"/>
        <v>37.666360508078967</v>
      </c>
      <c r="Q27" s="20">
        <f t="shared" si="2"/>
        <v>319.87193482934862</v>
      </c>
      <c r="R27" s="59">
        <f t="shared" si="0"/>
        <v>605.87193482934867</v>
      </c>
      <c r="S27" s="59">
        <f ca="1">AVERAGE(OFFSET($R$3,0,0,'Données projet'!$E$9+1,1))-AVERAGE(OFFSET($H$3,0,0,'Données projet'!$E$9+1,1))</f>
        <v>350.25444539178324</v>
      </c>
      <c r="T27" s="59">
        <f t="shared" si="34"/>
        <v>421.51176105448474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17.399999999999999</v>
      </c>
      <c r="AI27" s="13">
        <f>IF('Données projet'!$A$62&gt;35,AI26+AH27-AQ26,IF(A27&lt;'Données projet'!$A$62,$AF$205^A27,IF(A27='Données projet'!$A$62,'Données projet'!$B$62,AI26+AH27-AQ26)))</f>
        <v>181.60000000000002</v>
      </c>
      <c r="AJ27" s="13">
        <f>AI27*VLOOKUP('Données projet'!$B$10,Paramètres!$A$1:$I$89,3,0)*VLOOKUP('Données projet'!$B$10,Paramètres!$A$1:$I$89,5,0)</f>
        <v>89.710400000000021</v>
      </c>
      <c r="AK27" s="13">
        <f t="shared" si="35"/>
        <v>24.49536735165902</v>
      </c>
      <c r="AL27" s="20">
        <f t="shared" si="4"/>
        <v>198.90837813747279</v>
      </c>
      <c r="AM27" s="59">
        <f t="shared" si="5"/>
        <v>484.90837813747282</v>
      </c>
      <c r="AN27" s="59">
        <f ca="1">AVERAGE(OFFSET($AM$3,0,0,'Données projet'!$E$10+1,1))-AVERAGE(OFFSET($H$3,0,0,'Données projet'!$E$10+1,1))</f>
        <v>350.14981500723491</v>
      </c>
      <c r="AO27" s="59">
        <f t="shared" si="36"/>
        <v>270.58548917514111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5.860399661477012</v>
      </c>
      <c r="AV27" s="21">
        <f>EXP(-LN(2)/25)*AV26+(1-EXP(-LN(2)/25))/(LN(2)/25)*Calculateur!AQ27*Calculateur!AS27*VLOOKUP('Données projet'!$B$10,Paramètres!$A$1:$I$89,3,0)*0.475*44/12</f>
        <v>1.4138147683914339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7.2742144298684455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7.4</v>
      </c>
      <c r="BD27" s="12">
        <f>IF('Données projet'!$A$88&gt;35,BD26+BC27-BL26,IF(A27&lt;'Données projet'!$A$88,$BA$205^A27,IF(A27='Données projet'!$A$88,'Données projet'!$B$88,BD26+BC27-BL26)))</f>
        <v>61.599999999999994</v>
      </c>
      <c r="BE27" s="13">
        <f>BD27*VLOOKUP('Données projet'!$B$11,Paramètres!$A$1:$I$89,3,0)*VLOOKUP('Données projet'!$B$11,Paramètres!$A$1:$I$89,5,0)</f>
        <v>52.852800000000009</v>
      </c>
      <c r="BF27" s="13">
        <f t="shared" si="37"/>
        <v>15.348111645179451</v>
      </c>
      <c r="BG27" s="20">
        <f t="shared" si="7"/>
        <v>118.78325444868756</v>
      </c>
      <c r="BH27" s="59">
        <f t="shared" si="8"/>
        <v>404.78325444868756</v>
      </c>
      <c r="BI27" s="59">
        <f ca="1">AVERAGE(OFFSET($BH$3,0,0,'Données projet'!$E$11+1,1))-AVERAGE(OFFSET($H$3,0,0,'Données projet'!$E$11+1,1))</f>
        <v>359.99244410291516</v>
      </c>
      <c r="BJ27" s="59">
        <f t="shared" si="38"/>
        <v>143.73379124174278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281</v>
      </c>
      <c r="L28" s="12">
        <f>VLOOKUP(A28,'Données projet'!$A$35:$I$55,9,0)</f>
        <v>19.833333333333332</v>
      </c>
      <c r="M28" s="12">
        <f t="array" ref="M28">INDEX(L:L,MIN(IF(ISNUMBER(L28:L224),ROW(L28:L224),"")))</f>
        <v>19.833333333333332</v>
      </c>
      <c r="N28" s="13">
        <f>IF('Données projet'!$A$36&gt;35,N27+M28-V27,IF(A28&lt;'Données projet'!$A$36,$K$205^A28,IF(A28='Données projet'!$A$36,'Données projet'!$B$36,N27+M28-V27)))</f>
        <v>281</v>
      </c>
      <c r="O28" s="13">
        <f>N28*VLOOKUP('Données projet'!$B$9,Paramètres!$A$1:$I$89,3,0)*VLOOKUP('Données projet'!$B$9,Paramètres!$A$1:$I$89,5,0)</f>
        <v>157.07900000000001</v>
      </c>
      <c r="P28" s="13">
        <f t="shared" si="33"/>
        <v>40.182970874689481</v>
      </c>
      <c r="Q28" s="20">
        <f t="shared" si="2"/>
        <v>343.56459927341751</v>
      </c>
      <c r="R28" s="59">
        <f t="shared" si="0"/>
        <v>630.78682149563974</v>
      </c>
      <c r="S28" s="59">
        <f ca="1">AVERAGE(OFFSET($R$3,0,0,'Données projet'!$E$9+1,1))-AVERAGE(OFFSET($H$3,0,0,'Données projet'!$E$9+1,1))</f>
        <v>350.25444539178324</v>
      </c>
      <c r="T28" s="59">
        <f t="shared" si="34"/>
        <v>421.51176105448474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0.44000000000000006</v>
      </c>
      <c r="X28" s="16">
        <f>IF(ISNA(VLOOKUP(A28,'Données projet'!$A$35:$I$55,6,0)),0%,VLOOKUP(A28,'Données projet'!$A$35:$I$55,6,0)*VLOOKUP('Données projet'!$B$9,Paramètres!$A$1:$I$89,7,0))</f>
        <v>0.11000000000000001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17.619216846835105</v>
      </c>
      <c r="AA28" s="21">
        <f>EXP(-LN(2)/25)*AA27+(1-EXP(-LN(2)/25))/(LN(2)/25)*Calculateur!V28*Calculateur!X28*VLOOKUP('Données projet'!$B$9,Paramètres!$A$1:$I$89,3,0)*0.475*44/12</f>
        <v>4.3874608191652928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22.0066776660004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199</v>
      </c>
      <c r="AG28" s="12">
        <f>VLOOKUP(A28,'Données projet'!$A$61:$I$81,9,0)</f>
        <v>17.399999999999999</v>
      </c>
      <c r="AH28" s="12">
        <f t="array" ref="AH28">INDEX(AG:AG,MIN(IF(ISNUMBER(AG28:AG224),ROW(AG28:AG224),"")))</f>
        <v>17.399999999999999</v>
      </c>
      <c r="AI28" s="13">
        <f>IF('Données projet'!$A$62&gt;35,AI27+AH28-AQ27,IF(A28&lt;'Données projet'!$A$62,$AF$205^A28,IF(A28='Données projet'!$A$62,'Données projet'!$B$62,AI27+AH28-AQ27)))</f>
        <v>199.00000000000003</v>
      </c>
      <c r="AJ28" s="13">
        <f>AI28*VLOOKUP('Données projet'!$B$10,Paramètres!$A$1:$I$89,3,0)*VLOOKUP('Données projet'!$B$10,Paramètres!$A$1:$I$89,5,0)</f>
        <v>98.306000000000026</v>
      </c>
      <c r="AK28" s="13">
        <f t="shared" si="35"/>
        <v>26.558024992073943</v>
      </c>
      <c r="AL28" s="20">
        <f t="shared" si="4"/>
        <v>217.47151019452883</v>
      </c>
      <c r="AM28" s="59">
        <f t="shared" si="5"/>
        <v>504.69373241675106</v>
      </c>
      <c r="AN28" s="59">
        <f ca="1">AVERAGE(OFFSET($AM$3,0,0,'Données projet'!$E$10+1,1))-AVERAGE(OFFSET($H$3,0,0,'Données projet'!$E$10+1,1))</f>
        <v>350.14981500723491</v>
      </c>
      <c r="AO28" s="59">
        <f t="shared" si="36"/>
        <v>270.58548917514111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5.7454807986062892</v>
      </c>
      <c r="AV28" s="21">
        <f>EXP(-LN(2)/25)*AV27+(1-EXP(-LN(2)/25))/(LN(2)/25)*Calculateur!AQ28*Calculateur!AS28*VLOOKUP('Données projet'!$B$10,Paramètres!$A$1:$I$89,3,0)*0.475*44/12</f>
        <v>1.3751539292004828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7.1206347278067721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69</v>
      </c>
      <c r="BB28" s="12">
        <f>VLOOKUP(A28,'Données projet'!$A$87:$I$107,9,0)</f>
        <v>7.4</v>
      </c>
      <c r="BC28" s="12">
        <f t="array" ref="BC28">INDEX(BB:BB,MIN(IF(ISNUMBER(BB28:BB224),ROW(BB28:BB224),"")))</f>
        <v>7.4</v>
      </c>
      <c r="BD28" s="12">
        <f>IF('Données projet'!$A$88&gt;35,BD27+BC28-BL27,IF(A28&lt;'Données projet'!$A$88,$BA$205^A28,IF(A28='Données projet'!$A$88,'Données projet'!$B$88,BD27+BC28-BL27)))</f>
        <v>69</v>
      </c>
      <c r="BE28" s="13">
        <f>BD28*VLOOKUP('Données projet'!$B$11,Paramètres!$A$1:$I$89,3,0)*VLOOKUP('Données projet'!$B$11,Paramètres!$A$1:$I$89,5,0)</f>
        <v>59.202000000000005</v>
      </c>
      <c r="BF28" s="13">
        <f t="shared" si="37"/>
        <v>16.966352622896878</v>
      </c>
      <c r="BG28" s="20">
        <f t="shared" si="7"/>
        <v>132.65988081821209</v>
      </c>
      <c r="BH28" s="59">
        <f t="shared" si="8"/>
        <v>419.88210304043434</v>
      </c>
      <c r="BI28" s="59">
        <f ca="1">AVERAGE(OFFSET($BH$3,0,0,'Données projet'!$E$11+1,1))-AVERAGE(OFFSET($H$3,0,0,'Données projet'!$E$11+1,1))</f>
        <v>359.99244410291516</v>
      </c>
      <c r="BJ28" s="59">
        <f t="shared" si="38"/>
        <v>143.73379124174278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7</v>
      </c>
      <c r="BM28" s="16">
        <f>IF(ISNA(VLOOKUP(A28,'Données projet'!$A$87:$I$107,5,0)),0%,VLOOKUP(A28,'Données projet'!$A$87:$I$107,5,0)*VLOOKUP('Données projet'!$B$11,Paramètres!$A$1:$I$89,7,0))</f>
        <v>0.26500000000000001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1.7594556013608484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1.7594556013608484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255</v>
      </c>
      <c r="O29" s="13">
        <f>N29*VLOOKUP('Données projet'!$B$9,Paramètres!$A$1:$I$89,3,0)*VLOOKUP('Données projet'!$B$9,Paramètres!$A$1:$I$89,5,0)</f>
        <v>142.54499999999999</v>
      </c>
      <c r="P29" s="13">
        <f t="shared" si="33"/>
        <v>36.879416555079331</v>
      </c>
      <c r="Q29" s="20">
        <f t="shared" si="2"/>
        <v>312.49752550009651</v>
      </c>
      <c r="R29" s="59">
        <f t="shared" si="0"/>
        <v>600.94196994454092</v>
      </c>
      <c r="S29" s="59">
        <f ca="1">AVERAGE(OFFSET($R$3,0,0,'Données projet'!$E$9+1,1))-AVERAGE(OFFSET($H$3,0,0,'Données projet'!$E$9+1,1))</f>
        <v>350.25444539178324</v>
      </c>
      <c r="T29" s="59">
        <f t="shared" si="34"/>
        <v>421.51176105448474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17.273714751129802</v>
      </c>
      <c r="AA29" s="21">
        <f>EXP(-LN(2)/25)*AA28+(1-EXP(-LN(2)/25))/(LN(2)/25)*Calculateur!V29*Calculateur!X29*VLOOKUP('Données projet'!$B$9,Paramètres!$A$1:$I$89,3,0)*0.475*44/12</f>
        <v>4.2674854723386808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21.541200223468483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14.6</v>
      </c>
      <c r="AI29" s="13">
        <f>IF('Données projet'!$A$62&gt;35,AI28+AH29-AQ28,IF(A29&lt;'Données projet'!$A$62,$AF$205^A29,IF(A29='Données projet'!$A$62,'Données projet'!$B$62,AI28+AH29-AQ28)))</f>
        <v>213.60000000000002</v>
      </c>
      <c r="AJ29" s="13">
        <f>AI29*VLOOKUP('Données projet'!$B$10,Paramètres!$A$1:$I$89,3,0)*VLOOKUP('Données projet'!$B$10,Paramètres!$A$1:$I$89,5,0)</f>
        <v>105.51840000000001</v>
      </c>
      <c r="AK29" s="13">
        <f t="shared" si="35"/>
        <v>28.272542135570433</v>
      </c>
      <c r="AL29" s="20">
        <f t="shared" si="4"/>
        <v>233.01922421945184</v>
      </c>
      <c r="AM29" s="59">
        <f t="shared" si="5"/>
        <v>521.46366866389633</v>
      </c>
      <c r="AN29" s="59">
        <f ca="1">AVERAGE(OFFSET($AM$3,0,0,'Données projet'!$E$10+1,1))-AVERAGE(OFFSET($H$3,0,0,'Données projet'!$E$10+1,1))</f>
        <v>350.14981500723491</v>
      </c>
      <c r="AO29" s="59">
        <f t="shared" si="36"/>
        <v>270.58548917514111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5.6328154245428763</v>
      </c>
      <c r="AV29" s="21">
        <f>EXP(-LN(2)/25)*AV28+(1-EXP(-LN(2)/25))/(LN(2)/25)*Calculateur!AQ29*Calculateur!AS29*VLOOKUP('Données projet'!$B$10,Paramètres!$A$1:$I$89,3,0)*0.475*44/12</f>
        <v>1.3375502726902935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6.97036569723317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5.2</v>
      </c>
      <c r="BD29" s="12">
        <f>IF('Données projet'!$A$88&gt;35,BD28+BC29-BL28,IF(A29&lt;'Données projet'!$A$88,$BA$205^A29,IF(A29='Données projet'!$A$88,'Données projet'!$B$88,BD28+BC29-BL28)))</f>
        <v>67.2</v>
      </c>
      <c r="BE29" s="13">
        <f>BD29*VLOOKUP('Données projet'!$B$11,Paramètres!$A$1:$I$89,3,0)*VLOOKUP('Données projet'!$B$11,Paramètres!$A$1:$I$89,5,0)</f>
        <v>57.657600000000016</v>
      </c>
      <c r="BF29" s="13">
        <f t="shared" si="37"/>
        <v>16.574671209026025</v>
      </c>
      <c r="BG29" s="20">
        <f t="shared" si="7"/>
        <v>129.28787235572034</v>
      </c>
      <c r="BH29" s="59">
        <f t="shared" si="8"/>
        <v>417.73231680016477</v>
      </c>
      <c r="BI29" s="59">
        <f ca="1">AVERAGE(OFFSET($BH$3,0,0,'Données projet'!$E$11+1,1))-AVERAGE(OFFSET($H$3,0,0,'Données projet'!$E$11+1,1))</f>
        <v>359.99244410291516</v>
      </c>
      <c r="BJ29" s="59">
        <f t="shared" si="38"/>
        <v>143.73379124174278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1.7249537501801131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1.7249537501801131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283</v>
      </c>
      <c r="O30" s="13">
        <f>N30*VLOOKUP('Données projet'!$B$9,Paramètres!$A$1:$I$89,3,0)*VLOOKUP('Données projet'!$B$9,Paramètres!$A$1:$I$89,5,0)</f>
        <v>158.197</v>
      </c>
      <c r="P30" s="13">
        <f t="shared" si="33"/>
        <v>40.435575886690025</v>
      </c>
      <c r="Q30" s="20">
        <f t="shared" si="2"/>
        <v>345.95173633598512</v>
      </c>
      <c r="R30" s="59">
        <f t="shared" si="0"/>
        <v>635.6184030026518</v>
      </c>
      <c r="S30" s="59">
        <f ca="1">AVERAGE(OFFSET($R$3,0,0,'Données projet'!$E$9+1,1))-AVERAGE(OFFSET($H$3,0,0,'Données projet'!$E$9+1,1))</f>
        <v>350.25444539178324</v>
      </c>
      <c r="T30" s="59">
        <f t="shared" si="34"/>
        <v>421.51176105448474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16.934987740785807</v>
      </c>
      <c r="AA30" s="21">
        <f>EXP(-LN(2)/25)*AA29+(1-EXP(-LN(2)/25))/(LN(2)/25)*Calculateur!V30*Calculateur!X30*VLOOKUP('Données projet'!$B$9,Paramètres!$A$1:$I$89,3,0)*0.475*44/12</f>
        <v>4.1507908576802723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21.085778598466078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14.6</v>
      </c>
      <c r="AI30" s="13">
        <f>IF('Données projet'!$A$62&gt;35,AI29+AH30-AQ29,IF(A30&lt;'Données projet'!$A$62,$AF$205^A30,IF(A30='Données projet'!$A$62,'Données projet'!$B$62,AI29+AH30-AQ29)))</f>
        <v>228.20000000000002</v>
      </c>
      <c r="AJ30" s="13">
        <f>AI30*VLOOKUP('Données projet'!$B$10,Paramètres!$A$1:$I$89,3,0)*VLOOKUP('Données projet'!$B$10,Paramètres!$A$1:$I$89,5,0)</f>
        <v>112.73080000000002</v>
      </c>
      <c r="AK30" s="13">
        <f t="shared" si="35"/>
        <v>29.973461221208765</v>
      </c>
      <c r="AL30" s="20">
        <f t="shared" si="4"/>
        <v>248.54325496027195</v>
      </c>
      <c r="AM30" s="59">
        <f t="shared" si="5"/>
        <v>538.20992162693869</v>
      </c>
      <c r="AN30" s="59">
        <f ca="1">AVERAGE(OFFSET($AM$3,0,0,'Données projet'!$E$10+1,1))-AVERAGE(OFFSET($H$3,0,0,'Données projet'!$E$10+1,1))</f>
        <v>350.14981500723491</v>
      </c>
      <c r="AO30" s="59">
        <f t="shared" si="36"/>
        <v>270.58548917514111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5.5223593497457548</v>
      </c>
      <c r="AV30" s="21">
        <f>EXP(-LN(2)/25)*AV29+(1-EXP(-LN(2)/25))/(LN(2)/25)*Calculateur!AQ30*Calculateur!AS30*VLOOKUP('Données projet'!$B$10,Paramètres!$A$1:$I$89,3,0)*0.475*44/12</f>
        <v>1.3009748901448657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6.8233342398906203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5.2</v>
      </c>
      <c r="BD30" s="12">
        <f>IF('Données projet'!$A$88&gt;35,BD29+BC30-BL29,IF(A30&lt;'Données projet'!$A$88,$BA$205^A30,IF(A30='Données projet'!$A$88,'Données projet'!$B$88,BD29+BC30-BL29)))</f>
        <v>72.400000000000006</v>
      </c>
      <c r="BE30" s="13">
        <f>BD30*VLOOKUP('Données projet'!$B$11,Paramètres!$A$1:$I$89,3,0)*VLOOKUP('Données projet'!$B$11,Paramètres!$A$1:$I$89,5,0)</f>
        <v>62.119200000000014</v>
      </c>
      <c r="BF30" s="13">
        <f t="shared" si="37"/>
        <v>17.702982070380347</v>
      </c>
      <c r="BG30" s="20">
        <f t="shared" si="7"/>
        <v>139.02363377257913</v>
      </c>
      <c r="BH30" s="59">
        <f t="shared" si="8"/>
        <v>428.69030043924579</v>
      </c>
      <c r="BI30" s="59">
        <f ca="1">AVERAGE(OFFSET($BH$3,0,0,'Données projet'!$E$11+1,1))-AVERAGE(OFFSET($H$3,0,0,'Données projet'!$E$11+1,1))</f>
        <v>359.99244410291516</v>
      </c>
      <c r="BJ30" s="59">
        <f t="shared" si="38"/>
        <v>143.73379124174278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1.6911284592569806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1.6911284592569806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311</v>
      </c>
      <c r="O31" s="13">
        <f>N31*VLOOKUP('Données projet'!$B$9,Paramètres!$A$1:$I$89,3,0)*VLOOKUP('Données projet'!$B$9,Paramètres!$A$1:$I$89,5,0)</f>
        <v>173.84899999999999</v>
      </c>
      <c r="P31" s="13">
        <f t="shared" si="33"/>
        <v>43.950945068839843</v>
      </c>
      <c r="Q31" s="20">
        <f t="shared" si="2"/>
        <v>379.33490432822936</v>
      </c>
      <c r="R31" s="59">
        <f t="shared" si="0"/>
        <v>670.22379321711821</v>
      </c>
      <c r="S31" s="59">
        <f ca="1">AVERAGE(OFFSET($R$3,0,0,'Données projet'!$E$9+1,1))-AVERAGE(OFFSET($H$3,0,0,'Données projet'!$E$9+1,1))</f>
        <v>350.25444539178324</v>
      </c>
      <c r="T31" s="59">
        <f t="shared" si="34"/>
        <v>421.51176105448474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16.602902960511585</v>
      </c>
      <c r="AA31" s="21">
        <f>EXP(-LN(2)/25)*AA30+(1-EXP(-LN(2)/25))/(LN(2)/25)*Calculateur!V31*Calculateur!X31*VLOOKUP('Données projet'!$B$9,Paramètres!$A$1:$I$89,3,0)*0.475*44/12</f>
        <v>4.0372872633964008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20.640190223907986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14.6</v>
      </c>
      <c r="AI31" s="13">
        <f>IF('Données projet'!$A$62&gt;35,AI30+AH31-AQ30,IF(A31&lt;'Données projet'!$A$62,$AF$205^A31,IF(A31='Données projet'!$A$62,'Données projet'!$B$62,AI30+AH31-AQ30)))</f>
        <v>242.8</v>
      </c>
      <c r="AJ31" s="13">
        <f>AI31*VLOOKUP('Données projet'!$B$10,Paramètres!$A$1:$I$89,3,0)*VLOOKUP('Données projet'!$B$10,Paramètres!$A$1:$I$89,5,0)</f>
        <v>119.94320000000002</v>
      </c>
      <c r="AK31" s="13">
        <f t="shared" si="35"/>
        <v>31.661751261873896</v>
      </c>
      <c r="AL31" s="20">
        <f t="shared" si="4"/>
        <v>264.04529011443037</v>
      </c>
      <c r="AM31" s="59">
        <f t="shared" si="5"/>
        <v>554.93417900331929</v>
      </c>
      <c r="AN31" s="59">
        <f ca="1">AVERAGE(OFFSET($AM$3,0,0,'Données projet'!$E$10+1,1))-AVERAGE(OFFSET($H$3,0,0,'Données projet'!$E$10+1,1))</f>
        <v>350.14981500723491</v>
      </c>
      <c r="AO31" s="59">
        <f t="shared" si="36"/>
        <v>270.58548917514111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5.4140692512038511</v>
      </c>
      <c r="AV31" s="21">
        <f>EXP(-LN(2)/25)*AV30+(1-EXP(-LN(2)/25))/(LN(2)/25)*Calculateur!AQ31*Calculateur!AS31*VLOOKUP('Données projet'!$B$10,Paramètres!$A$1:$I$89,3,0)*0.475*44/12</f>
        <v>1.2653996633585582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6.6794689145624098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5.2</v>
      </c>
      <c r="BD31" s="12">
        <f>IF('Données projet'!$A$88&gt;35,BD30+BC31-BL30,IF(A31&lt;'Données projet'!$A$88,$BA$205^A31,IF(A31='Données projet'!$A$88,'Données projet'!$B$88,BD30+BC31-BL30)))</f>
        <v>77.600000000000009</v>
      </c>
      <c r="BE31" s="13">
        <f>BD31*VLOOKUP('Données projet'!$B$11,Paramètres!$A$1:$I$89,3,0)*VLOOKUP('Données projet'!$B$11,Paramètres!$A$1:$I$89,5,0)</f>
        <v>66.580800000000011</v>
      </c>
      <c r="BF31" s="13">
        <f t="shared" si="37"/>
        <v>18.821890795575435</v>
      </c>
      <c r="BG31" s="20">
        <f t="shared" si="7"/>
        <v>148.74301980229387</v>
      </c>
      <c r="BH31" s="59">
        <f t="shared" si="8"/>
        <v>439.63190869118273</v>
      </c>
      <c r="BI31" s="59">
        <f ca="1">AVERAGE(OFFSET($BH$3,0,0,'Données projet'!$E$11+1,1))-AVERAGE(OFFSET($H$3,0,0,'Données projet'!$E$11+1,1))</f>
        <v>359.99244410291516</v>
      </c>
      <c r="BJ31" s="59">
        <f t="shared" si="38"/>
        <v>143.73379124174278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1.6579664616574605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1.6579664616574605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339</v>
      </c>
      <c r="O32" s="13">
        <f>N32*VLOOKUP('Données projet'!$B$9,Paramètres!$A$1:$I$89,3,0)*VLOOKUP('Données projet'!$B$9,Paramètres!$A$1:$I$89,5,0)</f>
        <v>189.50100000000003</v>
      </c>
      <c r="P32" s="13">
        <f t="shared" si="33"/>
        <v>47.429614156769482</v>
      </c>
      <c r="Q32" s="20">
        <f t="shared" si="2"/>
        <v>412.6541529897068</v>
      </c>
      <c r="R32" s="59">
        <f t="shared" si="0"/>
        <v>704.76526410081794</v>
      </c>
      <c r="S32" s="59">
        <f ca="1">AVERAGE(OFFSET($R$3,0,0,'Données projet'!$E$9+1,1))-AVERAGE(OFFSET($H$3,0,0,'Données projet'!$E$9+1,1))</f>
        <v>350.25444539178324</v>
      </c>
      <c r="T32" s="59">
        <f t="shared" si="34"/>
        <v>421.51176105448474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16.277330160226825</v>
      </c>
      <c r="AA32" s="21">
        <f>EXP(-LN(2)/25)*AA31+(1-EXP(-LN(2)/25))/(LN(2)/25)*Calculateur!V32*Calculateur!X32*VLOOKUP('Données projet'!$B$9,Paramètres!$A$1:$I$89,3,0)*0.475*44/12</f>
        <v>3.9268874308671164</v>
      </c>
      <c r="AB32" s="21">
        <f>EXP(-LN(2)/2)*AB31+(1-EXP(-LN(2)/2))/(LN(2)/2)*V32*Y32*VLOOKUP('Données projet'!$B$9,Paramètres!$A$1:$I$89,3,0)*0.475*44/12</f>
        <v>0</v>
      </c>
      <c r="AC32" s="22">
        <f t="shared" si="3"/>
        <v>20.20421759109394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14.6</v>
      </c>
      <c r="AI32" s="13">
        <f>IF('Données projet'!$A$62&gt;35,AI31+AH32-AQ31,IF(A32&lt;'Données projet'!$A$62,$AF$205^A32,IF(A32='Données projet'!$A$62,'Données projet'!$B$62,AI31+AH32-AQ31)))</f>
        <v>257.40000000000003</v>
      </c>
      <c r="AJ32" s="13">
        <f>AI32*VLOOKUP('Données projet'!$B$10,Paramètres!$A$1:$I$89,3,0)*VLOOKUP('Données projet'!$B$10,Paramètres!$A$1:$I$89,5,0)</f>
        <v>127.15560000000002</v>
      </c>
      <c r="AK32" s="13">
        <f t="shared" si="35"/>
        <v>33.338258149231912</v>
      </c>
      <c r="AL32" s="20">
        <f t="shared" si="4"/>
        <v>279.52680294324563</v>
      </c>
      <c r="AM32" s="59">
        <f t="shared" si="5"/>
        <v>571.63791405435677</v>
      </c>
      <c r="AN32" s="59">
        <f ca="1">AVERAGE(OFFSET($AM$3,0,0,'Données projet'!$E$10+1,1))-AVERAGE(OFFSET($H$3,0,0,'Données projet'!$E$10+1,1))</f>
        <v>350.14981500723491</v>
      </c>
      <c r="AO32" s="59">
        <f t="shared" si="36"/>
        <v>270.58548917514111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5.3079026554439164</v>
      </c>
      <c r="AV32" s="21">
        <f>EXP(-LN(2)/25)*AV31+(1-EXP(-LN(2)/25))/(LN(2)/25)*Calculateur!AQ32*Calculateur!AS32*VLOOKUP('Données projet'!$B$10,Paramètres!$A$1:$I$89,3,0)*0.475*44/12</f>
        <v>1.2307972430195422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6.5386998984634586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5.2</v>
      </c>
      <c r="BD32" s="12">
        <f>IF('Données projet'!$A$88&gt;35,BD31+BC32-BL31,IF(A32&lt;'Données projet'!$A$88,$BA$205^A32,IF(A32='Données projet'!$A$88,'Données projet'!$B$88,BD31+BC32-BL31)))</f>
        <v>82.800000000000011</v>
      </c>
      <c r="BE32" s="13">
        <f>BD32*VLOOKUP('Données projet'!$B$11,Paramètres!$A$1:$I$89,3,0)*VLOOKUP('Données projet'!$B$11,Paramètres!$A$1:$I$89,5,0)</f>
        <v>71.042400000000029</v>
      </c>
      <c r="BF32" s="13">
        <f t="shared" si="37"/>
        <v>19.932099110622822</v>
      </c>
      <c r="BG32" s="20">
        <f t="shared" si="7"/>
        <v>158.44725261766811</v>
      </c>
      <c r="BH32" s="59">
        <f t="shared" si="8"/>
        <v>450.55836372877923</v>
      </c>
      <c r="BI32" s="59">
        <f ca="1">AVERAGE(OFFSET($BH$3,0,0,'Données projet'!$E$11+1,1))-AVERAGE(OFFSET($H$3,0,0,'Données projet'!$E$11+1,1))</f>
        <v>359.99244410291516</v>
      </c>
      <c r="BJ32" s="59">
        <f t="shared" si="38"/>
        <v>143.73379124174278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1.6254547506040458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1.6254547506040458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367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367</v>
      </c>
      <c r="O33" s="13">
        <f>N33*VLOOKUP('Données projet'!$B$9,Paramètres!$A$1:$I$89,3,0)*VLOOKUP('Données projet'!$B$9,Paramètres!$A$1:$I$89,5,0)</f>
        <v>205.15300000000002</v>
      </c>
      <c r="P33" s="13">
        <f t="shared" si="33"/>
        <v>50.874959053246712</v>
      </c>
      <c r="Q33" s="20">
        <f t="shared" si="2"/>
        <v>445.91536201773806</v>
      </c>
      <c r="R33" s="59">
        <f t="shared" si="0"/>
        <v>739.24869535107132</v>
      </c>
      <c r="S33" s="59">
        <f ca="1">AVERAGE(OFFSET($R$3,0,0,'Données projet'!$E$9+1,1))-AVERAGE(OFFSET($H$3,0,0,'Données projet'!$E$9+1,1))</f>
        <v>350.25444539178324</v>
      </c>
      <c r="T33" s="59">
        <f t="shared" si="34"/>
        <v>421.51176105448474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0.44000000000000006</v>
      </c>
      <c r="X33" s="16">
        <f>IF(ISNA(VLOOKUP(A33,'Données projet'!$A$35:$I$55,6,0)),0%,VLOOKUP(A33,'Données projet'!$A$35:$I$55,6,0)*VLOOKUP('Données projet'!$B$9,Paramètres!$A$1:$I$89,7,0))</f>
        <v>0.11000000000000001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33.577358490810951</v>
      </c>
      <c r="AA33" s="21">
        <f>EXP(-LN(2)/25)*AA32+(1-EXP(-LN(2)/25))/(LN(2)/25)*Calculateur!V33*Calculateur!X33*VLOOKUP('Données projet'!$B$9,Paramètres!$A$1:$I$89,3,0)*0.475*44/12</f>
        <v>8.2069673067293127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41.784325797540262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272</v>
      </c>
      <c r="AG33" s="12">
        <f>VLOOKUP(A33,'Données projet'!$A$61:$I$81,9,0)</f>
        <v>14.6</v>
      </c>
      <c r="AH33" s="12">
        <f t="array" ref="AH33">INDEX(AG:AG,MIN(IF(ISNUMBER(AG33:AG229),ROW(AG33:AG229),"")))</f>
        <v>14.6</v>
      </c>
      <c r="AI33" s="13">
        <f>IF('Données projet'!$A$62&gt;35,AI32+AH33-AQ32,IF(A33&lt;'Données projet'!$A$62,$AF$205^A33,IF(A33='Données projet'!$A$62,'Données projet'!$B$62,AI32+AH33-AQ32)))</f>
        <v>272.00000000000006</v>
      </c>
      <c r="AJ33" s="13">
        <f>AI33*VLOOKUP('Données projet'!$B$10,Paramètres!$A$1:$I$89,3,0)*VLOOKUP('Données projet'!$B$10,Paramètres!$A$1:$I$89,5,0)</f>
        <v>134.36800000000005</v>
      </c>
      <c r="AK33" s="13">
        <f t="shared" si="35"/>
        <v>35.003726395250304</v>
      </c>
      <c r="AL33" s="20">
        <f t="shared" si="4"/>
        <v>294.98909013839437</v>
      </c>
      <c r="AM33" s="59">
        <f t="shared" si="5"/>
        <v>588.32242347172769</v>
      </c>
      <c r="AN33" s="59">
        <f ca="1">AVERAGE(OFFSET($AM$3,0,0,'Données projet'!$E$10+1,1))-AVERAGE(OFFSET($H$3,0,0,'Données projet'!$E$10+1,1))</f>
        <v>350.14981500723491</v>
      </c>
      <c r="AO33" s="59">
        <f t="shared" si="36"/>
        <v>270.58548917514111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54.400000000000006</v>
      </c>
      <c r="AR33" s="16">
        <f>IF(ISNA(VLOOKUP(A33,'Données projet'!$A$61:$I$81,5,0)),0%,VLOOKUP(A33,'Données projet'!$A$61:$I$81,5,0)*VLOOKUP('Données projet'!$B$10,Paramètres!$A$1:$I$89,7,0))</f>
        <v>0.44000000000000006</v>
      </c>
      <c r="AS33" s="16">
        <f>IF(ISNA(VLOOKUP(A33,'Données projet'!$A$61:$I$81,6,0)),0%,VLOOKUP(A33,'Données projet'!$A$61:$I$81,6,0)*VLOOKUP('Données projet'!$B$10,Paramètres!$A$1:$I$89,7,0))</f>
        <v>0.11000000000000001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20.889625443739618</v>
      </c>
      <c r="AV33" s="21">
        <f>EXP(-LN(2)/25)*AV32+(1-EXP(-LN(2)/25))/(LN(2)/25)*Calculateur!AQ33*Calculateur!AS33*VLOOKUP('Données projet'!$B$10,Paramètres!$A$1:$I$89,3,0)*0.475*44/12</f>
        <v>5.1031526579076543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25.992778101647271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88</v>
      </c>
      <c r="BB33" s="12">
        <f>VLOOKUP(A33,'Données projet'!$A$87:$I$107,9,0)</f>
        <v>5.2</v>
      </c>
      <c r="BC33" s="12">
        <f t="array" ref="BC33">INDEX(BB:BB,MIN(IF(ISNUMBER(BB33:BB229),ROW(BB33:BB229),"")))</f>
        <v>5.2</v>
      </c>
      <c r="BD33" s="12">
        <f>IF('Données projet'!$A$88&gt;35,BD32+BC33-BL32,IF(A33&lt;'Données projet'!$A$88,$BA$205^A33,IF(A33='Données projet'!$A$88,'Données projet'!$B$88,BD32+BC33-BL32)))</f>
        <v>88.000000000000014</v>
      </c>
      <c r="BE33" s="13">
        <f>BD33*VLOOKUP('Données projet'!$B$11,Paramètres!$A$1:$I$89,3,0)*VLOOKUP('Données projet'!$B$11,Paramètres!$A$1:$I$89,5,0)</f>
        <v>75.504000000000019</v>
      </c>
      <c r="BF33" s="13">
        <f t="shared" si="37"/>
        <v>21.034215620093399</v>
      </c>
      <c r="BG33" s="20">
        <f t="shared" si="7"/>
        <v>168.13739220499602</v>
      </c>
      <c r="BH33" s="59">
        <f t="shared" si="8"/>
        <v>461.47072553832936</v>
      </c>
      <c r="BI33" s="59">
        <f ca="1">AVERAGE(OFFSET($BH$3,0,0,'Données projet'!$E$11+1,1))-AVERAGE(OFFSET($H$3,0,0,'Données projet'!$E$11+1,1))</f>
        <v>359.99244410291516</v>
      </c>
      <c r="BJ33" s="59">
        <f t="shared" si="38"/>
        <v>143.73379124174278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1.5935805743742029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1.5935805743742029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24.6</v>
      </c>
      <c r="N34" s="13">
        <f>IF('Données projet'!$A$36&gt;35,N33+M34-V33,IF(A34&lt;'Données projet'!$A$36,$K$205^A34,IF(A34='Données projet'!$A$36,'Données projet'!$B$36,N33+M34-V33)))</f>
        <v>337.6</v>
      </c>
      <c r="O34" s="13">
        <f>N34*VLOOKUP('Données projet'!$B$9,Paramètres!$A$1:$I$89,3,0)*VLOOKUP('Données projet'!$B$9,Paramètres!$A$1:$I$89,5,0)</f>
        <v>188.7184</v>
      </c>
      <c r="P34" s="13">
        <f t="shared" si="33"/>
        <v>47.25649777404162</v>
      </c>
      <c r="Q34" s="20">
        <f t="shared" si="2"/>
        <v>410.98961362312247</v>
      </c>
      <c r="R34" s="59">
        <f t="shared" si="0"/>
        <v>704.32294695645578</v>
      </c>
      <c r="S34" s="59">
        <f ca="1">AVERAGE(OFFSET($R$3,0,0,'Données projet'!$E$9+1,1))-AVERAGE(OFFSET($H$3,0,0,'Données projet'!$E$9+1,1))</f>
        <v>350.25444539178324</v>
      </c>
      <c r="T34" s="59">
        <f t="shared" si="34"/>
        <v>421.51176105448474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32.918926970972578</v>
      </c>
      <c r="AA34" s="21">
        <f>EXP(-LN(2)/25)*AA33+(1-EXP(-LN(2)/25))/(LN(2)/25)*Calculateur!V34*Calculateur!X34*VLOOKUP('Données projet'!$B$9,Paramètres!$A$1:$I$89,3,0)*0.475*44/12</f>
        <v>7.982547354141146</v>
      </c>
      <c r="AB34" s="21">
        <f>EXP(-LN(2)/2)*AB33+(1-EXP(-LN(2)/2))/(LN(2)/2)*V34*Y34*VLOOKUP('Données projet'!$B$9,Paramètres!$A$1:$I$89,3,0)*0.475*44/12</f>
        <v>0</v>
      </c>
      <c r="AC34" s="22">
        <f t="shared" si="3"/>
        <v>40.901474325113725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25.080000000000002</v>
      </c>
      <c r="AI34" s="13">
        <f>IF('Données projet'!$A$62&gt;35,AI33+AH34-AQ33,IF(A34&lt;'Données projet'!$A$62,$AF$205^A34,IF(A34='Données projet'!$A$62,'Données projet'!$B$62,AI33+AH34-AQ33)))</f>
        <v>242.68000000000004</v>
      </c>
      <c r="AJ34" s="13">
        <f>AI34*VLOOKUP('Données projet'!$B$10,Paramètres!$A$1:$I$89,3,0)*VLOOKUP('Données projet'!$B$10,Paramètres!$A$1:$I$89,5,0)</f>
        <v>119.88392000000003</v>
      </c>
      <c r="AK34" s="13">
        <f t="shared" si="35"/>
        <v>31.647924015604254</v>
      </c>
      <c r="AL34" s="20">
        <f t="shared" si="4"/>
        <v>263.9179616605108</v>
      </c>
      <c r="AM34" s="59">
        <f t="shared" si="5"/>
        <v>557.25129499384411</v>
      </c>
      <c r="AN34" s="59">
        <f ca="1">AVERAGE(OFFSET($AM$3,0,0,'Données projet'!$E$10+1,1))-AVERAGE(OFFSET($H$3,0,0,'Données projet'!$E$10+1,1))</f>
        <v>350.14981500723491</v>
      </c>
      <c r="AO34" s="59">
        <f t="shared" si="36"/>
        <v>270.58548917514111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20.479992630201295</v>
      </c>
      <c r="AV34" s="21">
        <f>EXP(-LN(2)/25)*AV33+(1-EXP(-LN(2)/25))/(LN(2)/25)*Calculateur!AQ34*Calculateur!AS34*VLOOKUP('Données projet'!$B$10,Paramètres!$A$1:$I$89,3,0)*0.475*44/12</f>
        <v>4.9636066801140348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25.443599310315328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4.5999999999999996</v>
      </c>
      <c r="BD34" s="12">
        <f>IF('Données projet'!$A$88&gt;35,BD33+BC34-BL33,IF(A34&lt;'Données projet'!$A$88,$BA$205^A34,IF(A34='Données projet'!$A$88,'Données projet'!$B$88,BD33+BC34-BL33)))</f>
        <v>92.600000000000009</v>
      </c>
      <c r="BE34" s="13">
        <f>BD34*VLOOKUP('Données projet'!$B$11,Paramètres!$A$1:$I$89,3,0)*VLOOKUP('Données projet'!$B$11,Paramètres!$A$1:$I$89,5,0)</f>
        <v>79.450800000000015</v>
      </c>
      <c r="BF34" s="13">
        <f t="shared" si="37"/>
        <v>22.002848084436344</v>
      </c>
      <c r="BG34" s="20">
        <f t="shared" si="7"/>
        <v>176.69843708039332</v>
      </c>
      <c r="BH34" s="59">
        <f t="shared" si="8"/>
        <v>470.03177041372663</v>
      </c>
      <c r="BI34" s="59">
        <f ca="1">AVERAGE(OFFSET($BH$3,0,0,'Données projet'!$E$11+1,1))-AVERAGE(OFFSET($H$3,0,0,'Données projet'!$E$11+1,1))</f>
        <v>359.99244410291516</v>
      </c>
      <c r="BJ34" s="59">
        <f t="shared" si="38"/>
        <v>143.73379124174278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1.5623314312988992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1.5623314312988992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24.6</v>
      </c>
      <c r="N35" s="13">
        <f>IF('Données projet'!$A$36&gt;35,N34+M35-V34,IF(A35&lt;'Données projet'!$A$36,$K$205^A35,IF(A35='Données projet'!$A$36,'Données projet'!$B$36,N34+M35-V34)))</f>
        <v>362.20000000000005</v>
      </c>
      <c r="O35" s="13">
        <f>N35*VLOOKUP('Données projet'!$B$9,Paramètres!$A$1:$I$89,3,0)*VLOOKUP('Données projet'!$B$9,Paramètres!$A$1:$I$89,5,0)</f>
        <v>202.46980000000002</v>
      </c>
      <c r="P35" s="13">
        <f t="shared" si="33"/>
        <v>50.286566685450978</v>
      </c>
      <c r="Q35" s="20">
        <f t="shared" ref="Q35:Q66" si="53">(O35+P35)*0.475*44/12</f>
        <v>440.21733864382713</v>
      </c>
      <c r="R35" s="59">
        <f t="shared" si="0"/>
        <v>733.55067197716039</v>
      </c>
      <c r="S35" s="59">
        <f ca="1">AVERAGE(OFFSET($R$3,0,0,'Données projet'!$E$9+1,1))-AVERAGE(OFFSET($H$3,0,0,'Données projet'!$E$9+1,1))</f>
        <v>350.25444539178324</v>
      </c>
      <c r="T35" s="59">
        <f t="shared" si="34"/>
        <v>421.51176105448474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32.273406891634664</v>
      </c>
      <c r="AA35" s="21">
        <f>EXP(-LN(2)/25)*AA34+(1-EXP(-LN(2)/25))/(LN(2)/25)*Calculateur!V35*Calculateur!X35*VLOOKUP('Données projet'!$B$9,Paramètres!$A$1:$I$89,3,0)*0.475*44/12</f>
        <v>7.7642641769582355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40.0376710685929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25.080000000000002</v>
      </c>
      <c r="AI35" s="13">
        <f>IF('Données projet'!$A$62&gt;35,AI34+AH35-AQ34,IF(A35&lt;'Données projet'!$A$62,$AF$205^A35,IF(A35='Données projet'!$A$62,'Données projet'!$B$62,AI34+AH35-AQ34)))</f>
        <v>267.76000000000005</v>
      </c>
      <c r="AJ35" s="13">
        <f>AI35*VLOOKUP('Données projet'!$B$10,Paramètres!$A$1:$I$89,3,0)*VLOOKUP('Données projet'!$B$10,Paramètres!$A$1:$I$89,5,0)</f>
        <v>132.27344000000002</v>
      </c>
      <c r="AK35" s="13">
        <f t="shared" si="35"/>
        <v>34.521153337401401</v>
      </c>
      <c r="AL35" s="20">
        <f t="shared" si="4"/>
        <v>290.5005833959741</v>
      </c>
      <c r="AM35" s="59">
        <f t="shared" si="5"/>
        <v>583.83391672930748</v>
      </c>
      <c r="AN35" s="59">
        <f ca="1">AVERAGE(OFFSET($AM$3,0,0,'Données projet'!$E$10+1,1))-AVERAGE(OFFSET($H$3,0,0,'Données projet'!$E$10+1,1))</f>
        <v>350.14981500723491</v>
      </c>
      <c r="AO35" s="59">
        <f t="shared" si="36"/>
        <v>270.58548917514111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20.078392466285113</v>
      </c>
      <c r="AV35" s="21">
        <f>EXP(-LN(2)/25)*AV34+(1-EXP(-LN(2)/25))/(LN(2)/25)*Calculateur!AQ35*Calculateur!AS35*VLOOKUP('Données projet'!$B$10,Paramètres!$A$1:$I$89,3,0)*0.475*44/12</f>
        <v>4.8278765944215856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24.906269060706698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4.5999999999999996</v>
      </c>
      <c r="BD35" s="12">
        <f>IF('Données projet'!$A$88&gt;35,BD34+BC35-BL34,IF(A35&lt;'Données projet'!$A$88,$BA$205^A35,IF(A35='Données projet'!$A$88,'Données projet'!$B$88,BD34+BC35-BL34)))</f>
        <v>97.2</v>
      </c>
      <c r="BE35" s="13">
        <f>BD35*VLOOKUP('Données projet'!$B$11,Paramètres!$A$1:$I$89,3,0)*VLOOKUP('Données projet'!$B$11,Paramètres!$A$1:$I$89,5,0)</f>
        <v>83.397600000000011</v>
      </c>
      <c r="BF35" s="13">
        <f t="shared" si="37"/>
        <v>22.965893371329315</v>
      </c>
      <c r="BG35" s="20">
        <f t="shared" si="7"/>
        <v>185.24975095506522</v>
      </c>
      <c r="BH35" s="59">
        <f t="shared" si="8"/>
        <v>478.58308428839854</v>
      </c>
      <c r="BI35" s="59">
        <f ca="1">AVERAGE(OFFSET($BH$3,0,0,'Données projet'!$E$11+1,1))-AVERAGE(OFFSET($H$3,0,0,'Données projet'!$E$11+1,1))</f>
        <v>359.99244410291516</v>
      </c>
      <c r="BJ35" s="59">
        <f t="shared" si="38"/>
        <v>143.73379124174278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1.5316950648592069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1.5316950648592069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24.6</v>
      </c>
      <c r="N36" s="13">
        <f>IF('Données projet'!$A$36&gt;35,N35+M36-V35,IF(A36&lt;'Données projet'!$A$36,$K$205^A36,IF(A36='Données projet'!$A$36,'Données projet'!$B$36,N35+M36-V35)))</f>
        <v>386.80000000000007</v>
      </c>
      <c r="O36" s="13">
        <f>N36*VLOOKUP('Données projet'!$B$9,Paramètres!$A$1:$I$89,3,0)*VLOOKUP('Données projet'!$B$9,Paramètres!$A$1:$I$89,5,0)</f>
        <v>216.22120000000007</v>
      </c>
      <c r="P36" s="13">
        <f t="shared" si="33"/>
        <v>53.292755886926976</v>
      </c>
      <c r="Q36" s="20">
        <f t="shared" si="53"/>
        <v>469.40347316973117</v>
      </c>
      <c r="R36" s="59">
        <f t="shared" si="0"/>
        <v>762.73680650306449</v>
      </c>
      <c r="S36" s="59">
        <f ca="1">AVERAGE(OFFSET($R$3,0,0,'Données projet'!$E$9+1,1))-AVERAGE(OFFSET($H$3,0,0,'Données projet'!$E$9+1,1))</f>
        <v>350.25444539178324</v>
      </c>
      <c r="T36" s="59">
        <f t="shared" si="34"/>
        <v>421.51176105448474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31.640545067324197</v>
      </c>
      <c r="AA36" s="21">
        <f>EXP(-LN(2)/25)*AA35+(1-EXP(-LN(2)/25))/(LN(2)/25)*Calculateur!V36*Calculateur!X36*VLOOKUP('Données projet'!$B$9,Paramètres!$A$1:$I$89,3,0)*0.475*44/12</f>
        <v>7.5519499647344048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39.192495032058602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25.080000000000002</v>
      </c>
      <c r="AI36" s="13">
        <f>IF('Données projet'!$A$62&gt;35,AI35+AH36-AQ35,IF(A36&lt;'Données projet'!$A$62,$AF$205^A36,IF(A36='Données projet'!$A$62,'Données projet'!$B$62,AI35+AH36-AQ35)))</f>
        <v>292.84000000000003</v>
      </c>
      <c r="AJ36" s="13">
        <f>AI36*VLOOKUP('Données projet'!$B$10,Paramètres!$A$1:$I$89,3,0)*VLOOKUP('Données projet'!$B$10,Paramètres!$A$1:$I$89,5,0)</f>
        <v>144.66296000000003</v>
      </c>
      <c r="AK36" s="13">
        <f t="shared" si="35"/>
        <v>37.363178675756053</v>
      </c>
      <c r="AL36" s="20">
        <f t="shared" si="4"/>
        <v>317.02885819360847</v>
      </c>
      <c r="AM36" s="59">
        <f t="shared" si="5"/>
        <v>610.36219152694184</v>
      </c>
      <c r="AN36" s="59">
        <f ca="1">AVERAGE(OFFSET($AM$3,0,0,'Données projet'!$E$10+1,1))-AVERAGE(OFFSET($H$3,0,0,'Données projet'!$E$10+1,1))</f>
        <v>350.14981500723491</v>
      </c>
      <c r="AO36" s="59">
        <f t="shared" si="36"/>
        <v>270.58548917514111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19.684667436631415</v>
      </c>
      <c r="AV36" s="21">
        <f>EXP(-LN(2)/25)*AV35+(1-EXP(-LN(2)/25))/(LN(2)/25)*Calculateur!AQ36*Calculateur!AS36*VLOOKUP('Données projet'!$B$10,Paramètres!$A$1:$I$89,3,0)*0.475*44/12</f>
        <v>4.6958580550601319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24.380525491691547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4.5999999999999996</v>
      </c>
      <c r="BD36" s="12">
        <f>IF('Données projet'!$A$88&gt;35,BD35+BC36-BL35,IF(A36&lt;'Données projet'!$A$88,$BA$205^A36,IF(A36='Données projet'!$A$88,'Données projet'!$B$88,BD35+BC36-BL35)))</f>
        <v>101.8</v>
      </c>
      <c r="BE36" s="13">
        <f>BD36*VLOOKUP('Données projet'!$B$11,Paramètres!$A$1:$I$89,3,0)*VLOOKUP('Données projet'!$B$11,Paramètres!$A$1:$I$89,5,0)</f>
        <v>87.344400000000007</v>
      </c>
      <c r="BF36" s="13">
        <f t="shared" si="37"/>
        <v>23.923646085648929</v>
      </c>
      <c r="BG36" s="20">
        <f t="shared" si="7"/>
        <v>193.79184693250522</v>
      </c>
      <c r="BH36" s="59">
        <f t="shared" si="8"/>
        <v>487.12518026583854</v>
      </c>
      <c r="BI36" s="59">
        <f ca="1">AVERAGE(OFFSET($BH$3,0,0,'Données projet'!$E$11+1,1))-AVERAGE(OFFSET($H$3,0,0,'Données projet'!$E$11+1,1))</f>
        <v>359.99244410291516</v>
      </c>
      <c r="BJ36" s="59">
        <f t="shared" si="38"/>
        <v>143.73379124174278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1.5016594588790588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1.5016594588790588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24.6</v>
      </c>
      <c r="N37" s="13">
        <f>IF('Données projet'!$A$36&gt;35,N36+M37-V36,IF(A37&lt;'Données projet'!$A$36,$K$205^A37,IF(A37='Données projet'!$A$36,'Données projet'!$B$36,N36+M37-V36)))</f>
        <v>411.40000000000009</v>
      </c>
      <c r="O37" s="13">
        <f>N37*VLOOKUP('Données projet'!$B$9,Paramètres!$A$1:$I$89,3,0)*VLOOKUP('Données projet'!$B$9,Paramètres!$A$1:$I$89,5,0)</f>
        <v>229.97260000000006</v>
      </c>
      <c r="P37" s="13">
        <f t="shared" si="33"/>
        <v>56.276756969450098</v>
      </c>
      <c r="Q37" s="20">
        <f t="shared" si="53"/>
        <v>498.55096338845897</v>
      </c>
      <c r="R37" s="59">
        <f t="shared" si="0"/>
        <v>791.88429672179223</v>
      </c>
      <c r="S37" s="59">
        <f ca="1">AVERAGE(OFFSET($R$3,0,0,'Données projet'!$E$9+1,1))-AVERAGE(OFFSET($H$3,0,0,'Données projet'!$E$9+1,1))</f>
        <v>350.25444539178324</v>
      </c>
      <c r="T37" s="59">
        <f t="shared" si="34"/>
        <v>421.51176105448474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31.020093277380859</v>
      </c>
      <c r="AA37" s="21">
        <f>EXP(-LN(2)/25)*AA36+(1-EXP(-LN(2)/25))/(LN(2)/25)*Calculateur!V37*Calculateur!X37*VLOOKUP('Données projet'!$B$9,Paramètres!$A$1:$I$89,3,0)*0.475*44/12</f>
        <v>7.345441495808954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38.365534773189815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25.080000000000002</v>
      </c>
      <c r="AI37" s="13">
        <f>IF('Données projet'!$A$62&gt;35,AI36+AH37-AQ36,IF(A37&lt;'Données projet'!$A$62,$AF$205^A37,IF(A37='Données projet'!$A$62,'Données projet'!$B$62,AI36+AH37-AQ36)))</f>
        <v>317.92</v>
      </c>
      <c r="AJ37" s="13">
        <f>AI37*VLOOKUP('Données projet'!$B$10,Paramètres!$A$1:$I$89,3,0)*VLOOKUP('Données projet'!$B$10,Paramètres!$A$1:$I$89,5,0)</f>
        <v>157.05248</v>
      </c>
      <c r="AK37" s="13">
        <f t="shared" si="35"/>
        <v>40.176976313337811</v>
      </c>
      <c r="AL37" s="20">
        <f t="shared" si="4"/>
        <v>343.50796974573001</v>
      </c>
      <c r="AM37" s="59">
        <f t="shared" si="5"/>
        <v>636.84130307906332</v>
      </c>
      <c r="AN37" s="59">
        <f ca="1">AVERAGE(OFFSET($AM$3,0,0,'Données projet'!$E$10+1,1))-AVERAGE(OFFSET($H$3,0,0,'Données projet'!$E$10+1,1))</f>
        <v>350.14981500723491</v>
      </c>
      <c r="AO37" s="59">
        <f t="shared" si="36"/>
        <v>270.58548917514111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19.29866311466067</v>
      </c>
      <c r="AV37" s="21">
        <f>EXP(-LN(2)/25)*AV36+(1-EXP(-LN(2)/25))/(LN(2)/25)*Calculateur!AQ37*Calculateur!AS37*VLOOKUP('Données projet'!$B$10,Paramètres!$A$1:$I$89,3,0)*0.475*44/12</f>
        <v>4.5674495696000701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23.866112684260742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4.5999999999999996</v>
      </c>
      <c r="BD37" s="12">
        <f>IF('Données projet'!$A$88&gt;35,BD36+BC37-BL36,IF(A37&lt;'Données projet'!$A$88,$BA$205^A37,IF(A37='Données projet'!$A$88,'Données projet'!$B$88,BD36+BC37-BL36)))</f>
        <v>106.39999999999999</v>
      </c>
      <c r="BE37" s="13">
        <f>BD37*VLOOKUP('Données projet'!$B$11,Paramètres!$A$1:$I$89,3,0)*VLOOKUP('Données projet'!$B$11,Paramètres!$A$1:$I$89,5,0)</f>
        <v>91.291200000000003</v>
      </c>
      <c r="BF37" s="13">
        <f t="shared" si="37"/>
        <v>24.87637270280544</v>
      </c>
      <c r="BG37" s="20">
        <f t="shared" si="7"/>
        <v>202.32518912405283</v>
      </c>
      <c r="BH37" s="59">
        <f t="shared" si="8"/>
        <v>495.65852245738614</v>
      </c>
      <c r="BI37" s="59">
        <f ca="1">AVERAGE(OFFSET($BH$3,0,0,'Données projet'!$E$11+1,1))-AVERAGE(OFFSET($H$3,0,0,'Données projet'!$E$11+1,1))</f>
        <v>359.99244410291516</v>
      </c>
      <c r="BJ37" s="59">
        <f t="shared" si="38"/>
        <v>143.73379124174278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1.4722128328122706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1.4722128328122706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436</v>
      </c>
      <c r="L38" s="12">
        <f>VLOOKUP(A38,'Données projet'!$A$35:$I$55,9,0)</f>
        <v>24.6</v>
      </c>
      <c r="M38" s="12">
        <f t="array" ref="M38">INDEX(L:L,MIN(IF(ISNUMBER(L38:L234),ROW(L38:L234),"")))</f>
        <v>24.6</v>
      </c>
      <c r="N38" s="13">
        <f>IF('Données projet'!$A$36&gt;35,N37+M38-V37,IF(A38&lt;'Données projet'!$A$36,$K$205^A38,IF(A38='Données projet'!$A$36,'Données projet'!$B$36,N37+M38-V37)))</f>
        <v>436.00000000000011</v>
      </c>
      <c r="O38" s="13">
        <f>N38*VLOOKUP('Données projet'!$B$9,Paramètres!$A$1:$I$89,3,0)*VLOOKUP('Données projet'!$B$9,Paramètres!$A$1:$I$89,5,0)</f>
        <v>243.72400000000007</v>
      </c>
      <c r="P38" s="13">
        <f t="shared" si="33"/>
        <v>59.24004779454549</v>
      </c>
      <c r="Q38" s="20">
        <f t="shared" si="53"/>
        <v>527.66238324216681</v>
      </c>
      <c r="R38" s="59">
        <f t="shared" si="0"/>
        <v>820.99571657550018</v>
      </c>
      <c r="S38" s="59">
        <f ca="1">AVERAGE(OFFSET($R$3,0,0,'Données projet'!$E$9+1,1))-AVERAGE(OFFSET($H$3,0,0,'Données projet'!$E$9+1,1))</f>
        <v>350.25444539178324</v>
      </c>
      <c r="T38" s="59">
        <f t="shared" si="34"/>
        <v>421.51176105448474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30.411808168600086</v>
      </c>
      <c r="AA38" s="21">
        <f>EXP(-LN(2)/25)*AA37+(1-EXP(-LN(2)/25))/(LN(2)/25)*Calculateur!V38*Calculateur!X38*VLOOKUP('Données projet'!$B$9,Paramètres!$A$1:$I$89,3,0)*0.475*44/12</f>
        <v>7.1445800118260783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37.556388180426161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343</v>
      </c>
      <c r="AG38" s="12">
        <f>VLOOKUP(A38,'Données projet'!$A$61:$I$81,9,0)</f>
        <v>25.080000000000002</v>
      </c>
      <c r="AH38" s="12">
        <f t="array" ref="AH38">INDEX(AG:AG,MIN(IF(ISNUMBER(AG38:AG234),ROW(AG38:AG234),"")))</f>
        <v>25.080000000000002</v>
      </c>
      <c r="AI38" s="13">
        <f>IF('Données projet'!$A$62&gt;35,AI37+AH38-AQ37,IF(A38&lt;'Données projet'!$A$62,$AF$205^A38,IF(A38='Données projet'!$A$62,'Données projet'!$B$62,AI37+AH38-AQ37)))</f>
        <v>343</v>
      </c>
      <c r="AJ38" s="13">
        <f>AI38*VLOOKUP('Données projet'!$B$10,Paramètres!$A$1:$I$89,3,0)*VLOOKUP('Données projet'!$B$10,Paramètres!$A$1:$I$89,5,0)</f>
        <v>169.44200000000001</v>
      </c>
      <c r="AK38" s="13">
        <f t="shared" si="35"/>
        <v>42.965026244287607</v>
      </c>
      <c r="AL38" s="20">
        <f t="shared" si="4"/>
        <v>369.94223737546758</v>
      </c>
      <c r="AM38" s="59">
        <f t="shared" si="5"/>
        <v>663.27557070880084</v>
      </c>
      <c r="AN38" s="59">
        <f ca="1">AVERAGE(OFFSET($AM$3,0,0,'Données projet'!$E$10+1,1))-AVERAGE(OFFSET($H$3,0,0,'Données projet'!$E$10+1,1))</f>
        <v>350.14981500723491</v>
      </c>
      <c r="AO38" s="59">
        <f t="shared" si="36"/>
        <v>270.58548917514111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18.920228102004383</v>
      </c>
      <c r="AV38" s="21">
        <f>EXP(-LN(2)/25)*AV37+(1-EXP(-LN(2)/25))/(LN(2)/25)*Calculateur!AQ38*Calculateur!AS38*VLOOKUP('Données projet'!$B$10,Paramètres!$A$1:$I$89,3,0)*0.475*44/12</f>
        <v>4.4425524209276226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23.362780522932006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111</v>
      </c>
      <c r="BB38" s="12">
        <f>VLOOKUP(A38,'Données projet'!$A$87:$I$107,9,0)</f>
        <v>4.5999999999999996</v>
      </c>
      <c r="BC38" s="12">
        <f t="array" ref="BC38">INDEX(BB:BB,MIN(IF(ISNUMBER(BB38:BB234),ROW(BB38:BB234),"")))</f>
        <v>4.5999999999999996</v>
      </c>
      <c r="BD38" s="12">
        <f>IF('Données projet'!$A$88&gt;35,BD37+BC38-BL37,IF(A38&lt;'Données projet'!$A$88,$BA$205^A38,IF(A38='Données projet'!$A$88,'Données projet'!$B$88,BD37+BC38-BL37)))</f>
        <v>110.99999999999999</v>
      </c>
      <c r="BE38" s="13">
        <f>BD38*VLOOKUP('Données projet'!$B$11,Paramètres!$A$1:$I$89,3,0)*VLOOKUP('Données projet'!$B$11,Paramètres!$A$1:$I$89,5,0)</f>
        <v>95.238</v>
      </c>
      <c r="BF38" s="13">
        <f t="shared" si="37"/>
        <v>25.824315354051141</v>
      </c>
      <c r="BG38" s="20">
        <f t="shared" si="7"/>
        <v>210.85019924163905</v>
      </c>
      <c r="BH38" s="59">
        <f t="shared" si="8"/>
        <v>504.18353257497233</v>
      </c>
      <c r="BI38" s="59">
        <f ca="1">AVERAGE(OFFSET($BH$3,0,0,'Données projet'!$E$11+1,1))-AVERAGE(OFFSET($H$3,0,0,'Données projet'!$E$11+1,1))</f>
        <v>359.99244410291516</v>
      </c>
      <c r="BJ38" s="59">
        <f t="shared" si="38"/>
        <v>143.73379124174278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1.4433436371219837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1.4433436371219837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447.2000000000001</v>
      </c>
      <c r="O39" s="13">
        <f>N39*VLOOKUP('Données projet'!$B$9,Paramètres!$A$1:$I$89,3,0)*VLOOKUP('Données projet'!$B$9,Paramètres!$A$1:$I$89,5,0)</f>
        <v>249.98480000000006</v>
      </c>
      <c r="P39" s="13">
        <f t="shared" si="33"/>
        <v>60.582685989596904</v>
      </c>
      <c r="Q39" s="20">
        <f t="shared" si="53"/>
        <v>540.90503809854795</v>
      </c>
      <c r="R39" s="59">
        <f t="shared" si="0"/>
        <v>834.23837143188121</v>
      </c>
      <c r="S39" s="59">
        <f ca="1">AVERAGE(OFFSET($R$3,0,0,'Données projet'!$E$9+1,1))-AVERAGE(OFFSET($H$3,0,0,'Données projet'!$E$9+1,1))</f>
        <v>350.25444539178324</v>
      </c>
      <c r="T39" s="59">
        <f t="shared" si="34"/>
        <v>421.51176105448474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29.815451159785223</v>
      </c>
      <c r="AA39" s="21">
        <f>EXP(-LN(2)/25)*AA38+(1-EXP(-LN(2)/25))/(LN(2)/25)*Calculateur!V39*Calculateur!X39*VLOOKUP('Données projet'!$B$9,Paramètres!$A$1:$I$89,3,0)*0.475*44/12</f>
        <v>6.9492110956855608</v>
      </c>
      <c r="AB39" s="21">
        <f>EXP(-LN(2)/2)*AB38+(1-EXP(-LN(2)/2))/(LN(2)/2)*V39*Y39*VLOOKUP('Données projet'!$B$9,Paramètres!$A$1:$I$89,3,0)*0.475*44/12</f>
        <v>0</v>
      </c>
      <c r="AC39" s="22">
        <f t="shared" si="3"/>
        <v>36.764662255470782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13.4</v>
      </c>
      <c r="AI39" s="13">
        <f>IF('Données projet'!$A$62&gt;35,AI38+AH39-AQ38,IF(A39&lt;'Données projet'!$A$62,$AF$205^A39,IF(A39='Données projet'!$A$62,'Données projet'!$B$62,AI38+AH39-AQ38)))</f>
        <v>356.4</v>
      </c>
      <c r="AJ39" s="13">
        <f>AI39*VLOOKUP('Données projet'!$B$10,Paramètres!$A$1:$I$89,3,0)*VLOOKUP('Données projet'!$B$10,Paramètres!$A$1:$I$89,5,0)</f>
        <v>176.0616</v>
      </c>
      <c r="AK39" s="13">
        <f t="shared" si="35"/>
        <v>44.444839741138928</v>
      </c>
      <c r="AL39" s="20">
        <f t="shared" si="4"/>
        <v>384.04871588248358</v>
      </c>
      <c r="AM39" s="59">
        <f t="shared" si="5"/>
        <v>677.38204921581689</v>
      </c>
      <c r="AN39" s="59">
        <f ca="1">AVERAGE(OFFSET($AM$3,0,0,'Données projet'!$E$10+1,1))-AVERAGE(OFFSET($H$3,0,0,'Données projet'!$E$10+1,1))</f>
        <v>350.14981500723491</v>
      </c>
      <c r="AO39" s="59">
        <f t="shared" si="36"/>
        <v>270.58548917514111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18.54921396912372</v>
      </c>
      <c r="AV39" s="21">
        <f>EXP(-LN(2)/25)*AV38+(1-EXP(-LN(2)/25))/(LN(2)/25)*Calculateur!AQ39*Calculateur!AS39*VLOOKUP('Données projet'!$B$10,Paramètres!$A$1:$I$89,3,0)*0.475*44/12</f>
        <v>4.3210705913536787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22.870284560477398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4.8</v>
      </c>
      <c r="BD39" s="12">
        <f>IF('Données projet'!$A$88&gt;35,BD38+BC39-BL38,IF(A39&lt;'Données projet'!$A$88,$BA$205^A39,IF(A39='Données projet'!$A$88,'Données projet'!$B$88,BD38+BC39-BL38)))</f>
        <v>115.79999999999998</v>
      </c>
      <c r="BE39" s="13">
        <f>BD39*VLOOKUP('Données projet'!$B$11,Paramètres!$A$1:$I$89,3,0)*VLOOKUP('Données projet'!$B$11,Paramètres!$A$1:$I$89,5,0)</f>
        <v>99.356399999999994</v>
      </c>
      <c r="BF39" s="13">
        <f t="shared" si="37"/>
        <v>26.808611152177019</v>
      </c>
      <c r="BG39" s="20">
        <f t="shared" si="7"/>
        <v>219.73739442337498</v>
      </c>
      <c r="BH39" s="59">
        <f t="shared" si="8"/>
        <v>513.07072775670827</v>
      </c>
      <c r="BI39" s="59">
        <f ca="1">AVERAGE(OFFSET($BH$3,0,0,'Données projet'!$E$11+1,1))-AVERAGE(OFFSET($H$3,0,0,'Données projet'!$E$11+1,1))</f>
        <v>359.99244410291516</v>
      </c>
      <c r="BJ39" s="59">
        <f t="shared" si="38"/>
        <v>143.73379124174278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1.4150405487507125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1.4150405487507125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458.40000000000009</v>
      </c>
      <c r="O40" s="13">
        <f>N40*VLOOKUP('Données projet'!$B$9,Paramètres!$A$1:$I$89,3,0)*VLOOKUP('Données projet'!$B$9,Paramètres!$A$1:$I$89,5,0)</f>
        <v>256.24560000000002</v>
      </c>
      <c r="P40" s="13">
        <f t="shared" si="33"/>
        <v>61.921415385868649</v>
      </c>
      <c r="Q40" s="20">
        <f t="shared" si="53"/>
        <v>554.14088513038791</v>
      </c>
      <c r="R40" s="59">
        <f t="shared" si="0"/>
        <v>847.47421846372117</v>
      </c>
      <c r="S40" s="59">
        <f ca="1">AVERAGE(OFFSET($R$3,0,0,'Données projet'!$E$9+1,1))-AVERAGE(OFFSET($H$3,0,0,'Données projet'!$E$9+1,1))</f>
        <v>350.25444539178324</v>
      </c>
      <c r="T40" s="59">
        <f t="shared" si="34"/>
        <v>421.51176105448474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29.230788348171359</v>
      </c>
      <c r="AA40" s="21">
        <f>EXP(-LN(2)/25)*AA39+(1-EXP(-LN(2)/25))/(LN(2)/25)*Calculateur!V40*Calculateur!X40*VLOOKUP('Données projet'!$B$9,Paramètres!$A$1:$I$89,3,0)*0.475*44/12</f>
        <v>6.7591845528309102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35.989972901002268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13.4</v>
      </c>
      <c r="AI40" s="13">
        <f>IF('Données projet'!$A$62&gt;35,AI39+AH40-AQ39,IF(A40&lt;'Données projet'!$A$62,$AF$205^A40,IF(A40='Données projet'!$A$62,'Données projet'!$B$62,AI39+AH40-AQ39)))</f>
        <v>369.79999999999995</v>
      </c>
      <c r="AJ40" s="13">
        <f>AI40*VLOOKUP('Données projet'!$B$10,Paramètres!$A$1:$I$89,3,0)*VLOOKUP('Données projet'!$B$10,Paramètres!$A$1:$I$89,5,0)</f>
        <v>182.68119999999996</v>
      </c>
      <c r="AK40" s="13">
        <f t="shared" si="35"/>
        <v>45.918189478707561</v>
      </c>
      <c r="AL40" s="20">
        <f t="shared" si="4"/>
        <v>398.14393667541555</v>
      </c>
      <c r="AM40" s="59">
        <f t="shared" si="5"/>
        <v>691.47727000874886</v>
      </c>
      <c r="AN40" s="59">
        <f ca="1">AVERAGE(OFFSET($AM$3,0,0,'Données projet'!$E$10+1,1))-AVERAGE(OFFSET($H$3,0,0,'Données projet'!$E$10+1,1))</f>
        <v>350.14981500723491</v>
      </c>
      <c r="AO40" s="59">
        <f t="shared" si="36"/>
        <v>270.58548917514111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18.185475197092568</v>
      </c>
      <c r="AV40" s="21">
        <f>EXP(-LN(2)/25)*AV39+(1-EXP(-LN(2)/25))/(LN(2)/25)*Calculateur!AQ40*Calculateur!AS40*VLOOKUP('Données projet'!$B$10,Paramètres!$A$1:$I$89,3,0)*0.475*44/12</f>
        <v>4.2029106887978855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22.388385885890454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4.8</v>
      </c>
      <c r="BD40" s="12">
        <f>IF('Données projet'!$A$88&gt;35,BD39+BC40-BL39,IF(A40&lt;'Données projet'!$A$88,$BA$205^A40,IF(A40='Données projet'!$A$88,'Données projet'!$B$88,BD39+BC40-BL39)))</f>
        <v>120.59999999999998</v>
      </c>
      <c r="BE40" s="13">
        <f>BD40*VLOOKUP('Données projet'!$B$11,Paramètres!$A$1:$I$89,3,0)*VLOOKUP('Données projet'!$B$11,Paramètres!$A$1:$I$89,5,0)</f>
        <v>103.4748</v>
      </c>
      <c r="BF40" s="13">
        <f t="shared" si="37"/>
        <v>27.788167855857314</v>
      </c>
      <c r="BG40" s="20">
        <f t="shared" si="7"/>
        <v>228.61633568228481</v>
      </c>
      <c r="BH40" s="59">
        <f t="shared" si="8"/>
        <v>521.94966901561816</v>
      </c>
      <c r="BI40" s="59">
        <f ca="1">AVERAGE(OFFSET($BH$3,0,0,'Données projet'!$E$11+1,1))-AVERAGE(OFFSET($H$3,0,0,'Données projet'!$E$11+1,1))</f>
        <v>359.99244410291516</v>
      </c>
      <c r="BJ40" s="59">
        <f t="shared" si="38"/>
        <v>143.73379124174278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1.3872924666792228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1.3872924666792228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469.60000000000008</v>
      </c>
      <c r="O41" s="13">
        <f>N41*VLOOKUP('Données projet'!$B$9,Paramètres!$A$1:$I$89,3,0)*VLOOKUP('Données projet'!$B$9,Paramètres!$A$1:$I$89,5,0)</f>
        <v>262.50640000000004</v>
      </c>
      <c r="P41" s="13">
        <f t="shared" si="33"/>
        <v>63.256342472799716</v>
      </c>
      <c r="Q41" s="20">
        <f t="shared" si="53"/>
        <v>567.37010980679281</v>
      </c>
      <c r="R41" s="59">
        <f t="shared" si="0"/>
        <v>860.70344314012618</v>
      </c>
      <c r="S41" s="59">
        <f ca="1">AVERAGE(OFFSET($R$3,0,0,'Données projet'!$E$9+1,1))-AVERAGE(OFFSET($H$3,0,0,'Données projet'!$E$9+1,1))</f>
        <v>350.25444539178324</v>
      </c>
      <c r="T41" s="59">
        <f t="shared" si="34"/>
        <v>421.51176105448474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28.657590417684141</v>
      </c>
      <c r="AA41" s="21">
        <f>EXP(-LN(2)/25)*AA40+(1-EXP(-LN(2)/25))/(LN(2)/25)*Calculateur!V41*Calculateur!X41*VLOOKUP('Données projet'!$B$9,Paramètres!$A$1:$I$89,3,0)*0.475*44/12</f>
        <v>6.5743542957836816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35.231944713467826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13.4</v>
      </c>
      <c r="AI41" s="13">
        <f>IF('Données projet'!$A$62&gt;35,AI40+AH41-AQ40,IF(A41&lt;'Données projet'!$A$62,$AF$205^A41,IF(A41='Données projet'!$A$62,'Données projet'!$B$62,AI40+AH41-AQ40)))</f>
        <v>383.19999999999993</v>
      </c>
      <c r="AJ41" s="13">
        <f>AI41*VLOOKUP('Données projet'!$B$10,Paramètres!$A$1:$I$89,3,0)*VLOOKUP('Données projet'!$B$10,Paramètres!$A$1:$I$89,5,0)</f>
        <v>189.30079999999998</v>
      </c>
      <c r="AK41" s="13">
        <f t="shared" si="35"/>
        <v>47.385336505181137</v>
      </c>
      <c r="AL41" s="20">
        <f t="shared" si="4"/>
        <v>412.2283544131904</v>
      </c>
      <c r="AM41" s="59">
        <f t="shared" si="5"/>
        <v>705.56168774652372</v>
      </c>
      <c r="AN41" s="59">
        <f ca="1">AVERAGE(OFFSET($AM$3,0,0,'Données projet'!$E$10+1,1))-AVERAGE(OFFSET($H$3,0,0,'Données projet'!$E$10+1,1))</f>
        <v>350.14981500723491</v>
      </c>
      <c r="AO41" s="59">
        <f t="shared" si="36"/>
        <v>270.58548917514111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17.828869120522207</v>
      </c>
      <c r="AV41" s="21">
        <f>EXP(-LN(2)/25)*AV40+(1-EXP(-LN(2)/25))/(LN(2)/25)*Calculateur!AQ41*Calculateur!AS41*VLOOKUP('Données projet'!$B$10,Paramètres!$A$1:$I$89,3,0)*0.475*44/12</f>
        <v>4.0879818749912404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21.916850995513446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4.8</v>
      </c>
      <c r="BD41" s="12">
        <f>IF('Données projet'!$A$88&gt;35,BD40+BC41-BL40,IF(A41&lt;'Données projet'!$A$88,$BA$205^A41,IF(A41='Données projet'!$A$88,'Données projet'!$B$88,BD40+BC41-BL40)))</f>
        <v>125.39999999999998</v>
      </c>
      <c r="BE41" s="13">
        <f>BD41*VLOOKUP('Données projet'!$B$11,Paramètres!$A$1:$I$89,3,0)*VLOOKUP('Données projet'!$B$11,Paramètres!$A$1:$I$89,5,0)</f>
        <v>107.5932</v>
      </c>
      <c r="BF41" s="13">
        <f t="shared" si="37"/>
        <v>28.763195667267496</v>
      </c>
      <c r="BG41" s="20">
        <f t="shared" si="7"/>
        <v>237.48738912049089</v>
      </c>
      <c r="BH41" s="59">
        <f t="shared" si="8"/>
        <v>530.82072245382415</v>
      </c>
      <c r="BI41" s="59">
        <f ca="1">AVERAGE(OFFSET($BH$3,0,0,'Données projet'!$E$11+1,1))-AVERAGE(OFFSET($H$3,0,0,'Données projet'!$E$11+1,1))</f>
        <v>359.99244410291516</v>
      </c>
      <c r="BJ41" s="59">
        <f t="shared" si="38"/>
        <v>143.73379124174278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1.360088507572496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1.360088507572496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480.80000000000007</v>
      </c>
      <c r="O42" s="13">
        <f>N42*VLOOKUP('Données projet'!$B$9,Paramètres!$A$1:$I$89,3,0)*VLOOKUP('Données projet'!$B$9,Paramètres!$A$1:$I$89,5,0)</f>
        <v>268.76720000000006</v>
      </c>
      <c r="P42" s="13">
        <f t="shared" si="33"/>
        <v>64.587568370555275</v>
      </c>
      <c r="Q42" s="20">
        <f t="shared" si="53"/>
        <v>580.59288824538385</v>
      </c>
      <c r="R42" s="59">
        <f t="shared" si="0"/>
        <v>873.9262215787171</v>
      </c>
      <c r="S42" s="59">
        <f ca="1">AVERAGE(OFFSET($R$3,0,0,'Données projet'!$E$9+1,1))-AVERAGE(OFFSET($H$3,0,0,'Données projet'!$E$9+1,1))</f>
        <v>350.25444539178324</v>
      </c>
      <c r="T42" s="59">
        <f t="shared" si="34"/>
        <v>421.51176105448474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28.09563254899756</v>
      </c>
      <c r="AA42" s="21">
        <f>EXP(-LN(2)/25)*AA41+(1-EXP(-LN(2)/25))/(LN(2)/25)*Calculateur!V42*Calculateur!X42*VLOOKUP('Données projet'!$B$9,Paramètres!$A$1:$I$89,3,0)*0.475*44/12</f>
        <v>6.3945782318352107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34.490210780832768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13.4</v>
      </c>
      <c r="AI42" s="13">
        <f>IF('Données projet'!$A$62&gt;35,AI41+AH42-AQ41,IF(A42&lt;'Données projet'!$A$62,$AF$205^A42,IF(A42='Données projet'!$A$62,'Données projet'!$B$62,AI41+AH42-AQ41)))</f>
        <v>396.59999999999991</v>
      </c>
      <c r="AJ42" s="13">
        <f>AI42*VLOOKUP('Données projet'!$B$10,Paramètres!$A$1:$I$89,3,0)*VLOOKUP('Données projet'!$B$10,Paramètres!$A$1:$I$89,5,0)</f>
        <v>195.92039999999997</v>
      </c>
      <c r="AK42" s="13">
        <f t="shared" si="35"/>
        <v>48.846522576453758</v>
      </c>
      <c r="AL42" s="20">
        <f t="shared" si="4"/>
        <v>426.30239015399025</v>
      </c>
      <c r="AM42" s="59">
        <f t="shared" si="5"/>
        <v>719.6357234873235</v>
      </c>
      <c r="AN42" s="59">
        <f ca="1">AVERAGE(OFFSET($AM$3,0,0,'Données projet'!$E$10+1,1))-AVERAGE(OFFSET($H$3,0,0,'Données projet'!$E$10+1,1))</f>
        <v>350.14981500723491</v>
      </c>
      <c r="AO42" s="59">
        <f t="shared" si="36"/>
        <v>270.58548917514111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17.479255871605158</v>
      </c>
      <c r="AV42" s="21">
        <f>EXP(-LN(2)/25)*AV41+(1-EXP(-LN(2)/25))/(LN(2)/25)*Calculateur!AQ42*Calculateur!AS42*VLOOKUP('Données projet'!$B$10,Paramètres!$A$1:$I$89,3,0)*0.475*44/12</f>
        <v>3.9761957956419813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21.455451667247139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4.8</v>
      </c>
      <c r="BD42" s="12">
        <f>IF('Données projet'!$A$88&gt;35,BD41+BC42-BL41,IF(A42&lt;'Données projet'!$A$88,$BA$205^A42,IF(A42='Données projet'!$A$88,'Données projet'!$B$88,BD41+BC42-BL41)))</f>
        <v>130.19999999999999</v>
      </c>
      <c r="BE42" s="13">
        <f>BD42*VLOOKUP('Données projet'!$B$11,Paramètres!$A$1:$I$89,3,0)*VLOOKUP('Données projet'!$B$11,Paramètres!$A$1:$I$89,5,0)</f>
        <v>111.7116</v>
      </c>
      <c r="BF42" s="13">
        <f t="shared" si="37"/>
        <v>29.733887785181285</v>
      </c>
      <c r="BG42" s="20">
        <f t="shared" si="7"/>
        <v>246.3508912258574</v>
      </c>
      <c r="BH42" s="59">
        <f t="shared" si="8"/>
        <v>539.68422455919074</v>
      </c>
      <c r="BI42" s="59">
        <f ca="1">AVERAGE(OFFSET($BH$3,0,0,'Données projet'!$E$11+1,1))-AVERAGE(OFFSET($H$3,0,0,'Données projet'!$E$11+1,1))</f>
        <v>359.99244410291516</v>
      </c>
      <c r="BJ42" s="59">
        <f t="shared" si="38"/>
        <v>143.73379124174278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1.3334180015110755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1.3334180015110755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492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492.00000000000006</v>
      </c>
      <c r="O43" s="13">
        <f>N43*VLOOKUP('Données projet'!$B$9,Paramètres!$A$1:$I$89,3,0)*VLOOKUP('Données projet'!$B$9,Paramètres!$A$1:$I$89,5,0)</f>
        <v>275.02800000000008</v>
      </c>
      <c r="P43" s="13">
        <f t="shared" si="33"/>
        <v>65.915189219423411</v>
      </c>
      <c r="Q43" s="20">
        <f t="shared" si="53"/>
        <v>593.80938789049594</v>
      </c>
      <c r="R43" s="59">
        <f t="shared" si="0"/>
        <v>887.14272122382931</v>
      </c>
      <c r="S43" s="59">
        <f ca="1">AVERAGE(OFFSET($R$3,0,0,'Données projet'!$E$9+1,1))-AVERAGE(OFFSET($H$3,0,0,'Données projet'!$E$9+1,1))</f>
        <v>350.25444539178324</v>
      </c>
      <c r="T43" s="59">
        <f t="shared" si="34"/>
        <v>421.51176105448474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0.44000000000000006</v>
      </c>
      <c r="X43" s="16">
        <f>IF(ISNA(VLOOKUP(A43,'Données projet'!$A$35:$I$55,6,0)),0%,VLOOKUP(A43,'Données projet'!$A$35:$I$55,6,0)*VLOOKUP('Données projet'!$B$9,Paramètres!$A$1:$I$89,7,0))</f>
        <v>0.11000000000000001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51.036983460468946</v>
      </c>
      <c r="AA43" s="21">
        <f>EXP(-LN(2)/25)*AA42+(1-EXP(-LN(2)/25))/(LN(2)/25)*Calculateur!V43*Calculateur!X43*VLOOKUP('Données projet'!$B$9,Paramètres!$A$1:$I$89,3,0)*0.475*44/12</f>
        <v>12.069665912696479</v>
      </c>
      <c r="AB43" s="21">
        <f>EXP(-LN(2)/2)*AB42+(1-EXP(-LN(2)/2))/(LN(2)/2)*V43*Y43*VLOOKUP('Données projet'!$B$9,Paramètres!$A$1:$I$89,3,0)*0.475*44/12</f>
        <v>0</v>
      </c>
      <c r="AC43" s="22">
        <f t="shared" si="3"/>
        <v>63.106649373165425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410</v>
      </c>
      <c r="AG43" s="12">
        <f>VLOOKUP(A43,'Données projet'!$A$61:$I$81,9,0)</f>
        <v>13.4</v>
      </c>
      <c r="AH43" s="12">
        <f t="array" ref="AH43">INDEX(AG:AG,MIN(IF(ISNUMBER(AG43:AG239),ROW(AG43:AG239),"")))</f>
        <v>13.4</v>
      </c>
      <c r="AI43" s="13">
        <f>IF('Données projet'!$A$62&gt;35,AI42+AH43-AQ42,IF(A43&lt;'Données projet'!$A$62,$AF$205^A43,IF(A43='Données projet'!$A$62,'Données projet'!$B$62,AI42+AH43-AQ42)))</f>
        <v>409.99999999999989</v>
      </c>
      <c r="AJ43" s="13">
        <f>AI43*VLOOKUP('Données projet'!$B$10,Paramètres!$A$1:$I$89,3,0)*VLOOKUP('Données projet'!$B$10,Paramètres!$A$1:$I$89,5,0)</f>
        <v>202.53999999999994</v>
      </c>
      <c r="AK43" s="13">
        <f t="shared" si="35"/>
        <v>50.301972185087052</v>
      </c>
      <c r="AL43" s="20">
        <f t="shared" si="4"/>
        <v>440.36643488902649</v>
      </c>
      <c r="AM43" s="59">
        <f t="shared" si="5"/>
        <v>733.69976822235981</v>
      </c>
      <c r="AN43" s="59">
        <f ca="1">AVERAGE(OFFSET($AM$3,0,0,'Données projet'!$E$10+1,1))-AVERAGE(OFFSET($H$3,0,0,'Données projet'!$E$10+1,1))</f>
        <v>350.14981500723491</v>
      </c>
      <c r="AO43" s="59">
        <f t="shared" si="36"/>
        <v>270.58548917514111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17.136498325256348</v>
      </c>
      <c r="AV43" s="21">
        <f>EXP(-LN(2)/25)*AV42+(1-EXP(-LN(2)/25))/(LN(2)/25)*Calculateur!AQ43*Calculateur!AS43*VLOOKUP('Données projet'!$B$10,Paramètres!$A$1:$I$89,3,0)*0.475*44/12</f>
        <v>3.8674665125111023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21.003964837767448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135</v>
      </c>
      <c r="BB43" s="12">
        <f>VLOOKUP(A43,'Données projet'!$A$87:$I$107,9,0)</f>
        <v>4.8</v>
      </c>
      <c r="BC43" s="12">
        <f t="array" ref="BC43">INDEX(BB:BB,MIN(IF(ISNUMBER(BB43:BB239),ROW(BB43:BB239),"")))</f>
        <v>4.8</v>
      </c>
      <c r="BD43" s="12">
        <f>IF('Données projet'!$A$88&gt;35,BD42+BC43-BL42,IF(A43&lt;'Données projet'!$A$88,$BA$205^A43,IF(A43='Données projet'!$A$88,'Données projet'!$B$88,BD42+BC43-BL42)))</f>
        <v>135</v>
      </c>
      <c r="BE43" s="13">
        <f>BD43*VLOOKUP('Données projet'!$B$11,Paramètres!$A$1:$I$89,3,0)*VLOOKUP('Données projet'!$B$11,Paramètres!$A$1:$I$89,5,0)</f>
        <v>115.83</v>
      </c>
      <c r="BF43" s="13">
        <f t="shared" si="37"/>
        <v>30.700422356128801</v>
      </c>
      <c r="BG43" s="20">
        <f t="shared" si="7"/>
        <v>255.20715227025767</v>
      </c>
      <c r="BH43" s="59">
        <f t="shared" si="8"/>
        <v>548.54048560359092</v>
      </c>
      <c r="BI43" s="59">
        <f ca="1">AVERAGE(OFFSET($BH$3,0,0,'Données projet'!$E$11+1,1))-AVERAGE(OFFSET($H$3,0,0,'Données projet'!$E$11+1,1))</f>
        <v>359.99244410291516</v>
      </c>
      <c r="BJ43" s="59">
        <f t="shared" si="38"/>
        <v>143.73379124174278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0.26500000000000001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8.345092893249511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8.345092893249511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24</v>
      </c>
      <c r="N44" s="13">
        <f>IF('Données projet'!$A$36&gt;35,N43+M44-V43,IF(A44&lt;'Données projet'!$A$36,$K$205^A44,IF(A44='Données projet'!$A$36,'Données projet'!$B$36,N43+M44-V43)))</f>
        <v>444</v>
      </c>
      <c r="O44" s="13">
        <f>N44*VLOOKUP('Données projet'!$B$9,Paramètres!$A$1:$I$89,3,0)*VLOOKUP('Données projet'!$B$9,Paramètres!$A$1:$I$89,5,0)</f>
        <v>248.196</v>
      </c>
      <c r="P44" s="13">
        <f t="shared" si="33"/>
        <v>60.199478731755242</v>
      </c>
      <c r="Q44" s="20">
        <f t="shared" si="53"/>
        <v>537.1221254578071</v>
      </c>
      <c r="R44" s="59">
        <f t="shared" si="0"/>
        <v>830.45545879114047</v>
      </c>
      <c r="S44" s="59">
        <f ca="1">AVERAGE(OFFSET($R$3,0,0,'Données projet'!$E$9+1,1))-AVERAGE(OFFSET($H$3,0,0,'Données projet'!$E$9+1,1))</f>
        <v>350.25444539178324</v>
      </c>
      <c r="T44" s="59">
        <f t="shared" si="34"/>
        <v>421.51176105448474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50.036179344295277</v>
      </c>
      <c r="AA44" s="21">
        <f>EXP(-LN(2)/25)*AA43+(1-EXP(-LN(2)/25))/(LN(2)/25)*Calculateur!V44*Calculateur!X44*VLOOKUP('Données projet'!$B$9,Paramètres!$A$1:$I$89,3,0)*0.475*44/12</f>
        <v>11.739620263597649</v>
      </c>
      <c r="AB44" s="21">
        <f>EXP(-LN(2)/2)*AB43+(1-EXP(-LN(2)/2))/(LN(2)/2)*V44*Y44*VLOOKUP('Données projet'!$B$9,Paramètres!$A$1:$I$89,3,0)*0.475*44/12</f>
        <v>0</v>
      </c>
      <c r="AC44" s="22">
        <f t="shared" si="3"/>
        <v>61.775799607892928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12</v>
      </c>
      <c r="AI44" s="13">
        <f>IF('Données projet'!$A$62&gt;35,AI43+AH44-AQ43,IF(A44&lt;'Données projet'!$A$62,$AF$205^A44,IF(A44='Données projet'!$A$62,'Données projet'!$B$62,AI43+AH44-AQ43)))</f>
        <v>421.99999999999989</v>
      </c>
      <c r="AJ44" s="13">
        <f>AI44*VLOOKUP('Données projet'!$B$10,Paramètres!$A$1:$I$89,3,0)*VLOOKUP('Données projet'!$B$10,Paramètres!$A$1:$I$89,5,0)</f>
        <v>208.46799999999996</v>
      </c>
      <c r="AK44" s="13">
        <f t="shared" si="35"/>
        <v>51.60066262427862</v>
      </c>
      <c r="AL44" s="20">
        <f t="shared" si="4"/>
        <v>452.95292073728524</v>
      </c>
      <c r="AM44" s="59">
        <f t="shared" si="5"/>
        <v>746.2862540706185</v>
      </c>
      <c r="AN44" s="59">
        <f ca="1">AVERAGE(OFFSET($AM$3,0,0,'Données projet'!$E$10+1,1))-AVERAGE(OFFSET($H$3,0,0,'Données projet'!$E$10+1,1))</f>
        <v>350.14981500723491</v>
      </c>
      <c r="AO44" s="59">
        <f t="shared" si="36"/>
        <v>270.58548917514111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16.800462045329976</v>
      </c>
      <c r="AV44" s="21">
        <f>EXP(-LN(2)/25)*AV43+(1-EXP(-LN(2)/25))/(LN(2)/25)*Calculateur!AQ44*Calculateur!AS44*VLOOKUP('Données projet'!$B$10,Paramètres!$A$1:$I$89,3,0)*0.475*44/12</f>
        <v>3.7617104373452617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20.562172482675237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</v>
      </c>
      <c r="BD44" s="12">
        <f>IF('Données projet'!$A$88&gt;35,BD43+BC44-BL43,IF(A44&lt;'Données projet'!$A$88,$BA$205^A44,IF(A44='Données projet'!$A$88,'Données projet'!$B$88,BD43+BC44-BL43)))</f>
        <v>118</v>
      </c>
      <c r="BE44" s="13">
        <f>BD44*VLOOKUP('Données projet'!$B$11,Paramètres!$A$1:$I$89,3,0)*VLOOKUP('Données projet'!$B$11,Paramètres!$A$1:$I$89,5,0)</f>
        <v>101.24400000000001</v>
      </c>
      <c r="BF44" s="13">
        <f t="shared" si="37"/>
        <v>27.258149809602468</v>
      </c>
      <c r="BG44" s="20">
        <f t="shared" si="7"/>
        <v>223.807910918391</v>
      </c>
      <c r="BH44" s="59">
        <f t="shared" si="8"/>
        <v>517.14124425172429</v>
      </c>
      <c r="BI44" s="59">
        <f ca="1">AVERAGE(OFFSET($BH$3,0,0,'Données projet'!$E$11+1,1))-AVERAGE(OFFSET($H$3,0,0,'Données projet'!$E$11+1,1))</f>
        <v>359.99244410291516</v>
      </c>
      <c r="BJ44" s="59">
        <f t="shared" si="38"/>
        <v>143.73379124174278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8.1814507116169572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8.1814507116169572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24</v>
      </c>
      <c r="N45" s="13">
        <f>IF('Données projet'!$A$36&gt;35,N44+M45-V44,IF(A45&lt;'Données projet'!$A$36,$K$205^A45,IF(A45='Données projet'!$A$36,'Données projet'!$B$36,N44+M45-V44)))</f>
        <v>468</v>
      </c>
      <c r="O45" s="13">
        <f>N45*VLOOKUP('Données projet'!$B$9,Paramètres!$A$1:$I$89,3,0)*VLOOKUP('Données projet'!$B$9,Paramètres!$A$1:$I$89,5,0)</f>
        <v>261.61200000000002</v>
      </c>
      <c r="P45" s="13">
        <f t="shared" si="33"/>
        <v>63.065867509496442</v>
      </c>
      <c r="Q45" s="20">
        <f t="shared" si="53"/>
        <v>565.48061924570629</v>
      </c>
      <c r="R45" s="59">
        <f t="shared" si="0"/>
        <v>858.81395257903955</v>
      </c>
      <c r="S45" s="59">
        <f ca="1">AVERAGE(OFFSET($R$3,0,0,'Données projet'!$E$9+1,1))-AVERAGE(OFFSET($H$3,0,0,'Données projet'!$E$9+1,1))</f>
        <v>350.25444539178324</v>
      </c>
      <c r="T45" s="59">
        <f t="shared" si="34"/>
        <v>421.51176105448474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49.055000386409539</v>
      </c>
      <c r="AA45" s="21">
        <f>EXP(-LN(2)/25)*AA44+(1-EXP(-LN(2)/25))/(LN(2)/25)*Calculateur!V45*Calculateur!X45*VLOOKUP('Données projet'!$B$9,Paramètres!$A$1:$I$89,3,0)*0.475*44/12</f>
        <v>11.418599730129772</v>
      </c>
      <c r="AB45" s="21">
        <f>EXP(-LN(2)/2)*AB44+(1-EXP(-LN(2)/2))/(LN(2)/2)*V45*Y45*VLOOKUP('Données projet'!$B$9,Paramètres!$A$1:$I$89,3,0)*0.475*44/12</f>
        <v>0</v>
      </c>
      <c r="AC45" s="22">
        <f t="shared" si="3"/>
        <v>60.473600116539309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12</v>
      </c>
      <c r="AI45" s="13">
        <f>IF('Données projet'!$A$62&gt;35,AI44+AH45-AQ44,IF(A45&lt;'Données projet'!$A$62,$AF$205^A45,IF(A45='Données projet'!$A$62,'Données projet'!$B$62,AI44+AH45-AQ44)))</f>
        <v>433.99999999999989</v>
      </c>
      <c r="AJ45" s="13">
        <f>AI45*VLOOKUP('Données projet'!$B$10,Paramètres!$A$1:$I$89,3,0)*VLOOKUP('Données projet'!$B$10,Paramètres!$A$1:$I$89,5,0)</f>
        <v>214.39599999999996</v>
      </c>
      <c r="AK45" s="13">
        <f t="shared" si="35"/>
        <v>52.895060954699773</v>
      </c>
      <c r="AL45" s="20">
        <f t="shared" si="4"/>
        <v>465.53193116276867</v>
      </c>
      <c r="AM45" s="59">
        <f t="shared" si="5"/>
        <v>758.86526449610199</v>
      </c>
      <c r="AN45" s="59">
        <f ca="1">AVERAGE(OFFSET($AM$3,0,0,'Données projet'!$E$10+1,1))-AVERAGE(OFFSET($H$3,0,0,'Données projet'!$E$10+1,1))</f>
        <v>350.14981500723491</v>
      </c>
      <c r="AO45" s="59">
        <f t="shared" si="36"/>
        <v>270.58548917514111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16.471015231891069</v>
      </c>
      <c r="AV45" s="21">
        <f>EXP(-LN(2)/25)*AV44+(1-EXP(-LN(2)/25))/(LN(2)/25)*Calculateur!AQ45*Calculateur!AS45*VLOOKUP('Données projet'!$B$10,Paramètres!$A$1:$I$89,3,0)*0.475*44/12</f>
        <v>3.6588462676163012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20.129861499507371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</v>
      </c>
      <c r="BD45" s="12">
        <f>IF('Données projet'!$A$88&gt;35,BD44+BC45-BL44,IF(A45&lt;'Données projet'!$A$88,$BA$205^A45,IF(A45='Données projet'!$A$88,'Données projet'!$B$88,BD44+BC45-BL44)))</f>
        <v>129</v>
      </c>
      <c r="BE45" s="13">
        <f>BD45*VLOOKUP('Données projet'!$B$11,Paramètres!$A$1:$I$89,3,0)*VLOOKUP('Données projet'!$B$11,Paramètres!$A$1:$I$89,5,0)</f>
        <v>110.682</v>
      </c>
      <c r="BF45" s="13">
        <f t="shared" si="37"/>
        <v>29.49161124389969</v>
      </c>
      <c r="BG45" s="20">
        <f t="shared" si="7"/>
        <v>244.13570624979195</v>
      </c>
      <c r="BH45" s="59">
        <f t="shared" si="8"/>
        <v>537.46903958312532</v>
      </c>
      <c r="BI45" s="59">
        <f ca="1">AVERAGE(OFFSET($BH$3,0,0,'Données projet'!$E$11+1,1))-AVERAGE(OFFSET($H$3,0,0,'Données projet'!$E$11+1,1))</f>
        <v>359.99244410291516</v>
      </c>
      <c r="BJ45" s="59">
        <f t="shared" si="38"/>
        <v>143.73379124174278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8.021017453354343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8.021017453354343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24</v>
      </c>
      <c r="N46" s="13">
        <f>IF('Données projet'!$A$36&gt;35,N45+M46-V45,IF(A46&lt;'Données projet'!$A$36,$K$205^A46,IF(A46='Données projet'!$A$36,'Données projet'!$B$36,N45+M46-V45)))</f>
        <v>492</v>
      </c>
      <c r="O46" s="13">
        <f>N46*VLOOKUP('Données projet'!$B$9,Paramètres!$A$1:$I$89,3,0)*VLOOKUP('Données projet'!$B$9,Paramètres!$A$1:$I$89,5,0)</f>
        <v>275.02800000000002</v>
      </c>
      <c r="P46" s="13">
        <f t="shared" si="33"/>
        <v>65.915189219423411</v>
      </c>
      <c r="Q46" s="20">
        <f t="shared" si="53"/>
        <v>593.80938789049571</v>
      </c>
      <c r="R46" s="59">
        <f t="shared" si="0"/>
        <v>887.14272122382908</v>
      </c>
      <c r="S46" s="59">
        <f ca="1">AVERAGE(OFFSET($R$3,0,0,'Données projet'!$E$9+1,1))-AVERAGE(OFFSET($H$3,0,0,'Données projet'!$E$9+1,1))</f>
        <v>350.25444539178324</v>
      </c>
      <c r="T46" s="59">
        <f t="shared" si="34"/>
        <v>421.51176105448474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48.093061749427868</v>
      </c>
      <c r="AA46" s="21">
        <f>EXP(-LN(2)/25)*AA45+(1-EXP(-LN(2)/25))/(LN(2)/25)*Calculateur!V46*Calculateur!X46*VLOOKUP('Données projet'!$B$9,Paramètres!$A$1:$I$89,3,0)*0.475*44/12</f>
        <v>11.106357520031311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59.199419269459177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12</v>
      </c>
      <c r="AI46" s="13">
        <f>IF('Données projet'!$A$62&gt;35,AI45+AH46-AQ45,IF(A46&lt;'Données projet'!$A$62,$AF$205^A46,IF(A46='Données projet'!$A$62,'Données projet'!$B$62,AI45+AH46-AQ45)))</f>
        <v>445.99999999999989</v>
      </c>
      <c r="AJ46" s="13">
        <f>AI46*VLOOKUP('Données projet'!$B$10,Paramètres!$A$1:$I$89,3,0)*VLOOKUP('Données projet'!$B$10,Paramètres!$A$1:$I$89,5,0)</f>
        <v>220.32399999999996</v>
      </c>
      <c r="AK46" s="13">
        <f t="shared" si="35"/>
        <v>54.185299487207274</v>
      </c>
      <c r="AL46" s="20">
        <f t="shared" si="4"/>
        <v>478.10369660688593</v>
      </c>
      <c r="AM46" s="59">
        <f t="shared" si="5"/>
        <v>771.43702994021919</v>
      </c>
      <c r="AN46" s="59">
        <f ca="1">AVERAGE(OFFSET($AM$3,0,0,'Données projet'!$E$10+1,1))-AVERAGE(OFFSET($H$3,0,0,'Données projet'!$E$10+1,1))</f>
        <v>350.14981500723491</v>
      </c>
      <c r="AO46" s="59">
        <f t="shared" si="36"/>
        <v>270.58548917514111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16.148028669520986</v>
      </c>
      <c r="AV46" s="21">
        <f>EXP(-LN(2)/25)*AV45+(1-EXP(-LN(2)/25))/(LN(2)/25)*Calculateur!AQ46*Calculateur!AS46*VLOOKUP('Données projet'!$B$10,Paramètres!$A$1:$I$89,3,0)*0.475*44/12</f>
        <v>3.5587949240179708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19.706823593538957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</v>
      </c>
      <c r="BD46" s="12">
        <f>IF('Données projet'!$A$88&gt;35,BD45+BC46-BL45,IF(A46&lt;'Données projet'!$A$88,$BA$205^A46,IF(A46='Données projet'!$A$88,'Données projet'!$B$88,BD45+BC46-BL45)))</f>
        <v>140</v>
      </c>
      <c r="BE46" s="13">
        <f>BD46*VLOOKUP('Données projet'!$B$11,Paramètres!$A$1:$I$89,3,0)*VLOOKUP('Données projet'!$B$11,Paramètres!$A$1:$I$89,5,0)</f>
        <v>120.12</v>
      </c>
      <c r="BF46" s="13">
        <f t="shared" si="37"/>
        <v>31.702985695201871</v>
      </c>
      <c r="BG46" s="20">
        <f t="shared" si="7"/>
        <v>264.42503341914329</v>
      </c>
      <c r="BH46" s="59">
        <f t="shared" si="8"/>
        <v>557.7583667524766</v>
      </c>
      <c r="BI46" s="59">
        <f ca="1">AVERAGE(OFFSET($BH$3,0,0,'Données projet'!$E$11+1,1))-AVERAGE(OFFSET($H$3,0,0,'Données projet'!$E$11+1,1))</f>
        <v>359.99244410291516</v>
      </c>
      <c r="BJ46" s="59">
        <f t="shared" si="38"/>
        <v>143.73379124174278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7.8637301934316328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7.8637301934316328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24</v>
      </c>
      <c r="N47" s="13">
        <f>IF('Données projet'!$A$36&gt;35,N46+M47-V46,IF(A47&lt;'Données projet'!$A$36,$K$205^A47,IF(A47='Données projet'!$A$36,'Données projet'!$B$36,N46+M47-V46)))</f>
        <v>516</v>
      </c>
      <c r="O47" s="13">
        <f>N47*VLOOKUP('Données projet'!$B$9,Paramètres!$A$1:$I$89,3,0)*VLOOKUP('Données projet'!$B$9,Paramètres!$A$1:$I$89,5,0)</f>
        <v>288.44400000000002</v>
      </c>
      <c r="P47" s="13">
        <f t="shared" si="33"/>
        <v>68.748371428318322</v>
      </c>
      <c r="Q47" s="20">
        <f t="shared" si="53"/>
        <v>622.11004690432105</v>
      </c>
      <c r="R47" s="59">
        <f t="shared" si="0"/>
        <v>915.44338023765431</v>
      </c>
      <c r="S47" s="59">
        <f ca="1">AVERAGE(OFFSET($R$3,0,0,'Données projet'!$E$9+1,1))-AVERAGE(OFFSET($H$3,0,0,'Données projet'!$E$9+1,1))</f>
        <v>350.25444539178324</v>
      </c>
      <c r="T47" s="59">
        <f t="shared" si="34"/>
        <v>421.51176105448474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47.149986142392777</v>
      </c>
      <c r="AA47" s="21">
        <f>EXP(-LN(2)/25)*AA46+(1-EXP(-LN(2)/25))/(LN(2)/25)*Calculateur!V47*Calculateur!X47*VLOOKUP('Données projet'!$B$9,Paramètres!$A$1:$I$89,3,0)*0.475*44/12</f>
        <v>10.802653589588097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57.952639731980874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12</v>
      </c>
      <c r="AI47" s="13">
        <f>IF('Données projet'!$A$62&gt;35,AI46+AH47-AQ46,IF(A47&lt;'Données projet'!$A$62,$AF$205^A47,IF(A47='Données projet'!$A$62,'Données projet'!$B$62,AI46+AH47-AQ46)))</f>
        <v>457.99999999999989</v>
      </c>
      <c r="AJ47" s="13">
        <f>AI47*VLOOKUP('Données projet'!$B$10,Paramètres!$A$1:$I$89,3,0)*VLOOKUP('Données projet'!$B$10,Paramètres!$A$1:$I$89,5,0)</f>
        <v>226.25199999999995</v>
      </c>
      <c r="AK47" s="13">
        <f t="shared" si="35"/>
        <v>55.471503007457876</v>
      </c>
      <c r="AL47" s="20">
        <f t="shared" si="4"/>
        <v>490.66843440465573</v>
      </c>
      <c r="AM47" s="59">
        <f t="shared" si="5"/>
        <v>784.00176773798898</v>
      </c>
      <c r="AN47" s="59">
        <f ca="1">AVERAGE(OFFSET($AM$3,0,0,'Données projet'!$E$10+1,1))-AVERAGE(OFFSET($H$3,0,0,'Données projet'!$E$10+1,1))</f>
        <v>350.14981500723491</v>
      </c>
      <c r="AO47" s="59">
        <f t="shared" si="36"/>
        <v>270.58548917514111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15.831375676636629</v>
      </c>
      <c r="AV47" s="21">
        <f>EXP(-LN(2)/25)*AV46+(1-EXP(-LN(2)/25))/(LN(2)/25)*Calculateur!AQ47*Calculateur!AS47*VLOOKUP('Données projet'!$B$10,Paramètres!$A$1:$I$89,3,0)*0.475*44/12</f>
        <v>3.4614794896718082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19.292855166308438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</v>
      </c>
      <c r="BD47" s="12">
        <f>IF('Données projet'!$A$88&gt;35,BD46+BC47-BL46,IF(A47&lt;'Données projet'!$A$88,$BA$205^A47,IF(A47='Données projet'!$A$88,'Données projet'!$B$88,BD46+BC47-BL46)))</f>
        <v>151</v>
      </c>
      <c r="BE47" s="13">
        <f>BD47*VLOOKUP('Données projet'!$B$11,Paramètres!$A$1:$I$89,3,0)*VLOOKUP('Données projet'!$B$11,Paramètres!$A$1:$I$89,5,0)</f>
        <v>129.55800000000002</v>
      </c>
      <c r="BF47" s="13">
        <f t="shared" si="37"/>
        <v>33.894205874050066</v>
      </c>
      <c r="BG47" s="20">
        <f t="shared" si="7"/>
        <v>284.67925856397056</v>
      </c>
      <c r="BH47" s="59">
        <f t="shared" si="8"/>
        <v>578.01259189730388</v>
      </c>
      <c r="BI47" s="59">
        <f ca="1">AVERAGE(OFFSET($BH$3,0,0,'Données projet'!$E$11+1,1))-AVERAGE(OFFSET($H$3,0,0,'Données projet'!$E$11+1,1))</f>
        <v>359.99244410291516</v>
      </c>
      <c r="BJ47" s="59">
        <f t="shared" si="38"/>
        <v>143.73379124174278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7.7095272407402513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7.7095272407402513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540</v>
      </c>
      <c r="L48" s="12">
        <f>VLOOKUP(A48,'Données projet'!$A$35:$I$55,9,0)</f>
        <v>24</v>
      </c>
      <c r="M48" s="12">
        <f t="array" ref="M48">INDEX(L:L,MIN(IF(ISNUMBER(L48:L244),ROW(L48:L244),"")))</f>
        <v>24</v>
      </c>
      <c r="N48" s="13">
        <f>IF('Données projet'!$A$36&gt;35,N47+M48-V47,IF(A48&lt;'Données projet'!$A$36,$K$205^A48,IF(A48='Données projet'!$A$36,'Données projet'!$B$36,N47+M48-V47)))</f>
        <v>540</v>
      </c>
      <c r="O48" s="13">
        <f>N48*VLOOKUP('Données projet'!$B$9,Paramètres!$A$1:$I$89,3,0)*VLOOKUP('Données projet'!$B$9,Paramètres!$A$1:$I$89,5,0)</f>
        <v>301.86</v>
      </c>
      <c r="P48" s="13">
        <f t="shared" si="33"/>
        <v>71.566250541226992</v>
      </c>
      <c r="Q48" s="20">
        <f t="shared" si="53"/>
        <v>650.38405302597027</v>
      </c>
      <c r="R48" s="59">
        <f t="shared" si="0"/>
        <v>943.71738635930365</v>
      </c>
      <c r="S48" s="59">
        <f ca="1">AVERAGE(OFFSET($R$3,0,0,'Données projet'!$E$9+1,1))-AVERAGE(OFFSET($H$3,0,0,'Données projet'!$E$9+1,1))</f>
        <v>350.25444539178324</v>
      </c>
      <c r="T48" s="59">
        <f t="shared" si="34"/>
        <v>421.51176105448474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46.225403672792318</v>
      </c>
      <c r="AA48" s="21">
        <f>EXP(-LN(2)/25)*AA47+(1-EXP(-LN(2)/25))/(LN(2)/25)*Calculateur!V48*Calculateur!X48*VLOOKUP('Données projet'!$B$9,Paramètres!$A$1:$I$89,3,0)*0.475*44/12</f>
        <v>10.507254459093948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56.732658131886268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470</v>
      </c>
      <c r="AG48" s="12">
        <f>VLOOKUP(A48,'Données projet'!$A$61:$I$81,9,0)</f>
        <v>12</v>
      </c>
      <c r="AH48" s="12">
        <f t="array" ref="AH48">INDEX(AG:AG,MIN(IF(ISNUMBER(AG48:AG244),ROW(AG48:AG244),"")))</f>
        <v>12</v>
      </c>
      <c r="AI48" s="13">
        <f>IF('Données projet'!$A$62&gt;35,AI47+AH48-AQ47,IF(A48&lt;'Données projet'!$A$62,$AF$205^A48,IF(A48='Données projet'!$A$62,'Données projet'!$B$62,AI47+AH48-AQ47)))</f>
        <v>469.99999999999989</v>
      </c>
      <c r="AJ48" s="13">
        <f>AI48*VLOOKUP('Données projet'!$B$10,Paramètres!$A$1:$I$89,3,0)*VLOOKUP('Données projet'!$B$10,Paramètres!$A$1:$I$89,5,0)</f>
        <v>232.17999999999995</v>
      </c>
      <c r="AK48" s="13">
        <f t="shared" si="35"/>
        <v>56.753789389707116</v>
      </c>
      <c r="AL48" s="20">
        <f t="shared" si="4"/>
        <v>503.22634985373975</v>
      </c>
      <c r="AM48" s="59">
        <f t="shared" si="5"/>
        <v>796.55968318707301</v>
      </c>
      <c r="AN48" s="59">
        <f ca="1">AVERAGE(OFFSET($AM$3,0,0,'Données projet'!$E$10+1,1))-AVERAGE(OFFSET($H$3,0,0,'Données projet'!$E$10+1,1))</f>
        <v>350.14981500723491</v>
      </c>
      <c r="AO48" s="59">
        <f t="shared" si="36"/>
        <v>270.58548917514111</v>
      </c>
      <c r="AP48" s="15">
        <f>IF(ISNA(VLOOKUP(A48,'Données projet'!$A$61:$I$81,3,0)),0,VLOOKUP(A48,'Données projet'!$A$61:$I$81,3,0))</f>
        <v>3</v>
      </c>
      <c r="AQ48" s="15">
        <f>IF(ISNA(VLOOKUP(A48,'Données projet'!$A$61:$I$81,4,0)),0,VLOOKUP(A48,'Données projet'!$A$61:$I$81,4,0))</f>
        <v>94</v>
      </c>
      <c r="AR48" s="16">
        <f>IF(ISNA(VLOOKUP(A48,'Données projet'!$A$61:$I$81,5,0)),0%,VLOOKUP(A48,'Données projet'!$A$61:$I$81,5,0)*VLOOKUP('Données projet'!$B$10,Paramètres!$A$1:$I$89,7,0))</f>
        <v>0.44000000000000006</v>
      </c>
      <c r="AS48" s="16">
        <f>IF(ISNA(VLOOKUP(A48,'Données projet'!$A$61:$I$81,6,0)),0%,VLOOKUP(A48,'Données projet'!$A$61:$I$81,6,0)*VLOOKUP('Données projet'!$B$10,Paramètres!$A$1:$I$89,7,0))</f>
        <v>0.11000000000000001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42.625084759031296</v>
      </c>
      <c r="AV48" s="21">
        <f>EXP(-LN(2)/25)*AV47+(1-EXP(-LN(2)/25))/(LN(2)/25)*Calculateur!AQ48*Calculateur!AS48*VLOOKUP('Données projet'!$B$10,Paramètres!$A$1:$I$89,3,0)*0.475*44/12</f>
        <v>10.11618348263128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52.741268241662574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162</v>
      </c>
      <c r="BB48" s="12">
        <f>VLOOKUP(A48,'Données projet'!$A$87:$I$107,9,0)</f>
        <v>11</v>
      </c>
      <c r="BC48" s="12">
        <f t="array" ref="BC48">INDEX(BB:BB,MIN(IF(ISNUMBER(BB48:BB244),ROW(BB48:BB244),"")))</f>
        <v>11</v>
      </c>
      <c r="BD48" s="12">
        <f>IF('Données projet'!$A$88&gt;35,BD47+BC48-BL47,IF(A48&lt;'Données projet'!$A$88,$BA$205^A48,IF(A48='Données projet'!$A$88,'Données projet'!$B$88,BD47+BC48-BL47)))</f>
        <v>162</v>
      </c>
      <c r="BE48" s="13">
        <f>BD48*VLOOKUP('Données projet'!$B$11,Paramètres!$A$1:$I$89,3,0)*VLOOKUP('Données projet'!$B$11,Paramètres!$A$1:$I$89,5,0)</f>
        <v>138.99600000000001</v>
      </c>
      <c r="BF48" s="13">
        <f t="shared" si="37"/>
        <v>36.066906938767758</v>
      </c>
      <c r="BG48" s="20">
        <f t="shared" si="7"/>
        <v>304.90122958502047</v>
      </c>
      <c r="BH48" s="59">
        <f t="shared" si="8"/>
        <v>598.23456291835373</v>
      </c>
      <c r="BI48" s="59">
        <f ca="1">AVERAGE(OFFSET($BH$3,0,0,'Données projet'!$E$11+1,1))-AVERAGE(OFFSET($H$3,0,0,'Données projet'!$E$11+1,1))</f>
        <v>359.99244410291516</v>
      </c>
      <c r="BJ48" s="59">
        <f t="shared" si="38"/>
        <v>143.73379124174278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7.558348113896634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7.558348113896634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548.20000000000005</v>
      </c>
      <c r="O49" s="13">
        <f>N49*VLOOKUP('Données projet'!$B$9,Paramètres!$A$1:$I$89,3,0)*VLOOKUP('Données projet'!$B$9,Paramètres!$A$1:$I$89,5,0)</f>
        <v>306.44380000000007</v>
      </c>
      <c r="P49" s="13">
        <f t="shared" si="33"/>
        <v>72.525656095312968</v>
      </c>
      <c r="Q49" s="20">
        <f t="shared" si="53"/>
        <v>660.03846936600348</v>
      </c>
      <c r="R49" s="59">
        <f t="shared" si="0"/>
        <v>953.37180269933674</v>
      </c>
      <c r="S49" s="59">
        <f ca="1">AVERAGE(OFFSET($R$3,0,0,'Données projet'!$E$9+1,1))-AVERAGE(OFFSET($H$3,0,0,'Données projet'!$E$9+1,1))</f>
        <v>350.25444539178324</v>
      </c>
      <c r="T49" s="59">
        <f t="shared" si="34"/>
        <v>421.51176105448474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45.318951701481105</v>
      </c>
      <c r="AA49" s="21">
        <f>EXP(-LN(2)/25)*AA48+(1-EXP(-LN(2)/25))/(LN(2)/25)*Calculateur!V49*Calculateur!X49*VLOOKUP('Données projet'!$B$9,Paramètres!$A$1:$I$89,3,0)*0.475*44/12</f>
        <v>10.219933033357528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55.538884734838632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29.4</v>
      </c>
      <c r="AI49" s="13">
        <f>IF('Données projet'!$A$62&gt;35,AI48+AH49-AQ48,IF(A49&lt;'Données projet'!$A$62,$AF$205^A49,IF(A49='Données projet'!$A$62,'Données projet'!$B$62,AI48+AH49-AQ48)))</f>
        <v>405.39999999999986</v>
      </c>
      <c r="AJ49" s="13">
        <f>AI49*VLOOKUP('Données projet'!$B$10,Paramètres!$A$1:$I$89,3,0)*VLOOKUP('Données projet'!$B$10,Paramètres!$A$1:$I$89,5,0)</f>
        <v>200.26759999999996</v>
      </c>
      <c r="AK49" s="13">
        <f t="shared" si="35"/>
        <v>49.802973528557089</v>
      </c>
      <c r="AL49" s="20">
        <f t="shared" si="4"/>
        <v>435.5395822289035</v>
      </c>
      <c r="AM49" s="59">
        <f t="shared" si="5"/>
        <v>728.87291556223681</v>
      </c>
      <c r="AN49" s="59">
        <f ca="1">AVERAGE(OFFSET($AM$3,0,0,'Données projet'!$E$10+1,1))-AVERAGE(OFFSET($H$3,0,0,'Données projet'!$E$10+1,1))</f>
        <v>350.14981500723491</v>
      </c>
      <c r="AO49" s="59">
        <f t="shared" si="36"/>
        <v>270.58548917514111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41.78923284564123</v>
      </c>
      <c r="AV49" s="21">
        <f>EXP(-LN(2)/25)*AV48+(1-EXP(-LN(2)/25))/(LN(2)/25)*Calculateur!AQ49*Calculateur!AS49*VLOOKUP('Données projet'!$B$10,Paramètres!$A$1:$I$89,3,0)*0.475*44/12</f>
        <v>9.8395559133117594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51.628788758952993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5.4</v>
      </c>
      <c r="BD49" s="12">
        <f>IF('Données projet'!$A$88&gt;35,BD48+BC49-BL48,IF(A49&lt;'Données projet'!$A$88,$BA$205^A49,IF(A49='Données projet'!$A$88,'Données projet'!$B$88,BD48+BC49-BL48)))</f>
        <v>167.4</v>
      </c>
      <c r="BE49" s="13">
        <f>BD49*VLOOKUP('Données projet'!$B$11,Paramètres!$A$1:$I$89,3,0)*VLOOKUP('Données projet'!$B$11,Paramètres!$A$1:$I$89,5,0)</f>
        <v>143.62920000000003</v>
      </c>
      <c r="BF49" s="13">
        <f t="shared" si="37"/>
        <v>37.127161849234376</v>
      </c>
      <c r="BG49" s="20">
        <f t="shared" si="7"/>
        <v>314.81733022074991</v>
      </c>
      <c r="BH49" s="59">
        <f t="shared" si="8"/>
        <v>608.15066355408317</v>
      </c>
      <c r="BI49" s="59">
        <f ca="1">AVERAGE(OFFSET($BH$3,0,0,'Données projet'!$E$11+1,1))-AVERAGE(OFFSET($H$3,0,0,'Données projet'!$E$11+1,1))</f>
        <v>359.99244410291516</v>
      </c>
      <c r="BJ49" s="59">
        <f t="shared" si="38"/>
        <v>143.73379124174278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7.410133517520257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7.410133517520257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556.40000000000009</v>
      </c>
      <c r="O50" s="13">
        <f>N50*VLOOKUP('Données projet'!$B$9,Paramètres!$A$1:$I$89,3,0)*VLOOKUP('Données projet'!$B$9,Paramètres!$A$1:$I$89,5,0)</f>
        <v>311.02760000000006</v>
      </c>
      <c r="P50" s="13">
        <f t="shared" si="33"/>
        <v>73.483392600233344</v>
      </c>
      <c r="Q50" s="20">
        <f t="shared" si="53"/>
        <v>669.68997877873983</v>
      </c>
      <c r="R50" s="59">
        <f t="shared" si="0"/>
        <v>963.0233121120732</v>
      </c>
      <c r="S50" s="59">
        <f ca="1">AVERAGE(OFFSET($R$3,0,0,'Données projet'!$E$9+1,1))-AVERAGE(OFFSET($H$3,0,0,'Données projet'!$E$9+1,1))</f>
        <v>350.25444539178324</v>
      </c>
      <c r="T50" s="59">
        <f t="shared" si="34"/>
        <v>421.51176105448474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44.430274700446191</v>
      </c>
      <c r="AA50" s="21">
        <f>EXP(-LN(2)/25)*AA49+(1-EXP(-LN(2)/25))/(LN(2)/25)*Calculateur!V50*Calculateur!X50*VLOOKUP('Données projet'!$B$9,Paramètres!$A$1:$I$89,3,0)*0.475*44/12</f>
        <v>9.9404684271174464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54.370743127563635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29.4</v>
      </c>
      <c r="AI50" s="13">
        <f>IF('Données projet'!$A$62&gt;35,AI49+AH50-AQ49,IF(A50&lt;'Données projet'!$A$62,$AF$205^A50,IF(A50='Données projet'!$A$62,'Données projet'!$B$62,AI49+AH50-AQ49)))</f>
        <v>434.79999999999984</v>
      </c>
      <c r="AJ50" s="13">
        <f>AI50*VLOOKUP('Données projet'!$B$10,Paramètres!$A$1:$I$89,3,0)*VLOOKUP('Données projet'!$B$10,Paramètres!$A$1:$I$89,5,0)</f>
        <v>214.79119999999992</v>
      </c>
      <c r="AK50" s="13">
        <f t="shared" si="35"/>
        <v>52.981204853655058</v>
      </c>
      <c r="AL50" s="20">
        <f t="shared" si="4"/>
        <v>466.37027178678244</v>
      </c>
      <c r="AM50" s="59">
        <f t="shared" si="5"/>
        <v>759.70360512011575</v>
      </c>
      <c r="AN50" s="59">
        <f ca="1">AVERAGE(OFFSET($AM$3,0,0,'Données projet'!$E$10+1,1))-AVERAGE(OFFSET($H$3,0,0,'Données projet'!$E$10+1,1))</f>
        <v>350.14981500723491</v>
      </c>
      <c r="AO50" s="59">
        <f t="shared" si="36"/>
        <v>270.58548917514111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40.969771478453417</v>
      </c>
      <c r="AV50" s="21">
        <f>EXP(-LN(2)/25)*AV49+(1-EXP(-LN(2)/25))/(LN(2)/25)*Calculateur!AQ50*Calculateur!AS50*VLOOKUP('Données projet'!$B$10,Paramètres!$A$1:$I$89,3,0)*0.475*44/12</f>
        <v>9.5704927394224928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50.540264217875908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5.4</v>
      </c>
      <c r="BD50" s="12">
        <f>IF('Données projet'!$A$88&gt;35,BD49+BC50-BL49,IF(A50&lt;'Données projet'!$A$88,$BA$205^A50,IF(A50='Données projet'!$A$88,'Données projet'!$B$88,BD49+BC50-BL49)))</f>
        <v>172.8</v>
      </c>
      <c r="BE50" s="13">
        <f>BD50*VLOOKUP('Données projet'!$B$11,Paramètres!$A$1:$I$89,3,0)*VLOOKUP('Données projet'!$B$11,Paramètres!$A$1:$I$89,5,0)</f>
        <v>148.26240000000004</v>
      </c>
      <c r="BF50" s="13">
        <f t="shared" si="37"/>
        <v>38.183442410139151</v>
      </c>
      <c r="BG50" s="20">
        <f t="shared" si="7"/>
        <v>324.72650886432575</v>
      </c>
      <c r="BH50" s="59">
        <f t="shared" si="8"/>
        <v>618.05984219765901</v>
      </c>
      <c r="BI50" s="59">
        <f ca="1">AVERAGE(OFFSET($BH$3,0,0,'Données projet'!$E$11+1,1))-AVERAGE(OFFSET($H$3,0,0,'Données projet'!$E$11+1,1))</f>
        <v>359.99244410291516</v>
      </c>
      <c r="BJ50" s="59">
        <f t="shared" si="38"/>
        <v>143.73379124174278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7.2648253189768432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7.2648253189768432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564.60000000000014</v>
      </c>
      <c r="O51" s="13">
        <f>N51*VLOOKUP('Données projet'!$B$9,Paramètres!$A$1:$I$89,3,0)*VLOOKUP('Données projet'!$B$9,Paramètres!$A$1:$I$89,5,0)</f>
        <v>315.61140000000006</v>
      </c>
      <c r="P51" s="13">
        <f t="shared" si="33"/>
        <v>74.43948749540553</v>
      </c>
      <c r="Q51" s="20">
        <f t="shared" si="53"/>
        <v>679.33862905449803</v>
      </c>
      <c r="R51" s="59">
        <f t="shared" si="0"/>
        <v>972.6719623878314</v>
      </c>
      <c r="S51" s="59">
        <f ca="1">AVERAGE(OFFSET($R$3,0,0,'Données projet'!$E$9+1,1))-AVERAGE(OFFSET($H$3,0,0,'Données projet'!$E$9+1,1))</f>
        <v>350.25444539178324</v>
      </c>
      <c r="T51" s="59">
        <f t="shared" si="34"/>
        <v>421.51176105448474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43.559024113362128</v>
      </c>
      <c r="AA51" s="21">
        <f>EXP(-LN(2)/25)*AA50+(1-EXP(-LN(2)/25))/(LN(2)/25)*Calculateur!V51*Calculateur!X51*VLOOKUP('Données projet'!$B$9,Paramètres!$A$1:$I$89,3,0)*0.475*44/12</f>
        <v>9.668645795231404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53.227669908593533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29.4</v>
      </c>
      <c r="AI51" s="13">
        <f>IF('Données projet'!$A$62&gt;35,AI50+AH51-AQ50,IF(A51&lt;'Données projet'!$A$62,$AF$205^A51,IF(A51='Données projet'!$A$62,'Données projet'!$B$62,AI50+AH51-AQ50)))</f>
        <v>464.19999999999982</v>
      </c>
      <c r="AJ51" s="13">
        <f>AI51*VLOOKUP('Données projet'!$B$10,Paramètres!$A$1:$I$89,3,0)*VLOOKUP('Données projet'!$B$10,Paramètres!$A$1:$I$89,5,0)</f>
        <v>229.31479999999991</v>
      </c>
      <c r="AK51" s="13">
        <f t="shared" si="35"/>
        <v>56.134499554507464</v>
      </c>
      <c r="AL51" s="20">
        <f t="shared" si="4"/>
        <v>497.15753005743363</v>
      </c>
      <c r="AM51" s="59">
        <f t="shared" si="5"/>
        <v>790.49086339076689</v>
      </c>
      <c r="AN51" s="59">
        <f ca="1">AVERAGE(OFFSET($AM$3,0,0,'Données projet'!$E$10+1,1))-AVERAGE(OFFSET($H$3,0,0,'Données projet'!$E$10+1,1))</f>
        <v>350.14981500723491</v>
      </c>
      <c r="AO51" s="59">
        <f t="shared" si="36"/>
        <v>270.58548917514111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40.166379248854078</v>
      </c>
      <c r="AV51" s="21">
        <f>EXP(-LN(2)/25)*AV50+(1-EXP(-LN(2)/25))/(LN(2)/25)*Calculateur!AQ51*Calculateur!AS51*VLOOKUP('Données projet'!$B$10,Paramètres!$A$1:$I$89,3,0)*0.475*44/12</f>
        <v>9.3087871121726451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49.475166361026723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5.4</v>
      </c>
      <c r="BD51" s="12">
        <f>IF('Données projet'!$A$88&gt;35,BD50+BC51-BL50,IF(A51&lt;'Données projet'!$A$88,$BA$205^A51,IF(A51='Données projet'!$A$88,'Données projet'!$B$88,BD50+BC51-BL50)))</f>
        <v>178.20000000000002</v>
      </c>
      <c r="BE51" s="13">
        <f>BD51*VLOOKUP('Données projet'!$B$11,Paramètres!$A$1:$I$89,3,0)*VLOOKUP('Données projet'!$B$11,Paramètres!$A$1:$I$89,5,0)</f>
        <v>152.89560000000003</v>
      </c>
      <c r="BF51" s="13">
        <f t="shared" si="37"/>
        <v>39.235887070452605</v>
      </c>
      <c r="BG51" s="20">
        <f t="shared" si="7"/>
        <v>334.62900664770501</v>
      </c>
      <c r="BH51" s="59">
        <f t="shared" si="8"/>
        <v>627.96233998103833</v>
      </c>
      <c r="BI51" s="59">
        <f ca="1">AVERAGE(OFFSET($BH$3,0,0,'Données projet'!$E$11+1,1))-AVERAGE(OFFSET($H$3,0,0,'Données projet'!$E$11+1,1))</f>
        <v>359.99244410291516</v>
      </c>
      <c r="BJ51" s="59">
        <f t="shared" si="38"/>
        <v>143.73379124174278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7.1223665255776165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7.1223665255776165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572.80000000000018</v>
      </c>
      <c r="O52" s="13">
        <f>N52*VLOOKUP('Données projet'!$B$9,Paramètres!$A$1:$I$89,3,0)*VLOOKUP('Données projet'!$B$9,Paramètres!$A$1:$I$89,5,0)</f>
        <v>320.19520000000011</v>
      </c>
      <c r="P52" s="13">
        <f t="shared" si="33"/>
        <v>75.39396737744795</v>
      </c>
      <c r="Q52" s="20">
        <f t="shared" si="53"/>
        <v>688.98446651572203</v>
      </c>
      <c r="R52" s="59">
        <f t="shared" si="0"/>
        <v>982.31779984905529</v>
      </c>
      <c r="S52" s="59">
        <f ca="1">AVERAGE(OFFSET($R$3,0,0,'Données projet'!$E$9+1,1))-AVERAGE(OFFSET($H$3,0,0,'Données projet'!$E$9+1,1))</f>
        <v>350.25444539178324</v>
      </c>
      <c r="T52" s="59">
        <f t="shared" si="34"/>
        <v>421.51176105448474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42.704858218880396</v>
      </c>
      <c r="AA52" s="21">
        <f>EXP(-LN(2)/25)*AA51+(1-EXP(-LN(2)/25))/(LN(2)/25)*Calculateur!V52*Calculateur!X52*VLOOKUP('Données projet'!$B$9,Paramètres!$A$1:$I$89,3,0)*0.475*44/12</f>
        <v>9.4042561675088177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52.109114386389216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29.4</v>
      </c>
      <c r="AI52" s="13">
        <f>IF('Données projet'!$A$62&gt;35,AI51+AH52-AQ51,IF(A52&lt;'Données projet'!$A$62,$AF$205^A52,IF(A52='Données projet'!$A$62,'Données projet'!$B$62,AI51+AH52-AQ51)))</f>
        <v>493.5999999999998</v>
      </c>
      <c r="AJ52" s="13">
        <f>AI52*VLOOKUP('Données projet'!$B$10,Paramètres!$A$1:$I$89,3,0)*VLOOKUP('Données projet'!$B$10,Paramètres!$A$1:$I$89,5,0)</f>
        <v>243.83839999999992</v>
      </c>
      <c r="AK52" s="13">
        <f t="shared" si="35"/>
        <v>59.26461676581949</v>
      </c>
      <c r="AL52" s="20">
        <f t="shared" si="4"/>
        <v>527.9044208671354</v>
      </c>
      <c r="AM52" s="59">
        <f t="shared" si="5"/>
        <v>821.23775420046877</v>
      </c>
      <c r="AN52" s="59">
        <f ca="1">AVERAGE(OFFSET($AM$3,0,0,'Données projet'!$E$10+1,1))-AVERAGE(OFFSET($H$3,0,0,'Données projet'!$E$10+1,1))</f>
        <v>350.14981500723491</v>
      </c>
      <c r="AO52" s="59">
        <f t="shared" si="36"/>
        <v>270.58548917514111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39.378741050856306</v>
      </c>
      <c r="AV52" s="21">
        <f>EXP(-LN(2)/25)*AV51+(1-EXP(-LN(2)/25))/(LN(2)/25)*Calculateur!AQ52*Calculateur!AS52*VLOOKUP('Données projet'!$B$10,Paramètres!$A$1:$I$89,3,0)*0.475*44/12</f>
        <v>9.0542378390624449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48.432978889918751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5.4</v>
      </c>
      <c r="BD52" s="12">
        <f>IF('Données projet'!$A$88&gt;35,BD51+BC52-BL51,IF(A52&lt;'Données projet'!$A$88,$BA$205^A52,IF(A52='Données projet'!$A$88,'Données projet'!$B$88,BD51+BC52-BL51)))</f>
        <v>183.60000000000002</v>
      </c>
      <c r="BE52" s="13">
        <f>BD52*VLOOKUP('Données projet'!$B$11,Paramètres!$A$1:$I$89,3,0)*VLOOKUP('Données projet'!$B$11,Paramètres!$A$1:$I$89,5,0)</f>
        <v>157.52880000000005</v>
      </c>
      <c r="BF52" s="13">
        <f t="shared" si="37"/>
        <v>40.284625411479013</v>
      </c>
      <c r="BG52" s="20">
        <f t="shared" si="7"/>
        <v>344.52504925832596</v>
      </c>
      <c r="BH52" s="59">
        <f t="shared" si="8"/>
        <v>637.85838259165928</v>
      </c>
      <c r="BI52" s="59">
        <f ca="1">AVERAGE(OFFSET($BH$3,0,0,'Données projet'!$E$11+1,1))-AVERAGE(OFFSET($H$3,0,0,'Données projet'!$E$11+1,1))</f>
        <v>359.99244410291516</v>
      </c>
      <c r="BJ52" s="59">
        <f t="shared" si="38"/>
        <v>143.73379124174278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6.9827012622256648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6.9827012622256648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581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581.00000000000023</v>
      </c>
      <c r="O53" s="13">
        <f>N53*VLOOKUP('Données projet'!$B$9,Paramètres!$A$1:$I$89,3,0)*VLOOKUP('Données projet'!$B$9,Paramètres!$A$1:$I$89,5,0)</f>
        <v>324.77900000000011</v>
      </c>
      <c r="P53" s="13">
        <f t="shared" si="33"/>
        <v>76.346858037753478</v>
      </c>
      <c r="Q53" s="20">
        <f t="shared" si="53"/>
        <v>698.62753608242076</v>
      </c>
      <c r="R53" s="59">
        <f t="shared" si="0"/>
        <v>991.96086941575413</v>
      </c>
      <c r="S53" s="59">
        <f ca="1">AVERAGE(OFFSET($R$3,0,0,'Données projet'!$E$9+1,1))-AVERAGE(OFFSET($H$3,0,0,'Données projet'!$E$9+1,1))</f>
        <v>350.25444539178324</v>
      </c>
      <c r="T53" s="59">
        <f t="shared" si="34"/>
        <v>421.51176105448474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41.867441996599702</v>
      </c>
      <c r="AA53" s="21">
        <f>EXP(-LN(2)/25)*AA52+(1-EXP(-LN(2)/25))/(LN(2)/25)*Calculateur!V53*Calculateur!X53*VLOOKUP('Données projet'!$B$9,Paramètres!$A$1:$I$89,3,0)*0.475*44/12</f>
        <v>9.1470962880599505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51.01453828465965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523</v>
      </c>
      <c r="AG53" s="12">
        <f>VLOOKUP(A53,'Données projet'!$A$61:$I$81,9,0)</f>
        <v>29.4</v>
      </c>
      <c r="AH53" s="12">
        <f t="array" ref="AH53">INDEX(AG:AG,MIN(IF(ISNUMBER(AG53:AG249),ROW(AG53:AG249),"")))</f>
        <v>29.4</v>
      </c>
      <c r="AI53" s="13">
        <f>IF('Données projet'!$A$62&gt;35,AI52+AH53-AQ52,IF(A53&lt;'Données projet'!$A$62,$AF$205^A53,IF(A53='Données projet'!$A$62,'Données projet'!$B$62,AI52+AH53-AQ52)))</f>
        <v>522.99999999999977</v>
      </c>
      <c r="AJ53" s="13">
        <f>AI53*VLOOKUP('Données projet'!$B$10,Paramètres!$A$1:$I$89,3,0)*VLOOKUP('Données projet'!$B$10,Paramètres!$A$1:$I$89,5,0)</f>
        <v>258.36199999999991</v>
      </c>
      <c r="AK53" s="13">
        <f t="shared" si="35"/>
        <v>62.37309422677744</v>
      </c>
      <c r="AL53" s="20">
        <f t="shared" si="4"/>
        <v>558.61362244497047</v>
      </c>
      <c r="AM53" s="59">
        <f t="shared" si="5"/>
        <v>851.94695577830385</v>
      </c>
      <c r="AN53" s="59">
        <f ca="1">AVERAGE(OFFSET($AM$3,0,0,'Données projet'!$E$10+1,1))-AVERAGE(OFFSET($H$3,0,0,'Données projet'!$E$10+1,1))</f>
        <v>350.14981500723491</v>
      </c>
      <c r="AO53" s="59">
        <f t="shared" si="36"/>
        <v>270.58548917514111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38.606547957509406</v>
      </c>
      <c r="AV53" s="21">
        <f>EXP(-LN(2)/25)*AV52+(1-EXP(-LN(2)/25))/(LN(2)/25)*Calculateur!AQ53*Calculateur!AS53*VLOOKUP('Données projet'!$B$10,Paramètres!$A$1:$I$89,3,0)*0.475*44/12</f>
        <v>8.8066492292116081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47.413197186721014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189</v>
      </c>
      <c r="BB53" s="12">
        <f>VLOOKUP(A53,'Données projet'!$A$87:$I$107,9,0)</f>
        <v>5.4</v>
      </c>
      <c r="BC53" s="12">
        <f t="array" ref="BC53">INDEX(BB:BB,MIN(IF(ISNUMBER(BB53:BB249),ROW(BB53:BB249),"")))</f>
        <v>5.4</v>
      </c>
      <c r="BD53" s="12">
        <f>IF('Données projet'!$A$88&gt;35,BD52+BC53-BL52,IF(A53&lt;'Données projet'!$A$88,$BA$205^A53,IF(A53='Données projet'!$A$88,'Données projet'!$B$88,BD52+BC53-BL52)))</f>
        <v>189.00000000000003</v>
      </c>
      <c r="BE53" s="13">
        <f>BD53*VLOOKUP('Données projet'!$B$11,Paramètres!$A$1:$I$89,3,0)*VLOOKUP('Données projet'!$B$11,Paramètres!$A$1:$I$89,5,0)</f>
        <v>162.16200000000003</v>
      </c>
      <c r="BF53" s="13">
        <f t="shared" si="37"/>
        <v>41.329778958741436</v>
      </c>
      <c r="BG53" s="20">
        <f t="shared" si="7"/>
        <v>354.41484835314139</v>
      </c>
      <c r="BH53" s="59">
        <f t="shared" si="8"/>
        <v>647.74818168647471</v>
      </c>
      <c r="BI53" s="59">
        <f ca="1">AVERAGE(OFFSET($BH$3,0,0,'Données projet'!$E$11+1,1))-AVERAGE(OFFSET($H$3,0,0,'Données projet'!$E$11+1,1))</f>
        <v>359.99244410291516</v>
      </c>
      <c r="BJ53" s="59">
        <f t="shared" si="38"/>
        <v>143.73379124174278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6.8457747495006451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6.8457747495006451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6.8</v>
      </c>
      <c r="N54" s="13">
        <f>IF('Données projet'!$A$36&gt;35,N53+M54-V53,IF(A54&lt;'Données projet'!$A$36,$K$205^A54,IF(A54='Données projet'!$A$36,'Données projet'!$B$36,N53+M54-V53)))</f>
        <v>587.80000000000018</v>
      </c>
      <c r="O54" s="13">
        <f>N54*VLOOKUP('Données projet'!$B$9,Paramètres!$A$1:$I$89,3,0)*VLOOKUP('Données projet'!$B$9,Paramètres!$A$1:$I$89,5,0)</f>
        <v>328.5802000000001</v>
      </c>
      <c r="P54" s="13">
        <f t="shared" si="33"/>
        <v>77.135872581379729</v>
      </c>
      <c r="Q54" s="20">
        <f t="shared" si="53"/>
        <v>706.6221597459031</v>
      </c>
      <c r="R54" s="59">
        <f t="shared" si="0"/>
        <v>999.95549307923648</v>
      </c>
      <c r="S54" s="59">
        <f ca="1">AVERAGE(OFFSET($R$3,0,0,'Données projet'!$E$9+1,1))-AVERAGE(OFFSET($H$3,0,0,'Données projet'!$E$9+1,1))</f>
        <v>350.25444539178324</v>
      </c>
      <c r="T54" s="59">
        <f t="shared" si="34"/>
        <v>421.51176105448474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41.046446995664468</v>
      </c>
      <c r="AA54" s="21">
        <f>EXP(-LN(2)/25)*AA53+(1-EXP(-LN(2)/25))/(LN(2)/25)*Calculateur!V54*Calculateur!X54*VLOOKUP('Données projet'!$B$9,Paramètres!$A$1:$I$89,3,0)*0.475*44/12</f>
        <v>8.8969684590380638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49.943415454702532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532.79999999999973</v>
      </c>
      <c r="AJ54" s="13">
        <f>AI54*VLOOKUP('Données projet'!$B$10,Paramètres!$A$1:$I$89,3,0)*VLOOKUP('Données projet'!$B$10,Paramètres!$A$1:$I$89,5,0)</f>
        <v>263.20319999999987</v>
      </c>
      <c r="AK54" s="13">
        <f t="shared" si="35"/>
        <v>63.404683403141448</v>
      </c>
      <c r="AL54" s="20">
        <f t="shared" si="4"/>
        <v>568.84206359380448</v>
      </c>
      <c r="AM54" s="59">
        <f t="shared" si="5"/>
        <v>862.17539692713785</v>
      </c>
      <c r="AN54" s="59">
        <f ca="1">AVERAGE(OFFSET($AM$3,0,0,'Données projet'!$E$10+1,1))-AVERAGE(OFFSET($H$3,0,0,'Données projet'!$E$10+1,1))</f>
        <v>350.14981500723491</v>
      </c>
      <c r="AO54" s="59">
        <f t="shared" si="36"/>
        <v>270.58548917514111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37.849497099731764</v>
      </c>
      <c r="AV54" s="21">
        <f>EXP(-LN(2)/25)*AV53+(1-EXP(-LN(2)/25))/(LN(2)/25)*Calculateur!AQ54*Calculateur!AS54*VLOOKUP('Données projet'!$B$10,Paramètres!$A$1:$I$89,3,0)*0.475*44/12</f>
        <v>8.5658309429172608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46.415328042649023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5.4</v>
      </c>
      <c r="BD54" s="12">
        <f>IF('Données projet'!$A$88&gt;35,BD53+BC54-BL53,IF(A54&lt;'Données projet'!$A$88,$BA$205^A54,IF(A54='Données projet'!$A$88,'Données projet'!$B$88,BD53+BC54-BL53)))</f>
        <v>194.40000000000003</v>
      </c>
      <c r="BE54" s="13">
        <f>BD54*VLOOKUP('Données projet'!$B$11,Paramètres!$A$1:$I$89,3,0)*VLOOKUP('Données projet'!$B$11,Paramètres!$A$1:$I$89,5,0)</f>
        <v>166.79520000000005</v>
      </c>
      <c r="BF54" s="13">
        <f t="shared" si="37"/>
        <v>42.371461898472788</v>
      </c>
      <c r="BG54" s="20">
        <f t="shared" si="7"/>
        <v>364.29860280650684</v>
      </c>
      <c r="BH54" s="59">
        <f t="shared" si="8"/>
        <v>657.63193613984015</v>
      </c>
      <c r="BI54" s="59">
        <f ca="1">AVERAGE(OFFSET($BH$3,0,0,'Données projet'!$E$11+1,1))-AVERAGE(OFFSET($H$3,0,0,'Données projet'!$E$11+1,1))</f>
        <v>359.99244410291516</v>
      </c>
      <c r="BJ54" s="59">
        <f t="shared" si="38"/>
        <v>143.73379124174278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6.711533282173237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6.711533282173237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6.8</v>
      </c>
      <c r="N55" s="13">
        <f>IF('Données projet'!$A$36&gt;35,N54+M55-V54,IF(A55&lt;'Données projet'!$A$36,$K$205^A55,IF(A55='Données projet'!$A$36,'Données projet'!$B$36,N54+M55-V54)))</f>
        <v>594.60000000000014</v>
      </c>
      <c r="O55" s="13">
        <f>N55*VLOOKUP('Données projet'!$B$9,Paramètres!$A$1:$I$89,3,0)*VLOOKUP('Données projet'!$B$9,Paramètres!$A$1:$I$89,5,0)</f>
        <v>332.3814000000001</v>
      </c>
      <c r="P55" s="13">
        <f t="shared" si="33"/>
        <v>77.92382534341651</v>
      </c>
      <c r="Q55" s="20">
        <f t="shared" si="53"/>
        <v>714.61493413978394</v>
      </c>
      <c r="R55" s="59">
        <f t="shared" si="0"/>
        <v>1007.9482674731173</v>
      </c>
      <c r="S55" s="59">
        <f ca="1">AVERAGE(OFFSET($R$3,0,0,'Données projet'!$E$9+1,1))-AVERAGE(OFFSET($H$3,0,0,'Données projet'!$E$9+1,1))</f>
        <v>350.25444539178324</v>
      </c>
      <c r="T55" s="59">
        <f t="shared" si="34"/>
        <v>421.51176105448474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40.24155120594007</v>
      </c>
      <c r="AA55" s="21">
        <f>EXP(-LN(2)/25)*AA54+(1-EXP(-LN(2)/25))/(LN(2)/25)*Calculateur!V55*Calculateur!X55*VLOOKUP('Données projet'!$B$9,Paramètres!$A$1:$I$89,3,0)*0.475*44/12</f>
        <v>8.6536803886544309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48.895231594594499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542.59999999999968</v>
      </c>
      <c r="AJ55" s="13">
        <f>AI55*VLOOKUP('Données projet'!$B$10,Paramètres!$A$1:$I$89,3,0)*VLOOKUP('Données projet'!$B$10,Paramètres!$A$1:$I$89,5,0)</f>
        <v>268.04439999999983</v>
      </c>
      <c r="AK55" s="13">
        <f t="shared" si="35"/>
        <v>64.434066187486636</v>
      </c>
      <c r="AL55" s="20">
        <f t="shared" si="4"/>
        <v>579.06666194320553</v>
      </c>
      <c r="AM55" s="59">
        <f t="shared" si="5"/>
        <v>872.3999952765389</v>
      </c>
      <c r="AN55" s="59">
        <f ca="1">AVERAGE(OFFSET($AM$3,0,0,'Données projet'!$E$10+1,1))-AVERAGE(OFFSET($H$3,0,0,'Données projet'!$E$10+1,1))</f>
        <v>350.14981500723491</v>
      </c>
      <c r="AO55" s="59">
        <f t="shared" si="36"/>
        <v>270.58548917514111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37.107291547519708</v>
      </c>
      <c r="AV55" s="21">
        <f>EXP(-LN(2)/25)*AV54+(1-EXP(-LN(2)/25))/(LN(2)/25)*Calculateur!AQ55*Calculateur!AS55*VLOOKUP('Données projet'!$B$10,Paramètres!$A$1:$I$89,3,0)*0.475*44/12</f>
        <v>8.3315978453257173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45.438889392845425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5.4</v>
      </c>
      <c r="BD55" s="12">
        <f>IF('Données projet'!$A$88&gt;35,BD54+BC55-BL54,IF(A55&lt;'Données projet'!$A$88,$BA$205^A55,IF(A55='Données projet'!$A$88,'Données projet'!$B$88,BD54+BC55-BL54)))</f>
        <v>199.80000000000004</v>
      </c>
      <c r="BE55" s="13">
        <f>BD55*VLOOKUP('Données projet'!$B$11,Paramètres!$A$1:$I$89,3,0)*VLOOKUP('Données projet'!$B$11,Paramètres!$A$1:$I$89,5,0)</f>
        <v>171.42840000000004</v>
      </c>
      <c r="BF55" s="13">
        <f t="shared" si="37"/>
        <v>43.409781712258457</v>
      </c>
      <c r="BG55" s="20">
        <f t="shared" si="7"/>
        <v>374.17649981551682</v>
      </c>
      <c r="BH55" s="59">
        <f t="shared" si="8"/>
        <v>667.50983314885013</v>
      </c>
      <c r="BI55" s="59">
        <f ca="1">AVERAGE(OFFSET($BH$3,0,0,'Données projet'!$E$11+1,1))-AVERAGE(OFFSET($H$3,0,0,'Données projet'!$E$11+1,1))</f>
        <v>359.99244410291516</v>
      </c>
      <c r="BJ55" s="59">
        <f t="shared" si="38"/>
        <v>143.73379124174278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6.5799242081409091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6.5799242081409091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6.8</v>
      </c>
      <c r="N56" s="13">
        <f>IF('Données projet'!$A$36&gt;35,N55+M56-V55,IF(A56&lt;'Données projet'!$A$36,$K$205^A56,IF(A56='Données projet'!$A$36,'Données projet'!$B$36,N55+M56-V55)))</f>
        <v>601.40000000000009</v>
      </c>
      <c r="O56" s="13">
        <f>N56*VLOOKUP('Données projet'!$B$9,Paramètres!$A$1:$I$89,3,0)*VLOOKUP('Données projet'!$B$9,Paramètres!$A$1:$I$89,5,0)</f>
        <v>336.18260000000004</v>
      </c>
      <c r="P56" s="13">
        <f t="shared" si="33"/>
        <v>78.710729871671518</v>
      </c>
      <c r="Q56" s="20">
        <f t="shared" si="53"/>
        <v>722.60588285982783</v>
      </c>
      <c r="R56" s="59">
        <f t="shared" si="0"/>
        <v>1015.9392161931612</v>
      </c>
      <c r="S56" s="59">
        <f ca="1">AVERAGE(OFFSET($R$3,0,0,'Données projet'!$E$9+1,1))-AVERAGE(OFFSET($H$3,0,0,'Données projet'!$E$9+1,1))</f>
        <v>350.25444539178324</v>
      </c>
      <c r="T56" s="59">
        <f t="shared" si="34"/>
        <v>421.51176105448474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39.452438931714212</v>
      </c>
      <c r="AA56" s="21">
        <f>EXP(-LN(2)/25)*AA55+(1-EXP(-LN(2)/25))/(LN(2)/25)*Calculateur!V56*Calculateur!X56*VLOOKUP('Données projet'!$B$9,Paramètres!$A$1:$I$89,3,0)*0.475*44/12</f>
        <v>8.4170450433494022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47.869483975063616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552.39999999999964</v>
      </c>
      <c r="AJ56" s="13">
        <f>AI56*VLOOKUP('Données projet'!$B$10,Paramètres!$A$1:$I$89,3,0)*VLOOKUP('Données projet'!$B$10,Paramètres!$A$1:$I$89,5,0)</f>
        <v>272.88559999999984</v>
      </c>
      <c r="AK56" s="13">
        <f t="shared" si="35"/>
        <v>65.461287026559049</v>
      </c>
      <c r="AL56" s="20">
        <f t="shared" si="4"/>
        <v>589.28749490458995</v>
      </c>
      <c r="AM56" s="59">
        <f t="shared" si="5"/>
        <v>882.62082823792321</v>
      </c>
      <c r="AN56" s="59">
        <f ca="1">AVERAGE(OFFSET($AM$3,0,0,'Données projet'!$E$10+1,1))-AVERAGE(OFFSET($H$3,0,0,'Données projet'!$E$10+1,1))</f>
        <v>350.14981500723491</v>
      </c>
      <c r="AO56" s="59">
        <f t="shared" si="36"/>
        <v>270.58548917514111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36.379640193485848</v>
      </c>
      <c r="AV56" s="21">
        <f>EXP(-LN(2)/25)*AV55+(1-EXP(-LN(2)/25))/(LN(2)/25)*Calculateur!AQ56*Calculateur!AS56*VLOOKUP('Données projet'!$B$10,Paramètres!$A$1:$I$89,3,0)*0.475*44/12</f>
        <v>8.1037698641055975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44.483410057591442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5.4</v>
      </c>
      <c r="BD56" s="12">
        <f>IF('Données projet'!$A$88&gt;35,BD55+BC56-BL55,IF(A56&lt;'Données projet'!$A$88,$BA$205^A56,IF(A56='Données projet'!$A$88,'Données projet'!$B$88,BD55+BC56-BL55)))</f>
        <v>205.20000000000005</v>
      </c>
      <c r="BE56" s="13">
        <f>BD56*VLOOKUP('Données projet'!$B$11,Paramètres!$A$1:$I$89,3,0)*VLOOKUP('Données projet'!$B$11,Paramètres!$A$1:$I$89,5,0)</f>
        <v>176.06160000000006</v>
      </c>
      <c r="BF56" s="13">
        <f t="shared" si="37"/>
        <v>44.444839741138928</v>
      </c>
      <c r="BG56" s="20">
        <f t="shared" si="7"/>
        <v>384.04871588248369</v>
      </c>
      <c r="BH56" s="59">
        <f t="shared" si="8"/>
        <v>677.38204921581701</v>
      </c>
      <c r="BI56" s="59">
        <f ca="1">AVERAGE(OFFSET($BH$3,0,0,'Données projet'!$E$11+1,1))-AVERAGE(OFFSET($H$3,0,0,'Données projet'!$E$11+1,1))</f>
        <v>359.99244410291516</v>
      </c>
      <c r="BJ56" s="59">
        <f t="shared" si="38"/>
        <v>143.73379124174278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6.4508959077767463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6.4508959077767463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6.8</v>
      </c>
      <c r="N57" s="13">
        <f>IF('Données projet'!$A$36&gt;35,N56+M57-V56,IF(A57&lt;'Données projet'!$A$36,$K$205^A57,IF(A57='Données projet'!$A$36,'Données projet'!$B$36,N56+M57-V56)))</f>
        <v>608.20000000000005</v>
      </c>
      <c r="O57" s="13">
        <f>N57*VLOOKUP('Données projet'!$B$9,Paramètres!$A$1:$I$89,3,0)*VLOOKUP('Données projet'!$B$9,Paramètres!$A$1:$I$89,5,0)</f>
        <v>339.98380000000003</v>
      </c>
      <c r="P57" s="13">
        <f t="shared" si="33"/>
        <v>79.496599389945999</v>
      </c>
      <c r="Q57" s="20">
        <f t="shared" si="53"/>
        <v>730.59502893748925</v>
      </c>
      <c r="R57" s="59">
        <f t="shared" si="0"/>
        <v>1023.9283622708226</v>
      </c>
      <c r="S57" s="59">
        <f ca="1">AVERAGE(OFFSET($R$3,0,0,'Données projet'!$E$9+1,1))-AVERAGE(OFFSET($H$3,0,0,'Données projet'!$E$9+1,1))</f>
        <v>350.25444539178324</v>
      </c>
      <c r="T57" s="59">
        <f t="shared" si="34"/>
        <v>421.51176105448474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38.67880066787496</v>
      </c>
      <c r="AA57" s="21">
        <f>EXP(-LN(2)/25)*AA56+(1-EXP(-LN(2)/25))/(LN(2)/25)*Calculateur!V57*Calculateur!X57*VLOOKUP('Données projet'!$B$9,Paramètres!$A$1:$I$89,3,0)*0.475*44/12</f>
        <v>8.1868805040058508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46.865681171880809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562.19999999999959</v>
      </c>
      <c r="AJ57" s="13">
        <f>AI57*VLOOKUP('Données projet'!$B$10,Paramètres!$A$1:$I$89,3,0)*VLOOKUP('Données projet'!$B$10,Paramètres!$A$1:$I$89,5,0)</f>
        <v>277.7267999999998</v>
      </c>
      <c r="AK57" s="13">
        <f t="shared" si="35"/>
        <v>66.486388699742463</v>
      </c>
      <c r="AL57" s="20">
        <f t="shared" si="4"/>
        <v>599.50463698538442</v>
      </c>
      <c r="AM57" s="59">
        <f t="shared" si="5"/>
        <v>892.83797031871768</v>
      </c>
      <c r="AN57" s="59">
        <f ca="1">AVERAGE(OFFSET($AM$3,0,0,'Données projet'!$E$10+1,1))-AVERAGE(OFFSET($H$3,0,0,'Données projet'!$E$10+1,1))</f>
        <v>350.14981500723491</v>
      </c>
      <c r="AO57" s="59">
        <f t="shared" si="36"/>
        <v>270.58548917514111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35.666257638681088</v>
      </c>
      <c r="AV57" s="21">
        <f>EXP(-LN(2)/25)*AV56+(1-EXP(-LN(2)/25))/(LN(2)/25)*Calculateur!AQ57*Calculateur!AS57*VLOOKUP('Données projet'!$B$10,Paramètres!$A$1:$I$89,3,0)*0.475*44/12</f>
        <v>7.8821718510128944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43.54842948969398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5.4</v>
      </c>
      <c r="BD57" s="12">
        <f>IF('Données projet'!$A$88&gt;35,BD56+BC57-BL56,IF(A57&lt;'Données projet'!$A$88,$BA$205^A57,IF(A57='Données projet'!$A$88,'Données projet'!$B$88,BD56+BC57-BL56)))</f>
        <v>210.60000000000005</v>
      </c>
      <c r="BE57" s="13">
        <f>BD57*VLOOKUP('Données projet'!$B$11,Paramètres!$A$1:$I$89,3,0)*VLOOKUP('Données projet'!$B$11,Paramètres!$A$1:$I$89,5,0)</f>
        <v>180.69480000000007</v>
      </c>
      <c r="BF57" s="13">
        <f t="shared" si="37"/>
        <v>45.47673168866379</v>
      </c>
      <c r="BG57" s="20">
        <f t="shared" si="7"/>
        <v>393.91541769108954</v>
      </c>
      <c r="BH57" s="59">
        <f t="shared" si="8"/>
        <v>687.24875102442286</v>
      </c>
      <c r="BI57" s="59">
        <f ca="1">AVERAGE(OFFSET($BH$3,0,0,'Données projet'!$E$11+1,1))-AVERAGE(OFFSET($H$3,0,0,'Données projet'!$E$11+1,1))</f>
        <v>359.99244410291516</v>
      </c>
      <c r="BJ57" s="59">
        <f t="shared" si="38"/>
        <v>143.73379124174278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6.3243977736832324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6.3243977736832324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615</v>
      </c>
      <c r="L58" s="12">
        <f>VLOOKUP(A58,'Données projet'!$A$35:$I$55,9,0)</f>
        <v>6.8</v>
      </c>
      <c r="M58" s="12">
        <f t="array" ref="M58">INDEX(L:L,MIN(IF(ISNUMBER(L58:L254),ROW(L58:L254),"")))</f>
        <v>6.8</v>
      </c>
      <c r="N58" s="13">
        <f>IF('Données projet'!$A$36&gt;35,N57+M58-V57,IF(A58&lt;'Données projet'!$A$36,$K$205^A58,IF(A58='Données projet'!$A$36,'Données projet'!$B$36,N57+M58-V57)))</f>
        <v>615</v>
      </c>
      <c r="O58" s="13">
        <f>N58*VLOOKUP('Données projet'!$B$9,Paramètres!$A$1:$I$89,3,0)*VLOOKUP('Données projet'!$B$9,Paramètres!$A$1:$I$89,5,0)</f>
        <v>343.78500000000003</v>
      </c>
      <c r="P58" s="13">
        <f t="shared" si="33"/>
        <v>80.281446809317075</v>
      </c>
      <c r="Q58" s="20">
        <f t="shared" si="53"/>
        <v>738.58239485956062</v>
      </c>
      <c r="R58" s="59">
        <f t="shared" si="0"/>
        <v>1031.915728192894</v>
      </c>
      <c r="S58" s="59">
        <f ca="1">AVERAGE(OFFSET($R$3,0,0,'Données projet'!$E$9+1,1))-AVERAGE(OFFSET($H$3,0,0,'Données projet'!$E$9+1,1))</f>
        <v>350.25444539178324</v>
      </c>
      <c r="T58" s="59">
        <f t="shared" si="34"/>
        <v>421.51176105448474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37.920332978516846</v>
      </c>
      <c r="AA58" s="21">
        <f>EXP(-LN(2)/25)*AA57+(1-EXP(-LN(2)/25))/(LN(2)/25)*Calculateur!V58*Calculateur!X58*VLOOKUP('Données projet'!$B$9,Paramètres!$A$1:$I$89,3,0)*0.475*44/12</f>
        <v>7.9630098260944768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45.883342804611324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572</v>
      </c>
      <c r="AG58" s="12">
        <f>VLOOKUP(A58,'Données projet'!$A$61:$I$81,9,0)</f>
        <v>9.8000000000000007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571.99999999999955</v>
      </c>
      <c r="AJ58" s="13">
        <f>AI58*VLOOKUP('Données projet'!$B$10,Paramètres!$A$1:$I$89,3,0)*VLOOKUP('Données projet'!$B$10,Paramètres!$A$1:$I$89,5,0)</f>
        <v>282.56799999999981</v>
      </c>
      <c r="AK58" s="13">
        <f t="shared" si="35"/>
        <v>67.50941240956206</v>
      </c>
      <c r="AL58" s="20">
        <f t="shared" si="4"/>
        <v>609.7181599466536</v>
      </c>
      <c r="AM58" s="59">
        <f t="shared" si="5"/>
        <v>903.05149327998697</v>
      </c>
      <c r="AN58" s="59">
        <f ca="1">AVERAGE(OFFSET($AM$3,0,0,'Données projet'!$E$10+1,1))-AVERAGE(OFFSET($H$3,0,0,'Données projet'!$E$10+1,1))</f>
        <v>350.14981500723491</v>
      </c>
      <c r="AO58" s="59">
        <f t="shared" si="36"/>
        <v>270.58548917514111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34.966864080655654</v>
      </c>
      <c r="AV58" s="21">
        <f>EXP(-LN(2)/25)*AV57+(1-EXP(-LN(2)/25))/(LN(2)/25)*Calculateur!AQ58*Calculateur!AS58*VLOOKUP('Données projet'!$B$10,Paramètres!$A$1:$I$89,3,0)*0.475*44/12</f>
        <v>7.6666334472415443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42.633497527897198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216</v>
      </c>
      <c r="BB58" s="12">
        <f>VLOOKUP(A58,'Données projet'!$A$87:$I$107,9,0)</f>
        <v>5.4</v>
      </c>
      <c r="BC58" s="12">
        <f t="array" ref="BC58">INDEX(BB:BB,MIN(IF(ISNUMBER(BB58:BB254),ROW(BB58:BB254),"")))</f>
        <v>5.4</v>
      </c>
      <c r="BD58" s="12">
        <f>IF('Données projet'!$A$88&gt;35,BD57+BC58-BL57,IF(A58&lt;'Données projet'!$A$88,$BA$205^A58,IF(A58='Données projet'!$A$88,'Données projet'!$B$88,BD57+BC58-BL57)))</f>
        <v>216.00000000000006</v>
      </c>
      <c r="BE58" s="13">
        <f>BD58*VLOOKUP('Données projet'!$B$11,Paramètres!$A$1:$I$89,3,0)*VLOOKUP('Données projet'!$B$11,Paramètres!$A$1:$I$89,5,0)</f>
        <v>185.32800000000006</v>
      </c>
      <c r="BF58" s="13">
        <f t="shared" si="37"/>
        <v>46.505548070897625</v>
      </c>
      <c r="BG58" s="20">
        <f t="shared" si="7"/>
        <v>403.77676289014676</v>
      </c>
      <c r="BH58" s="59">
        <f t="shared" si="8"/>
        <v>697.11009622348001</v>
      </c>
      <c r="BI58" s="59">
        <f ca="1">AVERAGE(OFFSET($BH$3,0,0,'Données projet'!$E$11+1,1))-AVERAGE(OFFSET($H$3,0,0,'Données projet'!$E$11+1,1))</f>
        <v>359.99244410291516</v>
      </c>
      <c r="BJ58" s="59">
        <f t="shared" si="38"/>
        <v>143.73379124174278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6.2003801908430498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6.2003801908430498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4.4000000000000004</v>
      </c>
      <c r="N59" s="13">
        <f>IF('Données projet'!$A$36&gt;35,N58+M59-V58,IF(A59&lt;'Données projet'!$A$36,$K$205^A59,IF(A59='Données projet'!$A$36,'Données projet'!$B$36,N58+M59-V58)))</f>
        <v>619.4</v>
      </c>
      <c r="O59" s="13">
        <f>N59*VLOOKUP('Données projet'!$B$9,Paramètres!$A$1:$I$89,3,0)*VLOOKUP('Données projet'!$B$9,Paramètres!$A$1:$I$89,5,0)</f>
        <v>346.24459999999999</v>
      </c>
      <c r="P59" s="13">
        <f t="shared" si="33"/>
        <v>80.788750550071725</v>
      </c>
      <c r="Q59" s="20">
        <f t="shared" si="53"/>
        <v>743.74975220804151</v>
      </c>
      <c r="R59" s="59">
        <f t="shared" si="0"/>
        <v>1037.0830855413749</v>
      </c>
      <c r="S59" s="59">
        <f ca="1">AVERAGE(OFFSET($R$3,0,0,'Données projet'!$E$9+1,1))-AVERAGE(OFFSET($H$3,0,0,'Données projet'!$E$9+1,1))</f>
        <v>350.25444539178324</v>
      </c>
      <c r="T59" s="59">
        <f t="shared" si="34"/>
        <v>421.51176105448474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37.176738377927435</v>
      </c>
      <c r="AA59" s="21">
        <f>EXP(-LN(2)/25)*AA58+(1-EXP(-LN(2)/25))/(LN(2)/25)*Calculateur!V59*Calculateur!X59*VLOOKUP('Données projet'!$B$9,Paramètres!$A$1:$I$89,3,0)*0.475*44/12</f>
        <v>7.7452609036434366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44.921999281570869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10.4</v>
      </c>
      <c r="AI59" s="13">
        <f>IF('Données projet'!$A$62&gt;35,AI58+AH59-AQ58,IF(A59&lt;'Données projet'!$A$62,$AF$205^A59,IF(A59='Données projet'!$A$62,'Données projet'!$B$62,AI58+AH59-AQ58)))</f>
        <v>582.39999999999952</v>
      </c>
      <c r="AJ59" s="13">
        <f>AI59*VLOOKUP('Données projet'!$B$10,Paramètres!$A$1:$I$89,3,0)*VLOOKUP('Données projet'!$B$10,Paramètres!$A$1:$I$89,5,0)</f>
        <v>287.70559999999978</v>
      </c>
      <c r="AK59" s="13">
        <f t="shared" si="35"/>
        <v>68.592841825752757</v>
      </c>
      <c r="AL59" s="20">
        <f t="shared" si="4"/>
        <v>620.55311951318561</v>
      </c>
      <c r="AM59" s="59">
        <f t="shared" si="5"/>
        <v>913.88645284651898</v>
      </c>
      <c r="AN59" s="59">
        <f ca="1">AVERAGE(OFFSET($AM$3,0,0,'Données projet'!$E$10+1,1))-AVERAGE(OFFSET($H$3,0,0,'Données projet'!$E$10+1,1))</f>
        <v>350.14981500723491</v>
      </c>
      <c r="AO59" s="59">
        <f t="shared" si="36"/>
        <v>270.58548917514111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34.281185203715154</v>
      </c>
      <c r="AV59" s="21">
        <f>EXP(-LN(2)/25)*AV58+(1-EXP(-LN(2)/25))/(LN(2)/25)*Calculateur!AQ59*Calculateur!AS59*VLOOKUP('Données projet'!$B$10,Paramètres!$A$1:$I$89,3,0)*0.475*44/12</f>
        <v>7.456988952455994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41.738174156171148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221.20000000000005</v>
      </c>
      <c r="BE59" s="13">
        <f>BD59*VLOOKUP('Données projet'!$B$11,Paramètres!$A$1:$I$89,3,0)*VLOOKUP('Données projet'!$B$11,Paramètres!$A$1:$I$89,5,0)</f>
        <v>189.78960000000006</v>
      </c>
      <c r="BF59" s="13">
        <f t="shared" si="37"/>
        <v>47.493433399364605</v>
      </c>
      <c r="BG59" s="20">
        <f t="shared" si="7"/>
        <v>413.26794983722681</v>
      </c>
      <c r="BH59" s="59">
        <f t="shared" si="8"/>
        <v>706.60128317056012</v>
      </c>
      <c r="BI59" s="59">
        <f ca="1">AVERAGE(OFFSET($BH$3,0,0,'Données projet'!$E$11+1,1))-AVERAGE(OFFSET($H$3,0,0,'Données projet'!$E$11+1,1))</f>
        <v>359.99244410291516</v>
      </c>
      <c r="BJ59" s="59">
        <f t="shared" si="38"/>
        <v>143.73379124174278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6.0787945171591069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6.0787945171591069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4.4000000000000004</v>
      </c>
      <c r="N60" s="13">
        <f>IF('Données projet'!$A$36&gt;35,N59+M60-V59,IF(A60&lt;'Données projet'!$A$36,$K$205^A60,IF(A60='Données projet'!$A$36,'Données projet'!$B$36,N59+M60-V59)))</f>
        <v>623.79999999999995</v>
      </c>
      <c r="O60" s="13">
        <f>N60*VLOOKUP('Données projet'!$B$9,Paramètres!$A$1:$I$89,3,0)*VLOOKUP('Données projet'!$B$9,Paramètres!$A$1:$I$89,5,0)</f>
        <v>348.70420000000001</v>
      </c>
      <c r="P60" s="13">
        <f t="shared" si="33"/>
        <v>81.295634988912099</v>
      </c>
      <c r="Q60" s="20">
        <f t="shared" si="53"/>
        <v>748.91637927235524</v>
      </c>
      <c r="R60" s="59">
        <f t="shared" si="0"/>
        <v>1042.2497126056885</v>
      </c>
      <c r="S60" s="59">
        <f ca="1">AVERAGE(OFFSET($R$3,0,0,'Données projet'!$E$9+1,1))-AVERAGE(OFFSET($H$3,0,0,'Données projet'!$E$9+1,1))</f>
        <v>350.25444539178324</v>
      </c>
      <c r="T60" s="59">
        <f t="shared" si="34"/>
        <v>421.51176105448474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36.44772521390766</v>
      </c>
      <c r="AA60" s="21">
        <f>EXP(-LN(2)/25)*AA59+(1-EXP(-LN(2)/25))/(LN(2)/25)*Calculateur!V60*Calculateur!X60*VLOOKUP('Données projet'!$B$9,Paramètres!$A$1:$I$89,3,0)*0.475*44/12</f>
        <v>7.5334663369277379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43.981191550835398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10.4</v>
      </c>
      <c r="AI60" s="13">
        <f>IF('Données projet'!$A$62&gt;35,AI59+AH60-AQ59,IF(A60&lt;'Données projet'!$A$62,$AF$205^A60,IF(A60='Données projet'!$A$62,'Données projet'!$B$62,AI59+AH60-AQ59)))</f>
        <v>592.7999999999995</v>
      </c>
      <c r="AJ60" s="13">
        <f>AI60*VLOOKUP('Données projet'!$B$10,Paramètres!$A$1:$I$89,3,0)*VLOOKUP('Données projet'!$B$10,Paramètres!$A$1:$I$89,5,0)</f>
        <v>292.84319999999974</v>
      </c>
      <c r="AK60" s="13">
        <f t="shared" si="35"/>
        <v>69.67402146894554</v>
      </c>
      <c r="AL60" s="20">
        <f t="shared" si="4"/>
        <v>631.38416072507982</v>
      </c>
      <c r="AM60" s="59">
        <f t="shared" si="5"/>
        <v>924.71749405841319</v>
      </c>
      <c r="AN60" s="59">
        <f ca="1">AVERAGE(OFFSET($AM$3,0,0,'Données projet'!$E$10+1,1))-AVERAGE(OFFSET($H$3,0,0,'Données projet'!$E$10+1,1))</f>
        <v>350.14981500723491</v>
      </c>
      <c r="AO60" s="59">
        <f t="shared" si="36"/>
        <v>270.58548917514111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33.608952071328638</v>
      </c>
      <c r="AV60" s="21">
        <f>EXP(-LN(2)/25)*AV59+(1-EXP(-LN(2)/25))/(LN(2)/25)*Calculateur!AQ60*Calculateur!AS60*VLOOKUP('Données projet'!$B$10,Paramètres!$A$1:$I$89,3,0)*0.475*44/12</f>
        <v>7.2530771974050792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40.862029268733714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226.40000000000003</v>
      </c>
      <c r="BE60" s="13">
        <f>BD60*VLOOKUP('Données projet'!$B$11,Paramètres!$A$1:$I$89,3,0)*VLOOKUP('Données projet'!$B$11,Paramètres!$A$1:$I$89,5,0)</f>
        <v>194.25120000000004</v>
      </c>
      <c r="BF60" s="13">
        <f t="shared" si="37"/>
        <v>48.47861896284347</v>
      </c>
      <c r="BG60" s="20">
        <f t="shared" si="7"/>
        <v>422.75443469361909</v>
      </c>
      <c r="BH60" s="59">
        <f t="shared" si="8"/>
        <v>716.0877680269524</v>
      </c>
      <c r="BI60" s="59">
        <f ca="1">AVERAGE(OFFSET($BH$3,0,0,'Données projet'!$E$11+1,1))-AVERAGE(OFFSET($H$3,0,0,'Données projet'!$E$11+1,1))</f>
        <v>359.99244410291516</v>
      </c>
      <c r="BJ60" s="59">
        <f t="shared" si="38"/>
        <v>143.73379124174278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5.9595930643761674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5.9595930643761674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4.4000000000000004</v>
      </c>
      <c r="N61" s="13">
        <f>IF('Données projet'!$A$36&gt;35,N60+M61-V60,IF(A61&lt;'Données projet'!$A$36,$K$205^A61,IF(A61='Données projet'!$A$36,'Données projet'!$B$36,N60+M61-V60)))</f>
        <v>628.19999999999993</v>
      </c>
      <c r="O61" s="13">
        <f>N61*VLOOKUP('Données projet'!$B$9,Paramètres!$A$1:$I$89,3,0)*VLOOKUP('Données projet'!$B$9,Paramètres!$A$1:$I$89,5,0)</f>
        <v>351.16379999999998</v>
      </c>
      <c r="P61" s="13">
        <f t="shared" si="33"/>
        <v>81.802103426362507</v>
      </c>
      <c r="Q61" s="20">
        <f t="shared" si="53"/>
        <v>754.08228180091464</v>
      </c>
      <c r="R61" s="59">
        <f t="shared" si="0"/>
        <v>1047.4156151342479</v>
      </c>
      <c r="S61" s="59">
        <f ca="1">AVERAGE(OFFSET($R$3,0,0,'Données projet'!$E$9+1,1))-AVERAGE(OFFSET($H$3,0,0,'Données projet'!$E$9+1,1))</f>
        <v>350.25444539178324</v>
      </c>
      <c r="T61" s="59">
        <f t="shared" si="34"/>
        <v>421.51176105448474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35.73300755338019</v>
      </c>
      <c r="AA61" s="21">
        <f>EXP(-LN(2)/25)*AA60+(1-EXP(-LN(2)/25))/(LN(2)/25)*Calculateur!V61*Calculateur!X61*VLOOKUP('Données projet'!$B$9,Paramètres!$A$1:$I$89,3,0)*0.475*44/12</f>
        <v>7.3274633037766721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43.060470857156865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10.4</v>
      </c>
      <c r="AI61" s="13">
        <f>IF('Données projet'!$A$62&gt;35,AI60+AH61-AQ60,IF(A61&lt;'Données projet'!$A$62,$AF$205^A61,IF(A61='Données projet'!$A$62,'Données projet'!$B$62,AI60+AH61-AQ60)))</f>
        <v>603.19999999999948</v>
      </c>
      <c r="AJ61" s="13">
        <f>AI61*VLOOKUP('Données projet'!$B$10,Paramètres!$A$1:$I$89,3,0)*VLOOKUP('Données projet'!$B$10,Paramètres!$A$1:$I$89,5,0)</f>
        <v>297.98079999999976</v>
      </c>
      <c r="AK61" s="13">
        <f t="shared" si="35"/>
        <v>70.752995362706883</v>
      </c>
      <c r="AL61" s="20">
        <f t="shared" si="4"/>
        <v>642.2113602567141</v>
      </c>
      <c r="AM61" s="59">
        <f t="shared" si="5"/>
        <v>935.54469359004747</v>
      </c>
      <c r="AN61" s="59">
        <f ca="1">AVERAGE(OFFSET($AM$3,0,0,'Données projet'!$E$10+1,1))-AVERAGE(OFFSET($H$3,0,0,'Données projet'!$E$10+1,1))</f>
        <v>350.14981500723491</v>
      </c>
      <c r="AO61" s="59">
        <f t="shared" si="36"/>
        <v>270.58548917514111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32.949901020646493</v>
      </c>
      <c r="AV61" s="21">
        <f>EXP(-LN(2)/25)*AV60+(1-EXP(-LN(2)/25))/(LN(2)/25)*Calculateur!AQ61*Calculateur!AS61*VLOOKUP('Données projet'!$B$10,Paramètres!$A$1:$I$89,3,0)*0.475*44/12</f>
        <v>7.0547414200192842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40.004642440665776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231.60000000000002</v>
      </c>
      <c r="BE61" s="13">
        <f>BD61*VLOOKUP('Données projet'!$B$11,Paramètres!$A$1:$I$89,3,0)*VLOOKUP('Données projet'!$B$11,Paramètres!$A$1:$I$89,5,0)</f>
        <v>198.71280000000004</v>
      </c>
      <c r="BF61" s="13">
        <f t="shared" si="37"/>
        <v>49.461173907718681</v>
      </c>
      <c r="BG61" s="20">
        <f t="shared" si="7"/>
        <v>432.23633788927674</v>
      </c>
      <c r="BH61" s="59">
        <f t="shared" si="8"/>
        <v>725.56967122261005</v>
      </c>
      <c r="BI61" s="59">
        <f ca="1">AVERAGE(OFFSET($BH$3,0,0,'Données projet'!$E$11+1,1))-AVERAGE(OFFSET($H$3,0,0,'Données projet'!$E$11+1,1))</f>
        <v>359.99244410291516</v>
      </c>
      <c r="BJ61" s="59">
        <f t="shared" si="38"/>
        <v>143.73379124174278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5.8427290793765945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5.8427290793765945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4.4000000000000004</v>
      </c>
      <c r="N62" s="13">
        <f>IF('Données projet'!$A$36&gt;35,N61+M62-V61,IF(A62&lt;'Données projet'!$A$36,$K$205^A62,IF(A62='Données projet'!$A$36,'Données projet'!$B$36,N61+M62-V61)))</f>
        <v>632.59999999999991</v>
      </c>
      <c r="O62" s="13">
        <f>N62*VLOOKUP('Données projet'!$B$9,Paramètres!$A$1:$I$89,3,0)*VLOOKUP('Données projet'!$B$9,Paramètres!$A$1:$I$89,5,0)</f>
        <v>353.6234</v>
      </c>
      <c r="P62" s="13">
        <f t="shared" si="33"/>
        <v>82.308159114040564</v>
      </c>
      <c r="Q62" s="20">
        <f t="shared" si="53"/>
        <v>759.24746545695405</v>
      </c>
      <c r="R62" s="59">
        <f t="shared" si="0"/>
        <v>1052.5807987902874</v>
      </c>
      <c r="S62" s="59">
        <f ca="1">AVERAGE(OFFSET($R$3,0,0,'Données projet'!$E$9+1,1))-AVERAGE(OFFSET($H$3,0,0,'Données projet'!$E$9+1,1))</f>
        <v>350.25444539178324</v>
      </c>
      <c r="T62" s="59">
        <f t="shared" si="34"/>
        <v>421.51176105448474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35.032305070240938</v>
      </c>
      <c r="AA62" s="21">
        <f>EXP(-LN(2)/25)*AA61+(1-EXP(-LN(2)/25))/(LN(2)/25)*Calculateur!V62*Calculateur!X62*VLOOKUP('Données projet'!$B$9,Paramètres!$A$1:$I$89,3,0)*0.475*44/12</f>
        <v>7.1270934344003507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42.159398504641288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10.4</v>
      </c>
      <c r="AI62" s="13">
        <f>IF('Données projet'!$A$62&gt;35,AI61+AH62-AQ61,IF(A62&lt;'Données projet'!$A$62,$AF$205^A62,IF(A62='Données projet'!$A$62,'Données projet'!$B$62,AI61+AH62-AQ61)))</f>
        <v>613.59999999999945</v>
      </c>
      <c r="AJ62" s="13">
        <f>AI62*VLOOKUP('Données projet'!$B$10,Paramètres!$A$1:$I$89,3,0)*VLOOKUP('Données projet'!$B$10,Paramètres!$A$1:$I$89,5,0)</f>
        <v>303.11839999999978</v>
      </c>
      <c r="AK62" s="13">
        <f t="shared" si="35"/>
        <v>71.829805925571677</v>
      </c>
      <c r="AL62" s="20">
        <f t="shared" si="4"/>
        <v>653.03479198703701</v>
      </c>
      <c r="AM62" s="59">
        <f t="shared" si="5"/>
        <v>946.36812532037038</v>
      </c>
      <c r="AN62" s="59">
        <f ca="1">AVERAGE(OFFSET($AM$3,0,0,'Données projet'!$E$10+1,1))-AVERAGE(OFFSET($H$3,0,0,'Données projet'!$E$10+1,1))</f>
        <v>350.14981500723491</v>
      </c>
      <c r="AO62" s="59">
        <f t="shared" si="36"/>
        <v>270.58548917514111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32.303773559086778</v>
      </c>
      <c r="AV62" s="21">
        <f>EXP(-LN(2)/25)*AV61+(1-EXP(-LN(2)/25))/(LN(2)/25)*Calculateur!AQ62*Calculateur!AS62*VLOOKUP('Données projet'!$B$10,Paramètres!$A$1:$I$89,3,0)*0.475*44/12</f>
        <v>6.8618291448961291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39.165602703982906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236.8</v>
      </c>
      <c r="BE62" s="13">
        <f>BD62*VLOOKUP('Données projet'!$B$11,Paramètres!$A$1:$I$89,3,0)*VLOOKUP('Données projet'!$B$11,Paramètres!$A$1:$I$89,5,0)</f>
        <v>203.17440000000002</v>
      </c>
      <c r="BF62" s="13">
        <f t="shared" si="37"/>
        <v>50.441164098104238</v>
      </c>
      <c r="BG62" s="20">
        <f t="shared" si="7"/>
        <v>441.71377413753157</v>
      </c>
      <c r="BH62" s="59">
        <f t="shared" si="8"/>
        <v>735.04710747086483</v>
      </c>
      <c r="BI62" s="59">
        <f ca="1">AVERAGE(OFFSET($BH$3,0,0,'Données projet'!$E$11+1,1))-AVERAGE(OFFSET($H$3,0,0,'Données projet'!$E$11+1,1))</f>
        <v>359.99244410291516</v>
      </c>
      <c r="BJ62" s="59">
        <f t="shared" si="38"/>
        <v>143.73379124174278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5.7281567258428705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5.7281567258428705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637</v>
      </c>
      <c r="L63" s="12">
        <f>VLOOKUP(A63,'Données projet'!$A$35:$I$55,9,0)</f>
        <v>4.4000000000000004</v>
      </c>
      <c r="M63" s="12">
        <f t="array" ref="M63">INDEX(L:L,MIN(IF(ISNUMBER(L63:L259),ROW(L63:L259),"")))</f>
        <v>4.4000000000000004</v>
      </c>
      <c r="N63" s="13">
        <f>IF('Données projet'!$A$36&gt;35,N62+M63-V62,IF(A63&lt;'Données projet'!$A$36,$K$205^A63,IF(A63='Données projet'!$A$36,'Données projet'!$B$36,N62+M63-V62)))</f>
        <v>636.99999999999989</v>
      </c>
      <c r="O63" s="13">
        <f>N63*VLOOKUP('Données projet'!$B$9,Paramètres!$A$1:$I$89,3,0)*VLOOKUP('Données projet'!$B$9,Paramètres!$A$1:$I$89,5,0)</f>
        <v>356.08299999999997</v>
      </c>
      <c r="P63" s="13">
        <f t="shared" si="33"/>
        <v>82.813805255716545</v>
      </c>
      <c r="Q63" s="20">
        <f t="shared" si="53"/>
        <v>764.41193582037295</v>
      </c>
      <c r="R63" s="59">
        <f t="shared" si="0"/>
        <v>1057.7452691537062</v>
      </c>
      <c r="S63" s="59">
        <f ca="1">AVERAGE(OFFSET($R$3,0,0,'Données projet'!$E$9+1,1))-AVERAGE(OFFSET($H$3,0,0,'Données projet'!$E$9+1,1))</f>
        <v>350.25444539178324</v>
      </c>
      <c r="T63" s="59">
        <f t="shared" si="34"/>
        <v>421.51176105448474</v>
      </c>
      <c r="U63" s="15">
        <f>IF(ISNA(VLOOKUP(A63,'Données projet'!$A$35:$I$55,3,0)),0,VLOOKUP(A63,'Données projet'!$A$35:$I$55,3,0))</f>
        <v>4</v>
      </c>
      <c r="V63" s="15">
        <f>IF(ISNA(VLOOKUP(A63,'Données projet'!$A$35:$I$55,4,0)),0,VLOOKUP(A63,'Données projet'!$A$35:$I$55,4,0))</f>
        <v>637</v>
      </c>
      <c r="W63" s="16">
        <f>IF(ISNA(VLOOKUP(A63,'Données projet'!$A$35:$I$55,5,0)),0%,VLOOKUP(A63,'Données projet'!$A$35:$I$55,5,0)*VLOOKUP('Données projet'!$B$9,Paramètres!$A$1:$I$89,7,0))</f>
        <v>0.44000000000000006</v>
      </c>
      <c r="X63" s="16">
        <f>IF(ISNA(VLOOKUP(A63,'Données projet'!$A$35:$I$55,6,0)),0%,VLOOKUP(A63,'Données projet'!$A$35:$I$55,6,0)*VLOOKUP('Données projet'!$B$9,Paramètres!$A$1:$I$89,7,0))</f>
        <v>0.11000000000000001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242.18684536937195</v>
      </c>
      <c r="AA63" s="21">
        <f>EXP(-LN(2)/25)*AA62+(1-EXP(-LN(2)/25))/(LN(2)/25)*Calculateur!V63*Calculateur!X63*VLOOKUP('Données projet'!$B$9,Paramètres!$A$1:$I$89,3,0)*0.475*44/12</f>
        <v>58.68799050090378</v>
      </c>
      <c r="AB63" s="21">
        <f>EXP(-LN(2)/2)*AB62+(1-EXP(-LN(2)/2))/(LN(2)/2)*V63*Y63*VLOOKUP('Données projet'!$B$9,Paramètres!$A$1:$I$89,3,0)*0.475*44/12</f>
        <v>0</v>
      </c>
      <c r="AC63" s="22">
        <f t="shared" si="3"/>
        <v>300.87483587027572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624</v>
      </c>
      <c r="AG63" s="12">
        <f>VLOOKUP(A63,'Données projet'!$A$61:$I$81,9,0)</f>
        <v>10.4</v>
      </c>
      <c r="AH63" s="12">
        <f t="array" ref="AH63">INDEX(AG:AG,MIN(IF(ISNUMBER(AG63:AG259),ROW(AG63:AG259),"")))</f>
        <v>10.4</v>
      </c>
      <c r="AI63" s="13">
        <f>IF('Données projet'!$A$62&gt;35,AI62+AH63-AQ62,IF(A63&lt;'Données projet'!$A$62,$AF$205^A63,IF(A63='Données projet'!$A$62,'Données projet'!$B$62,AI62+AH63-AQ62)))</f>
        <v>623.99999999999943</v>
      </c>
      <c r="AJ63" s="13">
        <f>AI63*VLOOKUP('Données projet'!$B$10,Paramètres!$A$1:$I$89,3,0)*VLOOKUP('Données projet'!$B$10,Paramètres!$A$1:$I$89,5,0)</f>
        <v>308.25599999999974</v>
      </c>
      <c r="AK63" s="13">
        <f t="shared" si="35"/>
        <v>72.904494055753887</v>
      </c>
      <c r="AL63" s="20">
        <f t="shared" si="4"/>
        <v>663.85452714710425</v>
      </c>
      <c r="AM63" s="59">
        <f t="shared" si="5"/>
        <v>957.18786048043762</v>
      </c>
      <c r="AN63" s="59">
        <f ca="1">AVERAGE(OFFSET($AM$3,0,0,'Données projet'!$E$10+1,1))-AVERAGE(OFFSET($H$3,0,0,'Données projet'!$E$10+1,1))</f>
        <v>350.14981500723491</v>
      </c>
      <c r="AO63" s="59">
        <f t="shared" si="36"/>
        <v>270.58548917514111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187.2</v>
      </c>
      <c r="AR63" s="16">
        <f>IF(ISNA(VLOOKUP(A63,'Données projet'!$A$61:$I$81,5,0)),0%,VLOOKUP(A63,'Données projet'!$A$61:$I$81,5,0)*VLOOKUP('Données projet'!$B$10,Paramètres!$A$1:$I$89,7,0))</f>
        <v>0.44000000000000006</v>
      </c>
      <c r="AS63" s="16">
        <f>IF(ISNA(VLOOKUP(A63,'Données projet'!$A$61:$I$81,6,0)),0%,VLOOKUP(A63,'Données projet'!$A$61:$I$81,6,0)*VLOOKUP('Données projet'!$B$10,Paramètres!$A$1:$I$89,7,0))</f>
        <v>0.11000000000000001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85.647948029377574</v>
      </c>
      <c r="AV63" s="21">
        <f>EXP(-LN(2)/25)*AV62+(1-EXP(-LN(2)/25))/(LN(2)/25)*Calculateur!AQ63*Calculateur!AS63*VLOOKUP('Données projet'!$B$10,Paramètres!$A$1:$I$89,3,0)*0.475*44/12</f>
        <v>20.115467381849435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105.76341541122702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242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242</v>
      </c>
      <c r="BE63" s="13">
        <f>BD63*VLOOKUP('Données projet'!$B$11,Paramètres!$A$1:$I$89,3,0)*VLOOKUP('Données projet'!$B$11,Paramètres!$A$1:$I$89,5,0)</f>
        <v>207.63600000000005</v>
      </c>
      <c r="BF63" s="13">
        <f t="shared" si="37"/>
        <v>51.41865234024965</v>
      </c>
      <c r="BG63" s="20">
        <f t="shared" si="7"/>
        <v>451.18685282593492</v>
      </c>
      <c r="BH63" s="59">
        <f t="shared" si="8"/>
        <v>744.52018615926818</v>
      </c>
      <c r="BI63" s="59">
        <f ca="1">AVERAGE(OFFSET($BH$3,0,0,'Données projet'!$E$11+1,1))-AVERAGE(OFFSET($H$3,0,0,'Données projet'!$E$11+1,1))</f>
        <v>359.99244410291516</v>
      </c>
      <c r="BJ63" s="59">
        <f t="shared" si="38"/>
        <v>143.73379124174278</v>
      </c>
      <c r="BK63" s="15">
        <f>IF(ISNA(VLOOKUP(A63,'Données projet'!$A$87:$I$107,3,0)),0,VLOOKUP(A63,'Données projet'!$A$87:$I$107,3,0))</f>
        <v>3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0.26500000000000001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12.6536534717231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12.6536534717231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350.25444539178324</v>
      </c>
      <c r="T64" s="59">
        <f t="shared" si="34"/>
        <v>421.51176105448474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237.43770905106817</v>
      </c>
      <c r="AA64" s="21">
        <f>EXP(-LN(2)/25)*AA63+(1-EXP(-LN(2)/25))/(LN(2)/25)*Calculateur!V64*Calculateur!X64*VLOOKUP('Données projet'!$B$9,Paramètres!$A$1:$I$89,3,0)*0.475*44/12</f>
        <v>57.083164314389279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294.52087336545742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47.239999999999995</v>
      </c>
      <c r="AI64" s="13">
        <f>IF('Données projet'!$A$62&gt;35,AI63+AH64-AQ63,IF(A64&lt;'Données projet'!$A$62,$AF$205^A64,IF(A64='Données projet'!$A$62,'Données projet'!$B$62,AI63+AH64-AQ63)))</f>
        <v>484.03999999999945</v>
      </c>
      <c r="AJ64" s="13">
        <f>AI64*VLOOKUP('Données projet'!$B$10,Paramètres!$A$1:$I$89,3,0)*VLOOKUP('Données projet'!$B$10,Paramètres!$A$1:$I$89,5,0)</f>
        <v>239.11575999999971</v>
      </c>
      <c r="AK64" s="13">
        <f t="shared" si="35"/>
        <v>58.249241088040691</v>
      </c>
      <c r="AL64" s="20">
        <f t="shared" si="4"/>
        <v>517.91071022833705</v>
      </c>
      <c r="AM64" s="59">
        <f t="shared" si="5"/>
        <v>811.24404356167042</v>
      </c>
      <c r="AN64" s="59">
        <f ca="1">AVERAGE(OFFSET($AM$3,0,0,'Données projet'!$E$10+1,1))-AVERAGE(OFFSET($H$3,0,0,'Données projet'!$E$10+1,1))</f>
        <v>350.14981500723491</v>
      </c>
      <c r="AO64" s="59">
        <f t="shared" si="36"/>
        <v>270.58548917514111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83.968444008611499</v>
      </c>
      <c r="AV64" s="21">
        <f>EXP(-LN(2)/25)*AV63+(1-EXP(-LN(2)/25))/(LN(2)/25)*Calculateur!AQ64*Calculateur!AS64*VLOOKUP('Données projet'!$B$10,Paramètres!$A$1:$I$89,3,0)*0.475*44/12</f>
        <v>19.565408868466307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103.53385287707781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10.4</v>
      </c>
      <c r="BD64" s="12">
        <f>IF('Données projet'!$A$88&gt;35,BD63+BC64-BL63,IF(A64&lt;'Données projet'!$A$88,$BA$205^A64,IF(A64='Données projet'!$A$88,'Données projet'!$B$88,BD63+BC64-BL63)))</f>
        <v>224.4</v>
      </c>
      <c r="BE64" s="13">
        <f>BD64*VLOOKUP('Données projet'!$B$11,Paramètres!$A$1:$I$89,3,0)*VLOOKUP('Données projet'!$B$11,Paramètres!$A$1:$I$89,5,0)</f>
        <v>192.53520000000003</v>
      </c>
      <c r="BF64" s="13">
        <f t="shared" si="37"/>
        <v>48.100016456123079</v>
      </c>
      <c r="BG64" s="20">
        <f t="shared" si="7"/>
        <v>419.10633532774773</v>
      </c>
      <c r="BH64" s="59">
        <f t="shared" si="8"/>
        <v>712.43966866108099</v>
      </c>
      <c r="BI64" s="59">
        <f ca="1">AVERAGE(OFFSET($BH$3,0,0,'Données projet'!$E$11+1,1))-AVERAGE(OFFSET($H$3,0,0,'Données projet'!$E$11+1,1))</f>
        <v>359.99244410291516</v>
      </c>
      <c r="BJ64" s="59">
        <f t="shared" si="38"/>
        <v>143.73379124174278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12.405523045109142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12.405523045109142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350.25444539178324</v>
      </c>
      <c r="T65" s="59">
        <f t="shared" si="34"/>
        <v>421.51176105448474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232.7817003992792</v>
      </c>
      <c r="AA65" s="21">
        <f>EXP(-LN(2)/25)*AA64+(1-EXP(-LN(2)/25))/(LN(2)/25)*Calculateur!V65*Calculateur!X65*VLOOKUP('Données projet'!$B$9,Paramètres!$A$1:$I$89,3,0)*0.475*44/12</f>
        <v>55.522222184339157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288.30392258361837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47.239999999999995</v>
      </c>
      <c r="AI65" s="13">
        <f>IF('Données projet'!$A$62&gt;35,AI64+AH65-AQ64,IF(A65&lt;'Données projet'!$A$62,$AF$205^A65,IF(A65='Données projet'!$A$62,'Données projet'!$B$62,AI64+AH65-AQ64)))</f>
        <v>531.2799999999994</v>
      </c>
      <c r="AJ65" s="13">
        <f>AI65*VLOOKUP('Données projet'!$B$10,Paramètres!$A$1:$I$89,3,0)*VLOOKUP('Données projet'!$B$10,Paramètres!$A$1:$I$89,5,0)</f>
        <v>262.4523199999997</v>
      </c>
      <c r="AK65" s="13">
        <f t="shared" si="35"/>
        <v>63.244827530166781</v>
      </c>
      <c r="AL65" s="20">
        <f t="shared" si="4"/>
        <v>567.25586528170663</v>
      </c>
      <c r="AM65" s="59">
        <f t="shared" si="5"/>
        <v>860.58919861504</v>
      </c>
      <c r="AN65" s="59">
        <f ca="1">AVERAGE(OFFSET($AM$3,0,0,'Données projet'!$E$10+1,1))-AVERAGE(OFFSET($H$3,0,0,'Données projet'!$E$10+1,1))</f>
        <v>350.14981500723491</v>
      </c>
      <c r="AO65" s="59">
        <f t="shared" si="36"/>
        <v>270.58548917514111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82.32187403729634</v>
      </c>
      <c r="AV65" s="21">
        <f>EXP(-LN(2)/25)*AV64+(1-EXP(-LN(2)/25))/(LN(2)/25)*Calculateur!AQ65*Calculateur!AS65*VLOOKUP('Données projet'!$B$10,Paramètres!$A$1:$I$89,3,0)*0.475*44/12</f>
        <v>19.030391734057961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101.3522657713543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10.4</v>
      </c>
      <c r="BD65" s="12">
        <f>IF('Données projet'!$A$88&gt;35,BD64+BC65-BL64,IF(A65&lt;'Données projet'!$A$88,$BA$205^A65,IF(A65='Données projet'!$A$88,'Données projet'!$B$88,BD64+BC65-BL64)))</f>
        <v>234.8</v>
      </c>
      <c r="BE65" s="13">
        <f>BD65*VLOOKUP('Données projet'!$B$11,Paramètres!$A$1:$I$89,3,0)*VLOOKUP('Données projet'!$B$11,Paramètres!$A$1:$I$89,5,0)</f>
        <v>201.45840000000004</v>
      </c>
      <c r="BF65" s="13">
        <f t="shared" si="37"/>
        <v>50.06454424812771</v>
      </c>
      <c r="BG65" s="20">
        <f t="shared" si="7"/>
        <v>438.06912789882244</v>
      </c>
      <c r="BH65" s="59">
        <f t="shared" si="8"/>
        <v>731.4024612321557</v>
      </c>
      <c r="BI65" s="59">
        <f ca="1">AVERAGE(OFFSET($BH$3,0,0,'Données projet'!$E$11+1,1))-AVERAGE(OFFSET($H$3,0,0,'Données projet'!$E$11+1,1))</f>
        <v>359.99244410291516</v>
      </c>
      <c r="BJ65" s="59">
        <f t="shared" si="38"/>
        <v>143.73379124174278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12.162258304816467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12.162258304816467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350.25444539178324</v>
      </c>
      <c r="T66" s="59">
        <f t="shared" si="34"/>
        <v>421.51176105448474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228.21699323726693</v>
      </c>
      <c r="AA66" s="21">
        <f>EXP(-LN(2)/25)*AA65+(1-EXP(-LN(2)/25))/(LN(2)/25)*Calculateur!V66*Calculateur!X66*VLOOKUP('Données projet'!$B$9,Paramètres!$A$1:$I$89,3,0)*0.475*44/12</f>
        <v>54.003964098921635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282.22095733618858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47.239999999999995</v>
      </c>
      <c r="AI66" s="13">
        <f>IF('Données projet'!$A$62&gt;35,AI65+AH66-AQ65,IF(A66&lt;'Données projet'!$A$62,$AF$205^A66,IF(A66='Données projet'!$A$62,'Données projet'!$B$62,AI65+AH66-AQ65)))</f>
        <v>578.51999999999941</v>
      </c>
      <c r="AJ66" s="13">
        <f>AI66*VLOOKUP('Données projet'!$B$10,Paramètres!$A$1:$I$89,3,0)*VLOOKUP('Données projet'!$B$10,Paramètres!$A$1:$I$89,5,0)</f>
        <v>285.78887999999972</v>
      </c>
      <c r="AK66" s="13">
        <f t="shared" si="35"/>
        <v>68.188904822329775</v>
      </c>
      <c r="AL66" s="20">
        <f t="shared" si="4"/>
        <v>616.51130856555721</v>
      </c>
      <c r="AM66" s="59">
        <f t="shared" si="5"/>
        <v>909.84464189889059</v>
      </c>
      <c r="AN66" s="59">
        <f ca="1">AVERAGE(OFFSET($AM$3,0,0,'Données projet'!$E$10+1,1))-AVERAGE(OFFSET($H$3,0,0,'Données projet'!$E$10+1,1))</f>
        <v>350.14981500723491</v>
      </c>
      <c r="AO66" s="59">
        <f t="shared" si="36"/>
        <v>270.58548917514111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80.707592298810155</v>
      </c>
      <c r="AV66" s="21">
        <f>EXP(-LN(2)/25)*AV65+(1-EXP(-LN(2)/25))/(LN(2)/25)*Calculateur!AQ66*Calculateur!AS66*VLOOKUP('Données projet'!$B$10,Paramètres!$A$1:$I$89,3,0)*0.475*44/12</f>
        <v>18.510004671325341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99.217596970135503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10.4</v>
      </c>
      <c r="BD66" s="12">
        <f>IF('Données projet'!$A$88&gt;35,BD65+BC66-BL65,IF(A66&lt;'Données projet'!$A$88,$BA$205^A66,IF(A66='Données projet'!$A$88,'Données projet'!$B$88,BD65+BC66-BL65)))</f>
        <v>245.20000000000002</v>
      </c>
      <c r="BE66" s="13">
        <f>BD66*VLOOKUP('Données projet'!$B$11,Paramètres!$A$1:$I$89,3,0)*VLOOKUP('Données projet'!$B$11,Paramètres!$A$1:$I$89,5,0)</f>
        <v>210.38160000000002</v>
      </c>
      <c r="BF66" s="13">
        <f t="shared" si="37"/>
        <v>52.018966086123704</v>
      </c>
      <c r="BG66" s="20">
        <f t="shared" si="7"/>
        <v>457.0143192666655</v>
      </c>
      <c r="BH66" s="59">
        <f t="shared" si="8"/>
        <v>750.34765259999881</v>
      </c>
      <c r="BI66" s="59">
        <f ca="1">AVERAGE(OFFSET($BH$3,0,0,'Données projet'!$E$11+1,1))-AVERAGE(OFFSET($H$3,0,0,'Données projet'!$E$11+1,1))</f>
        <v>359.99244410291516</v>
      </c>
      <c r="BJ66" s="59">
        <f t="shared" si="38"/>
        <v>143.73379124174278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11.92376383770409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11.92376383770409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350.25444539178324</v>
      </c>
      <c r="T67" s="59">
        <f t="shared" si="34"/>
        <v>421.51176105448474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223.74179719850528</v>
      </c>
      <c r="AA67" s="21">
        <f>EXP(-LN(2)/25)*AA66+(1-EXP(-LN(2)/25))/(LN(2)/25)*Calculateur!V67*Calculateur!X67*VLOOKUP('Données projet'!$B$9,Paramètres!$A$1:$I$89,3,0)*0.475*44/12</f>
        <v>52.52722286069158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276.26902005919686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47.239999999999995</v>
      </c>
      <c r="AI67" s="13">
        <f>IF('Données projet'!$A$62&gt;35,AI66+AH67-AQ66,IF(A67&lt;'Données projet'!$A$62,$AF$205^A67,IF(A67='Données projet'!$A$62,'Données projet'!$B$62,AI66+AH67-AQ66)))</f>
        <v>625.75999999999942</v>
      </c>
      <c r="AJ67" s="13">
        <f>AI67*VLOOKUP('Données projet'!$B$10,Paramètres!$A$1:$I$89,3,0)*VLOOKUP('Données projet'!$B$10,Paramètres!$A$1:$I$89,5,0)</f>
        <v>309.12543999999974</v>
      </c>
      <c r="AK67" s="13">
        <f t="shared" si="35"/>
        <v>73.086157215370179</v>
      </c>
      <c r="AL67" s="20">
        <f t="shared" si="4"/>
        <v>665.68519848343601</v>
      </c>
      <c r="AM67" s="59">
        <f t="shared" si="5"/>
        <v>959.01853181676938</v>
      </c>
      <c r="AN67" s="59">
        <f ca="1">AVERAGE(OFFSET($AM$3,0,0,'Données projet'!$E$10+1,1))-AVERAGE(OFFSET($H$3,0,0,'Données projet'!$E$10+1,1))</f>
        <v>350.14981500723491</v>
      </c>
      <c r="AO67" s="59">
        <f t="shared" si="36"/>
        <v>270.58548917514111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79.124965640601047</v>
      </c>
      <c r="AV67" s="21">
        <f>EXP(-LN(2)/25)*AV66+(1-EXP(-LN(2)/25))/(LN(2)/25)*Calculateur!AQ67*Calculateur!AS67*VLOOKUP('Données projet'!$B$10,Paramètres!$A$1:$I$89,3,0)*0.475*44/12</f>
        <v>18.003847620189109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97.128813260790153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10.4</v>
      </c>
      <c r="BD67" s="12">
        <f>IF('Données projet'!$A$88&gt;35,BD66+BC67-BL66,IF(A67&lt;'Données projet'!$A$88,$BA$205^A67,IF(A67='Données projet'!$A$88,'Données projet'!$B$88,BD66+BC67-BL66)))</f>
        <v>255.60000000000002</v>
      </c>
      <c r="BE67" s="13">
        <f>BD67*VLOOKUP('Données projet'!$B$11,Paramètres!$A$1:$I$89,3,0)*VLOOKUP('Données projet'!$B$11,Paramètres!$A$1:$I$89,5,0)</f>
        <v>219.30480000000003</v>
      </c>
      <c r="BF67" s="13">
        <f t="shared" si="37"/>
        <v>53.963759613923663</v>
      </c>
      <c r="BG67" s="20">
        <f t="shared" si="7"/>
        <v>475.94274132758369</v>
      </c>
      <c r="BH67" s="59">
        <f t="shared" si="8"/>
        <v>769.27607466091695</v>
      </c>
      <c r="BI67" s="59">
        <f ca="1">AVERAGE(OFFSET($BH$3,0,0,'Données projet'!$E$11+1,1))-AVERAGE(OFFSET($H$3,0,0,'Données projet'!$E$11+1,1))</f>
        <v>359.99244410291516</v>
      </c>
      <c r="BJ67" s="59">
        <f t="shared" si="38"/>
        <v>143.73379124174278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11.689946101624527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11.689946101624527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350.25444539178324</v>
      </c>
      <c r="T68" s="59">
        <f t="shared" si="34"/>
        <v>421.51176105448474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219.3543570244637</v>
      </c>
      <c r="AA68" s="21">
        <f>EXP(-LN(2)/25)*AA67+(1-EXP(-LN(2)/25))/(LN(2)/25)*Calculateur!V68*Calculateur!X68*VLOOKUP('Données projet'!$B$9,Paramètres!$A$1:$I$89,3,0)*0.475*44/12</f>
        <v>51.090863189279368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270.44522021374308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673</v>
      </c>
      <c r="AG68" s="12">
        <f>VLOOKUP(A68,'Données projet'!$A$61:$I$81,9,0)</f>
        <v>47.239999999999995</v>
      </c>
      <c r="AH68" s="12">
        <f t="array" ref="AH68">INDEX(AG:AG,MIN(IF(ISNUMBER(AG68:AG264),ROW(AG68:AG264),"")))</f>
        <v>47.239999999999995</v>
      </c>
      <c r="AI68" s="13">
        <f>IF('Données projet'!$A$62&gt;35,AI67+AH68-AQ67,IF(A68&lt;'Données projet'!$A$62,$AF$205^A68,IF(A68='Données projet'!$A$62,'Données projet'!$B$62,AI67+AH68-AQ67)))</f>
        <v>672.99999999999943</v>
      </c>
      <c r="AJ68" s="13">
        <f>AI68*VLOOKUP('Données projet'!$B$10,Paramètres!$A$1:$I$89,3,0)*VLOOKUP('Données projet'!$B$10,Paramètres!$A$1:$I$89,5,0)</f>
        <v>332.4619999999997</v>
      </c>
      <c r="AK68" s="13">
        <f t="shared" si="35"/>
        <v>77.940521563922275</v>
      </c>
      <c r="AL68" s="20">
        <f t="shared" ref="AL68:AL131" si="58">(AJ68+AK68)*0.475*44/12</f>
        <v>714.78439172383071</v>
      </c>
      <c r="AM68" s="59">
        <f t="shared" ref="AM68:AM131" si="59">AL68+(AD68+AE68)*44/12</f>
        <v>1008.1177250571641</v>
      </c>
      <c r="AN68" s="59">
        <f ca="1">AVERAGE(OFFSET($AM$3,0,0,'Données projet'!$E$10+1,1))-AVERAGE(OFFSET($H$3,0,0,'Données projet'!$E$10+1,1))</f>
        <v>350.14981500723491</v>
      </c>
      <c r="AO68" s="59">
        <f t="shared" si="36"/>
        <v>270.58548917514111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77.573373325852472</v>
      </c>
      <c r="AV68" s="21">
        <f>EXP(-LN(2)/25)*AV67+(1-EXP(-LN(2)/25))/(LN(2)/25)*Calculateur!AQ68*Calculateur!AS68*VLOOKUP('Données projet'!$B$10,Paramètres!$A$1:$I$89,3,0)*0.475*44/12</f>
        <v>17.51153146023384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95.084904786086312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266</v>
      </c>
      <c r="BB68" s="12">
        <f>VLOOKUP(A68,'Données projet'!$A$87:$I$107,9,0)</f>
        <v>10.4</v>
      </c>
      <c r="BC68" s="12">
        <f t="array" ref="BC68">INDEX(BB:BB,MIN(IF(ISNUMBER(BB68:BB264),ROW(BB68:BB264),"")))</f>
        <v>10.4</v>
      </c>
      <c r="BD68" s="12">
        <f>IF('Données projet'!$A$88&gt;35,BD67+BC68-BL67,IF(A68&lt;'Données projet'!$A$88,$BA$205^A68,IF(A68='Données projet'!$A$88,'Données projet'!$B$88,BD67+BC68-BL67)))</f>
        <v>266</v>
      </c>
      <c r="BE68" s="13">
        <f>BD68*VLOOKUP('Données projet'!$B$11,Paramètres!$A$1:$I$89,3,0)*VLOOKUP('Données projet'!$B$11,Paramètres!$A$1:$I$89,5,0)</f>
        <v>228.22800000000004</v>
      </c>
      <c r="BF68" s="13">
        <f t="shared" si="37"/>
        <v>55.899361406374481</v>
      </c>
      <c r="BG68" s="20">
        <f t="shared" ref="BG68:BG131" si="61">(BE68+BF68)*0.475*44/12</f>
        <v>494.85515444943559</v>
      </c>
      <c r="BH68" s="59">
        <f t="shared" ref="BH68:BH131" si="62">BG68+(AY68+AZ68)*44/12</f>
        <v>788.1884877827689</v>
      </c>
      <c r="BI68" s="59">
        <f ca="1">AVERAGE(OFFSET($BH$3,0,0,'Données projet'!$E$11+1,1))-AVERAGE(OFFSET($H$3,0,0,'Données projet'!$E$11+1,1))</f>
        <v>359.99244410291516</v>
      </c>
      <c r="BJ68" s="59">
        <f t="shared" si="38"/>
        <v>143.73379124174278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11.460713388734746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11.460713388734746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350.25444539178324</v>
      </c>
      <c r="T69" s="59">
        <f t="shared" ref="T69:T132" si="88">$T$3</f>
        <v>421.51176105448474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215.05295187616079</v>
      </c>
      <c r="AA69" s="21">
        <f>EXP(-LN(2)/25)*AA68+(1-EXP(-LN(2)/25))/(LN(2)/25)*Calculateur!V69*Calculateur!X69*VLOOKUP('Données projet'!$B$9,Paramètres!$A$1:$I$89,3,0)*0.475*44/12</f>
        <v>49.693780848616797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264.74673272477759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8.8000000000000007</v>
      </c>
      <c r="AI69" s="13">
        <f>IF('Données projet'!$A$62&gt;35,AI68+AH69-AQ68,IF(A69&lt;'Données projet'!$A$62,$AF$205^A69,IF(A69='Données projet'!$A$62,'Données projet'!$B$62,AI68+AH69-AQ68)))</f>
        <v>681.79999999999939</v>
      </c>
      <c r="AJ69" s="13">
        <f>AI69*VLOOKUP('Données projet'!$B$10,Paramètres!$A$1:$I$89,3,0)*VLOOKUP('Données projet'!$B$10,Paramètres!$A$1:$I$89,5,0)</f>
        <v>336.80919999999975</v>
      </c>
      <c r="AK69" s="13">
        <f t="shared" ref="AK69:AK132" si="89">EXP(-1.0587+0.8836*LN(AJ69)+0.284)</f>
        <v>78.840345606019952</v>
      </c>
      <c r="AL69" s="20">
        <f t="shared" si="58"/>
        <v>723.92295859715102</v>
      </c>
      <c r="AM69" s="59">
        <f t="shared" si="59"/>
        <v>1017.2562919304844</v>
      </c>
      <c r="AN69" s="59">
        <f ca="1">AVERAGE(OFFSET($AM$3,0,0,'Données projet'!$E$10+1,1))-AVERAGE(OFFSET($H$3,0,0,'Données projet'!$E$10+1,1))</f>
        <v>350.14981500723491</v>
      </c>
      <c r="AO69" s="59">
        <f t="shared" ref="AO69:AO132" si="90">$AO$3</f>
        <v>270.58548917514111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76.052206790018261</v>
      </c>
      <c r="AV69" s="21">
        <f>EXP(-LN(2)/25)*AV68+(1-EXP(-LN(2)/25))/(LN(2)/25)*Calculateur!AQ69*Calculateur!AS69*VLOOKUP('Données projet'!$B$10,Paramètres!$A$1:$I$89,3,0)*0.475*44/12</f>
        <v>17.032677711562329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93.084884501580589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4.4000000000000004</v>
      </c>
      <c r="BD69" s="12">
        <f>IF('Données projet'!$A$88&gt;35,BD68+BC69-BL68,IF(A69&lt;'Données projet'!$A$88,$BA$205^A69,IF(A69='Données projet'!$A$88,'Données projet'!$B$88,BD68+BC69-BL68)))</f>
        <v>270.39999999999998</v>
      </c>
      <c r="BE69" s="13">
        <f>BD69*VLOOKUP('Données projet'!$B$11,Paramètres!$A$1:$I$89,3,0)*VLOOKUP('Données projet'!$B$11,Paramètres!$A$1:$I$89,5,0)</f>
        <v>232.00319999999999</v>
      </c>
      <c r="BF69" s="13">
        <f t="shared" ref="BF69:BF132" si="91">EXP(-1.0587+0.8836*LN(BE69)+0.284)</f>
        <v>56.715601357749442</v>
      </c>
      <c r="BG69" s="20">
        <f t="shared" si="61"/>
        <v>502.85191236474697</v>
      </c>
      <c r="BH69" s="59">
        <f t="shared" si="62"/>
        <v>796.18524569808028</v>
      </c>
      <c r="BI69" s="59">
        <f ca="1">AVERAGE(OFFSET($BH$3,0,0,'Données projet'!$E$11+1,1))-AVERAGE(OFFSET($H$3,0,0,'Données projet'!$E$11+1,1))</f>
        <v>359.99244410291516</v>
      </c>
      <c r="BJ69" s="59">
        <f t="shared" ref="BJ69:BJ132" si="92">$BJ$3</f>
        <v>143.73379124174278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11.235975789526586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11.235975789526586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350.25444539178324</v>
      </c>
      <c r="T70" s="59">
        <f t="shared" si="88"/>
        <v>421.51176105448474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210.83589465921801</v>
      </c>
      <c r="AA70" s="21">
        <f>EXP(-LN(2)/25)*AA69+(1-EXP(-LN(2)/25))/(LN(2)/25)*Calculateur!V70*Calculateur!X70*VLOOKUP('Données projet'!$B$9,Paramètres!$A$1:$I$89,3,0)*0.475*44/12</f>
        <v>48.334901798029016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259.17079645724704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8.8000000000000007</v>
      </c>
      <c r="AI70" s="13">
        <f>IF('Données projet'!$A$62&gt;35,AI69+AH70-AQ69,IF(A70&lt;'Données projet'!$A$62,$AF$205^A70,IF(A70='Données projet'!$A$62,'Données projet'!$B$62,AI69+AH70-AQ69)))</f>
        <v>690.59999999999934</v>
      </c>
      <c r="AJ70" s="13">
        <f>AI70*VLOOKUP('Données projet'!$B$10,Paramètres!$A$1:$I$89,3,0)*VLOOKUP('Données projet'!$B$10,Paramètres!$A$1:$I$89,5,0)</f>
        <v>341.15639999999973</v>
      </c>
      <c r="AK70" s="13">
        <f t="shared" si="89"/>
        <v>79.738818749356156</v>
      </c>
      <c r="AL70" s="20">
        <f t="shared" si="58"/>
        <v>733.05917265512824</v>
      </c>
      <c r="AM70" s="59">
        <f t="shared" si="59"/>
        <v>1026.3925059884616</v>
      </c>
      <c r="AN70" s="59">
        <f ca="1">AVERAGE(OFFSET($AM$3,0,0,'Données projet'!$E$10+1,1))-AVERAGE(OFFSET($H$3,0,0,'Données projet'!$E$10+1,1))</f>
        <v>350.14981500723491</v>
      </c>
      <c r="AO70" s="59">
        <f t="shared" si="90"/>
        <v>270.58548917514111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74.560869402131786</v>
      </c>
      <c r="AV70" s="21">
        <f>EXP(-LN(2)/25)*AV69+(1-EXP(-LN(2)/25))/(LN(2)/25)*Calculateur!AQ70*Calculateur!AS70*VLOOKUP('Données projet'!$B$10,Paramètres!$A$1:$I$89,3,0)*0.475*44/12</f>
        <v>16.566918243830063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91.127787645961845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4.4000000000000004</v>
      </c>
      <c r="BD70" s="12">
        <f>IF('Données projet'!$A$88&gt;35,BD69+BC70-BL69,IF(A70&lt;'Données projet'!$A$88,$BA$205^A70,IF(A70='Données projet'!$A$88,'Données projet'!$B$88,BD69+BC70-BL69)))</f>
        <v>274.79999999999995</v>
      </c>
      <c r="BE70" s="13">
        <f>BD70*VLOOKUP('Données projet'!$B$11,Paramètres!$A$1:$I$89,3,0)*VLOOKUP('Données projet'!$B$11,Paramètres!$A$1:$I$89,5,0)</f>
        <v>235.77839999999998</v>
      </c>
      <c r="BF70" s="13">
        <f t="shared" si="91"/>
        <v>57.530296674196421</v>
      </c>
      <c r="BG70" s="20">
        <f t="shared" si="61"/>
        <v>510.84598004089213</v>
      </c>
      <c r="BH70" s="59">
        <f t="shared" si="62"/>
        <v>804.17931337422544</v>
      </c>
      <c r="BI70" s="59">
        <f ca="1">AVERAGE(OFFSET($BH$3,0,0,'Données projet'!$E$11+1,1))-AVERAGE(OFFSET($H$3,0,0,'Données projet'!$E$11+1,1))</f>
        <v>359.99244410291516</v>
      </c>
      <c r="BJ70" s="59">
        <f t="shared" si="92"/>
        <v>143.73379124174278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11.015645157562497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11.015645157562497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350.25444539178324</v>
      </c>
      <c r="T71" s="59">
        <f t="shared" si="88"/>
        <v>421.51176105448474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206.70153136214856</v>
      </c>
      <c r="AA71" s="21">
        <f>EXP(-LN(2)/25)*AA70+(1-EXP(-LN(2)/25))/(LN(2)/25)*Calculateur!V71*Calculateur!X71*VLOOKUP('Données projet'!$B$9,Paramètres!$A$1:$I$89,3,0)*0.475*44/12</f>
        <v>47.013181366539897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253.71471272868845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8.8000000000000007</v>
      </c>
      <c r="AI71" s="13">
        <f>IF('Données projet'!$A$62&gt;35,AI70+AH71-AQ70,IF(A71&lt;'Données projet'!$A$62,$AF$205^A71,IF(A71='Données projet'!$A$62,'Données projet'!$B$62,AI70+AH71-AQ70)))</f>
        <v>699.3999999999993</v>
      </c>
      <c r="AJ71" s="13">
        <f>AI71*VLOOKUP('Données projet'!$B$10,Paramètres!$A$1:$I$89,3,0)*VLOOKUP('Données projet'!$B$10,Paramètres!$A$1:$I$89,5,0)</f>
        <v>345.50359999999961</v>
      </c>
      <c r="AK71" s="13">
        <f t="shared" si="89"/>
        <v>80.635960198312631</v>
      </c>
      <c r="AL71" s="20">
        <f t="shared" si="58"/>
        <v>742.19306734539384</v>
      </c>
      <c r="AM71" s="59">
        <f t="shared" si="59"/>
        <v>1035.5264006787272</v>
      </c>
      <c r="AN71" s="59">
        <f ca="1">AVERAGE(OFFSET($AM$3,0,0,'Données projet'!$E$10+1,1))-AVERAGE(OFFSET($H$3,0,0,'Données projet'!$E$10+1,1))</f>
        <v>350.14981500723491</v>
      </c>
      <c r="AO71" s="59">
        <f t="shared" si="90"/>
        <v>270.58548917514111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73.098776230795778</v>
      </c>
      <c r="AV71" s="21">
        <f>EXP(-LN(2)/25)*AV70+(1-EXP(-LN(2)/25))/(LN(2)/25)*Calculateur!AQ71*Calculateur!AS71*VLOOKUP('Données projet'!$B$10,Paramètres!$A$1:$I$89,3,0)*0.475*44/12</f>
        <v>16.113894993236165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89.212671224031936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4.4000000000000004</v>
      </c>
      <c r="BD71" s="12">
        <f>IF('Données projet'!$A$88&gt;35,BD70+BC71-BL70,IF(A71&lt;'Données projet'!$A$88,$BA$205^A71,IF(A71='Données projet'!$A$88,'Données projet'!$B$88,BD70+BC71-BL70)))</f>
        <v>279.19999999999993</v>
      </c>
      <c r="BE71" s="13">
        <f>BD71*VLOOKUP('Données projet'!$B$11,Paramètres!$A$1:$I$89,3,0)*VLOOKUP('Données projet'!$B$11,Paramètres!$A$1:$I$89,5,0)</f>
        <v>239.55359999999996</v>
      </c>
      <c r="BF71" s="13">
        <f t="shared" si="91"/>
        <v>58.343474943343601</v>
      </c>
      <c r="BG71" s="20">
        <f t="shared" si="61"/>
        <v>518.83740552632332</v>
      </c>
      <c r="BH71" s="59">
        <f t="shared" si="62"/>
        <v>812.17073885965669</v>
      </c>
      <c r="BI71" s="59">
        <f ca="1">AVERAGE(OFFSET($BH$3,0,0,'Données projet'!$E$11+1,1))-AVERAGE(OFFSET($H$3,0,0,'Données projet'!$E$11+1,1))</f>
        <v>359.99244410291516</v>
      </c>
      <c r="BJ71" s="59">
        <f t="shared" si="92"/>
        <v>143.73379124174278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10.799635074902808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10.799635074902808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350.25444539178324</v>
      </c>
      <c r="T72" s="59">
        <f t="shared" si="88"/>
        <v>421.51176105448474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202.64824040762204</v>
      </c>
      <c r="AA72" s="21">
        <f>EXP(-LN(2)/25)*AA71+(1-EXP(-LN(2)/25))/(LN(2)/25)*Calculateur!V72*Calculateur!X72*VLOOKUP('Données projet'!$B$9,Paramètres!$A$1:$I$89,3,0)*0.475*44/12</f>
        <v>45.727603449756103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248.37584385737813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8.8000000000000007</v>
      </c>
      <c r="AI72" s="13">
        <f>IF('Données projet'!$A$62&gt;35,AI71+AH72-AQ71,IF(A72&lt;'Données projet'!$A$62,$AF$205^A72,IF(A72='Données projet'!$A$62,'Données projet'!$B$62,AI71+AH72-AQ71)))</f>
        <v>708.19999999999925</v>
      </c>
      <c r="AJ72" s="13">
        <f>AI72*VLOOKUP('Données projet'!$B$10,Paramètres!$A$1:$I$89,3,0)*VLOOKUP('Données projet'!$B$10,Paramètres!$A$1:$I$89,5,0)</f>
        <v>349.85079999999965</v>
      </c>
      <c r="AK72" s="13">
        <f t="shared" si="89"/>
        <v>81.531788646211893</v>
      </c>
      <c r="AL72" s="20">
        <f t="shared" si="58"/>
        <v>751.32467522548507</v>
      </c>
      <c r="AM72" s="59">
        <f t="shared" si="59"/>
        <v>1044.6580085588184</v>
      </c>
      <c r="AN72" s="59">
        <f ca="1">AVERAGE(OFFSET($AM$3,0,0,'Données projet'!$E$10+1,1))-AVERAGE(OFFSET($H$3,0,0,'Données projet'!$E$10+1,1))</f>
        <v>350.14981500723491</v>
      </c>
      <c r="AO72" s="59">
        <f t="shared" si="90"/>
        <v>270.58548917514111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71.665353814760891</v>
      </c>
      <c r="AV72" s="21">
        <f>EXP(-LN(2)/25)*AV71+(1-EXP(-LN(2)/25))/(LN(2)/25)*Calculateur!AQ72*Calculateur!AS72*VLOOKUP('Données projet'!$B$10,Paramètres!$A$1:$I$89,3,0)*0.475*44/12</f>
        <v>15.673259687253214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87.338613502014113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4.4000000000000004</v>
      </c>
      <c r="BD72" s="12">
        <f>IF('Données projet'!$A$88&gt;35,BD71+BC72-BL71,IF(A72&lt;'Données projet'!$A$88,$BA$205^A72,IF(A72='Données projet'!$A$88,'Données projet'!$B$88,BD71+BC72-BL71)))</f>
        <v>283.59999999999991</v>
      </c>
      <c r="BE72" s="13">
        <f>BD72*VLOOKUP('Données projet'!$B$11,Paramètres!$A$1:$I$89,3,0)*VLOOKUP('Données projet'!$B$11,Paramètres!$A$1:$I$89,5,0)</f>
        <v>243.32879999999994</v>
      </c>
      <c r="BF72" s="13">
        <f t="shared" si="91"/>
        <v>59.155162833418565</v>
      </c>
      <c r="BG72" s="20">
        <f t="shared" si="61"/>
        <v>526.82623526820385</v>
      </c>
      <c r="BH72" s="59">
        <f t="shared" si="62"/>
        <v>820.1595686015371</v>
      </c>
      <c r="BI72" s="59">
        <f ca="1">AVERAGE(OFFSET($BH$3,0,0,'Données projet'!$E$11+1,1))-AVERAGE(OFFSET($H$3,0,0,'Données projet'!$E$11+1,1))</f>
        <v>359.99244410291516</v>
      </c>
      <c r="BJ72" s="59">
        <f t="shared" si="92"/>
        <v>143.73379124174278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10.587860818210935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10.587860818210935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350.25444539178324</v>
      </c>
      <c r="T73" s="59">
        <f t="shared" si="88"/>
        <v>421.51176105448474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198.67443201645042</v>
      </c>
      <c r="AA73" s="21">
        <f>EXP(-LN(2)/25)*AA72+(1-EXP(-LN(2)/25))/(LN(2)/25)*Calculateur!V73*Calculateur!X73*VLOOKUP('Données projet'!$B$9,Paramètres!$A$1:$I$89,3,0)*0.475*44/12</f>
        <v>44.477179728712372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243.1516117451628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717</v>
      </c>
      <c r="AG73" s="12">
        <f>VLOOKUP(A73,'Données projet'!$A$61:$I$81,9,0)</f>
        <v>8.8000000000000007</v>
      </c>
      <c r="AH73" s="12">
        <f t="array" ref="AH73">INDEX(AG:AG,MIN(IF(ISNUMBER(AG73:AG269),ROW(AG73:AG269),"")))</f>
        <v>8.8000000000000007</v>
      </c>
      <c r="AI73" s="13">
        <f>IF('Données projet'!$A$62&gt;35,AI72+AH73-AQ72,IF(A73&lt;'Données projet'!$A$62,$AF$205^A73,IF(A73='Données projet'!$A$62,'Données projet'!$B$62,AI72+AH73-AQ72)))</f>
        <v>716.9999999999992</v>
      </c>
      <c r="AJ73" s="13">
        <f>AI73*VLOOKUP('Données projet'!$B$10,Paramètres!$A$1:$I$89,3,0)*VLOOKUP('Données projet'!$B$10,Paramètres!$A$1:$I$89,5,0)</f>
        <v>354.19799999999964</v>
      </c>
      <c r="AK73" s="13">
        <f t="shared" si="89"/>
        <v>82.426322295095162</v>
      </c>
      <c r="AL73" s="20">
        <f t="shared" si="58"/>
        <v>760.45402799729015</v>
      </c>
      <c r="AM73" s="59">
        <f t="shared" si="59"/>
        <v>1053.7873613306235</v>
      </c>
      <c r="AN73" s="59">
        <f ca="1">AVERAGE(OFFSET($AM$3,0,0,'Données projet'!$E$10+1,1))-AVERAGE(OFFSET($H$3,0,0,'Données projet'!$E$10+1,1))</f>
        <v>350.14981500723491</v>
      </c>
      <c r="AO73" s="59">
        <f t="shared" si="90"/>
        <v>270.58548917514111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70.260039938003104</v>
      </c>
      <c r="AV73" s="21">
        <f>EXP(-LN(2)/25)*AV72+(1-EXP(-LN(2)/25))/(LN(2)/25)*Calculateur!AQ73*Calculateur!AS73*VLOOKUP('Données projet'!$B$10,Paramètres!$A$1:$I$89,3,0)*0.475*44/12</f>
        <v>15.24467357688437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85.50471351488747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288</v>
      </c>
      <c r="BB73" s="12">
        <f>VLOOKUP(A73,'Données projet'!$A$87:$I$107,9,0)</f>
        <v>4.4000000000000004</v>
      </c>
      <c r="BC73" s="12">
        <f t="array" ref="BC73">INDEX(BB:BB,MIN(IF(ISNUMBER(BB73:BB269),ROW(BB73:BB269),"")))</f>
        <v>4.4000000000000004</v>
      </c>
      <c r="BD73" s="12">
        <f>IF('Données projet'!$A$88&gt;35,BD72+BC73-BL72,IF(A73&lt;'Données projet'!$A$88,$BA$205^A73,IF(A73='Données projet'!$A$88,'Données projet'!$B$88,BD72+BC73-BL72)))</f>
        <v>287.99999999999989</v>
      </c>
      <c r="BE73" s="13">
        <f>BD73*VLOOKUP('Données projet'!$B$11,Paramètres!$A$1:$I$89,3,0)*VLOOKUP('Données projet'!$B$11,Paramètres!$A$1:$I$89,5,0)</f>
        <v>247.10399999999993</v>
      </c>
      <c r="BF73" s="13">
        <f t="shared" si="91"/>
        <v>59.965386137668602</v>
      </c>
      <c r="BG73" s="20">
        <f t="shared" si="61"/>
        <v>534.81251418977263</v>
      </c>
      <c r="BH73" s="59">
        <f t="shared" si="62"/>
        <v>828.14584752310589</v>
      </c>
      <c r="BI73" s="59">
        <f ca="1">AVERAGE(OFFSET($BH$3,0,0,'Données projet'!$E$11+1,1))-AVERAGE(OFFSET($H$3,0,0,'Données projet'!$E$11+1,1))</f>
        <v>359.99244410291516</v>
      </c>
      <c r="BJ73" s="59">
        <f t="shared" si="92"/>
        <v>143.73379124174278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10.380239325523247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10.380239325523247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350.25444539178324</v>
      </c>
      <c r="T74" s="59">
        <f t="shared" si="88"/>
        <v>421.51176105448474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194.7785475840459</v>
      </c>
      <c r="AA74" s="21">
        <f>EXP(-LN(2)/25)*AA73+(1-EXP(-LN(2)/25))/(LN(2)/25)*Calculateur!V74*Calculateur!X74*VLOOKUP('Données projet'!$B$9,Paramètres!$A$1:$I$89,3,0)*0.475*44/12</f>
        <v>43.260948910077502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238.0394964941234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724.39999999999918</v>
      </c>
      <c r="AJ74" s="13">
        <f>AI74*VLOOKUP('Données projet'!$B$10,Paramètres!$A$1:$I$89,3,0)*VLOOKUP('Données projet'!$B$10,Paramètres!$A$1:$I$89,5,0)</f>
        <v>357.85359999999963</v>
      </c>
      <c r="AK74" s="13">
        <f t="shared" si="89"/>
        <v>83.177554582679761</v>
      </c>
      <c r="AL74" s="20">
        <f t="shared" si="58"/>
        <v>768.12926089816654</v>
      </c>
      <c r="AM74" s="59">
        <f t="shared" si="59"/>
        <v>1061.4625942314999</v>
      </c>
      <c r="AN74" s="59">
        <f ca="1">AVERAGE(OFFSET($AM$3,0,0,'Données projet'!$E$10+1,1))-AVERAGE(OFFSET($H$3,0,0,'Données projet'!$E$10+1,1))</f>
        <v>350.14981500723491</v>
      </c>
      <c r="AO74" s="59">
        <f t="shared" si="90"/>
        <v>270.58548917514111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68.882283409211709</v>
      </c>
      <c r="AV74" s="21">
        <f>EXP(-LN(2)/25)*AV73+(1-EXP(-LN(2)/25))/(LN(2)/25)*Calculateur!AQ74*Calculateur!AS74*VLOOKUP('Données projet'!$B$10,Paramètres!$A$1:$I$89,3,0)*0.475*44/12</f>
        <v>14.827807176241926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83.710090585453628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3.8</v>
      </c>
      <c r="BD74" s="12">
        <f>IF('Données projet'!$A$88&gt;35,BD73+BC74-BL73,IF(A74&lt;'Données projet'!$A$88,$BA$205^A74,IF(A74='Données projet'!$A$88,'Données projet'!$B$88,BD73+BC74-BL73)))</f>
        <v>291.7999999999999</v>
      </c>
      <c r="BE74" s="13">
        <f>BD74*VLOOKUP('Données projet'!$B$11,Paramètres!$A$1:$I$89,3,0)*VLOOKUP('Données projet'!$B$11,Paramètres!$A$1:$I$89,5,0)</f>
        <v>250.36439999999993</v>
      </c>
      <c r="BF74" s="13">
        <f t="shared" si="91"/>
        <v>60.663965011943425</v>
      </c>
      <c r="BG74" s="20">
        <f t="shared" si="61"/>
        <v>541.7077357291347</v>
      </c>
      <c r="BH74" s="59">
        <f t="shared" si="62"/>
        <v>835.04106906246807</v>
      </c>
      <c r="BI74" s="59">
        <f ca="1">AVERAGE(OFFSET($BH$3,0,0,'Données projet'!$E$11+1,1))-AVERAGE(OFFSET($H$3,0,0,'Données projet'!$E$11+1,1))</f>
        <v>359.99244410291516</v>
      </c>
      <c r="BJ74" s="59">
        <f t="shared" si="92"/>
        <v>143.73379124174278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10.176689163670559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10.176689163670559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350.25444539178324</v>
      </c>
      <c r="T75" s="59">
        <f t="shared" si="88"/>
        <v>421.51176105448474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190.95905906910593</v>
      </c>
      <c r="AA75" s="21">
        <f>EXP(-LN(2)/25)*AA74+(1-EXP(-LN(2)/25))/(LN(2)/25)*Calculateur!V75*Calculateur!X75*VLOOKUP('Données projet'!$B$9,Paramètres!$A$1:$I$89,3,0)*0.475*44/12</f>
        <v>42.077975987137002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233.03703505624293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731.79999999999916</v>
      </c>
      <c r="AJ75" s="13">
        <f>AI75*VLOOKUP('Données projet'!$B$10,Paramètres!$A$1:$I$89,3,0)*VLOOKUP('Données projet'!$B$10,Paramètres!$A$1:$I$89,5,0)</f>
        <v>361.50919999999957</v>
      </c>
      <c r="AK75" s="13">
        <f t="shared" si="89"/>
        <v>83.927894119325885</v>
      </c>
      <c r="AL75" s="20">
        <f t="shared" si="58"/>
        <v>775.80293892449174</v>
      </c>
      <c r="AM75" s="59">
        <f t="shared" si="59"/>
        <v>1069.1362722578251</v>
      </c>
      <c r="AN75" s="59">
        <f ca="1">AVERAGE(OFFSET($AM$3,0,0,'Données projet'!$E$10+1,1))-AVERAGE(OFFSET($H$3,0,0,'Données projet'!$E$10+1,1))</f>
        <v>350.14981500723491</v>
      </c>
      <c r="AO75" s="59">
        <f t="shared" si="90"/>
        <v>270.58548917514111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67.531543845601405</v>
      </c>
      <c r="AV75" s="21">
        <f>EXP(-LN(2)/25)*AV74+(1-EXP(-LN(2)/25))/(LN(2)/25)*Calculateur!AQ75*Calculateur!AS75*VLOOKUP('Données projet'!$B$10,Paramètres!$A$1:$I$89,3,0)*0.475*44/12</f>
        <v>14.422340009247101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81.953883854848499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3.8</v>
      </c>
      <c r="BD75" s="12">
        <f>IF('Données projet'!$A$88&gt;35,BD74+BC75-BL74,IF(A75&lt;'Données projet'!$A$88,$BA$205^A75,IF(A75='Données projet'!$A$88,'Données projet'!$B$88,BD74+BC75-BL74)))</f>
        <v>295.59999999999991</v>
      </c>
      <c r="BE75" s="13">
        <f>BD75*VLOOKUP('Données projet'!$B$11,Paramètres!$A$1:$I$89,3,0)*VLOOKUP('Données projet'!$B$11,Paramètres!$A$1:$I$89,5,0)</f>
        <v>253.62479999999994</v>
      </c>
      <c r="BF75" s="13">
        <f t="shared" si="91"/>
        <v>61.361485728021208</v>
      </c>
      <c r="BG75" s="20">
        <f t="shared" si="61"/>
        <v>548.60111430963684</v>
      </c>
      <c r="BH75" s="59">
        <f t="shared" si="62"/>
        <v>841.9344476429701</v>
      </c>
      <c r="BI75" s="59">
        <f ca="1">AVERAGE(OFFSET($BH$3,0,0,'Données projet'!$E$11+1,1))-AVERAGE(OFFSET($H$3,0,0,'Données projet'!$E$11+1,1))</f>
        <v>359.99244410291516</v>
      </c>
      <c r="BJ75" s="59">
        <f t="shared" si="92"/>
        <v>143.73379124174278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9.9771304963384626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9.9771304963384626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350.25444539178324</v>
      </c>
      <c r="T76" s="59">
        <f t="shared" si="88"/>
        <v>421.51176105448474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187.214468394286</v>
      </c>
      <c r="AA76" s="21">
        <f>EXP(-LN(2)/25)*AA75+(1-EXP(-LN(2)/25))/(LN(2)/25)*Calculateur!V76*Calculateur!X76*VLOOKUP('Données projet'!$B$9,Paramètres!$A$1:$I$89,3,0)*0.475*44/12</f>
        <v>40.927351520984153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228.14181991527016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739.19999999999914</v>
      </c>
      <c r="AJ76" s="13">
        <f>AI76*VLOOKUP('Données projet'!$B$10,Paramètres!$A$1:$I$89,3,0)*VLOOKUP('Données projet'!$B$10,Paramètres!$A$1:$I$89,5,0)</f>
        <v>365.16479999999962</v>
      </c>
      <c r="AK76" s="13">
        <f t="shared" si="89"/>
        <v>84.677350977800231</v>
      </c>
      <c r="AL76" s="20">
        <f t="shared" si="58"/>
        <v>783.47507961966801</v>
      </c>
      <c r="AM76" s="59">
        <f t="shared" si="59"/>
        <v>1076.8084129530014</v>
      </c>
      <c r="AN76" s="59">
        <f ca="1">AVERAGE(OFFSET($AM$3,0,0,'Données projet'!$E$10+1,1))-AVERAGE(OFFSET($H$3,0,0,'Données projet'!$E$10+1,1))</f>
        <v>350.14981500723491</v>
      </c>
      <c r="AO76" s="59">
        <f t="shared" si="90"/>
        <v>270.58548917514111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66.207291460963717</v>
      </c>
      <c r="AV76" s="21">
        <f>EXP(-LN(2)/25)*AV75+(1-EXP(-LN(2)/25))/(LN(2)/25)*Calculateur!AQ76*Calculateur!AS76*VLOOKUP('Données projet'!$B$10,Paramètres!$A$1:$I$89,3,0)*0.475*44/12</f>
        <v>14.027960363256341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80.235251824220057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3.8</v>
      </c>
      <c r="BD76" s="12">
        <f>IF('Données projet'!$A$88&gt;35,BD75+BC76-BL75,IF(A76&lt;'Données projet'!$A$88,$BA$205^A76,IF(A76='Données projet'!$A$88,'Données projet'!$B$88,BD75+BC76-BL75)))</f>
        <v>299.39999999999992</v>
      </c>
      <c r="BE76" s="13">
        <f>BD76*VLOOKUP('Données projet'!$B$11,Paramètres!$A$1:$I$89,3,0)*VLOOKUP('Données projet'!$B$11,Paramètres!$A$1:$I$89,5,0)</f>
        <v>256.88519999999994</v>
      </c>
      <c r="BF76" s="13">
        <f t="shared" si="91"/>
        <v>62.057963461603165</v>
      </c>
      <c r="BG76" s="20">
        <f t="shared" si="61"/>
        <v>555.49267636229206</v>
      </c>
      <c r="BH76" s="59">
        <f t="shared" si="62"/>
        <v>848.82600969562532</v>
      </c>
      <c r="BI76" s="59">
        <f ca="1">AVERAGE(OFFSET($BH$3,0,0,'Données projet'!$E$11+1,1))-AVERAGE(OFFSET($H$3,0,0,'Données projet'!$E$11+1,1))</f>
        <v>359.99244410291516</v>
      </c>
      <c r="BJ76" s="59">
        <f t="shared" si="92"/>
        <v>143.73379124174278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9.7814850527539807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9.7814850527539807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350.25444539178324</v>
      </c>
      <c r="T77" s="59">
        <f t="shared" si="88"/>
        <v>421.51176105448474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183.5433068586245</v>
      </c>
      <c r="AA77" s="21">
        <f>EXP(-LN(2)/25)*AA76+(1-EXP(-LN(2)/25))/(LN(2)/25)*Calculateur!V77*Calculateur!X77*VLOOKUP('Données projet'!$B$9,Paramètres!$A$1:$I$89,3,0)*0.475*44/12</f>
        <v>39.808190941366966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223.35149779999148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746.59999999999911</v>
      </c>
      <c r="AJ77" s="13">
        <f>AI77*VLOOKUP('Données projet'!$B$10,Paramètres!$A$1:$I$89,3,0)*VLOOKUP('Données projet'!$B$10,Paramètres!$A$1:$I$89,5,0)</f>
        <v>368.82039999999961</v>
      </c>
      <c r="AK77" s="13">
        <f t="shared" si="89"/>
        <v>85.425935017571959</v>
      </c>
      <c r="AL77" s="20">
        <f t="shared" si="58"/>
        <v>791.14570015560378</v>
      </c>
      <c r="AM77" s="59">
        <f t="shared" si="59"/>
        <v>1084.4790334889371</v>
      </c>
      <c r="AN77" s="59">
        <f ca="1">AVERAGE(OFFSET($AM$3,0,0,'Données projet'!$E$10+1,1))-AVERAGE(OFFSET($H$3,0,0,'Données projet'!$E$10+1,1))</f>
        <v>350.14981500723491</v>
      </c>
      <c r="AO77" s="59">
        <f t="shared" si="90"/>
        <v>270.58548917514111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64.909006857874573</v>
      </c>
      <c r="AV77" s="21">
        <f>EXP(-LN(2)/25)*AV76+(1-EXP(-LN(2)/25))/(LN(2)/25)*Calculateur!AQ77*Calculateur!AS77*VLOOKUP('Données projet'!$B$10,Paramètres!$A$1:$I$89,3,0)*0.475*44/12</f>
        <v>13.644365049424723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78.553371907299294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3.8</v>
      </c>
      <c r="BD77" s="12">
        <f>IF('Données projet'!$A$88&gt;35,BD76+BC77-BL76,IF(A77&lt;'Données projet'!$A$88,$BA$205^A77,IF(A77='Données projet'!$A$88,'Données projet'!$B$88,BD76+BC77-BL76)))</f>
        <v>303.19999999999993</v>
      </c>
      <c r="BE77" s="13">
        <f>BD77*VLOOKUP('Données projet'!$B$11,Paramètres!$A$1:$I$89,3,0)*VLOOKUP('Données projet'!$B$11,Paramètres!$A$1:$I$89,5,0)</f>
        <v>260.14559999999994</v>
      </c>
      <c r="BF77" s="13">
        <f t="shared" si="91"/>
        <v>62.753412981017661</v>
      </c>
      <c r="BG77" s="20">
        <f t="shared" si="61"/>
        <v>562.38244760860573</v>
      </c>
      <c r="BH77" s="59">
        <f t="shared" si="62"/>
        <v>855.7157809419391</v>
      </c>
      <c r="BI77" s="59">
        <f ca="1">AVERAGE(OFFSET($BH$3,0,0,'Données projet'!$E$11+1,1))-AVERAGE(OFFSET($H$3,0,0,'Données projet'!$E$11+1,1))</f>
        <v>359.99244410291516</v>
      </c>
      <c r="BJ77" s="59">
        <f t="shared" si="92"/>
        <v>143.73379124174278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9.5896760969862527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9.5896760969862527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350.25444539178324</v>
      </c>
      <c r="T78" s="59">
        <f t="shared" si="88"/>
        <v>421.51176105448474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179.94413456148988</v>
      </c>
      <c r="AA78" s="21">
        <f>EXP(-LN(2)/25)*AA77+(1-EXP(-LN(2)/25))/(LN(2)/25)*Calculateur!V78*Calculateur!X78*VLOOKUP('Données projet'!$B$9,Paramètres!$A$1:$I$89,3,0)*0.475*44/12</f>
        <v>38.71963386665351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218.66376842814338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754</v>
      </c>
      <c r="AG78" s="12">
        <f>VLOOKUP(A78,'Données projet'!$A$61:$I$81,9,0)</f>
        <v>7.4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753.99999999999909</v>
      </c>
      <c r="AJ78" s="13">
        <f>AI78*VLOOKUP('Données projet'!$B$10,Paramètres!$A$1:$I$89,3,0)*VLOOKUP('Données projet'!$B$10,Paramètres!$A$1:$I$89,5,0)</f>
        <v>372.47599999999954</v>
      </c>
      <c r="AK78" s="13">
        <f t="shared" si="89"/>
        <v>86.173655891398539</v>
      </c>
      <c r="AL78" s="20">
        <f t="shared" si="58"/>
        <v>798.81481734418503</v>
      </c>
      <c r="AM78" s="59">
        <f t="shared" si="59"/>
        <v>1092.1481506775183</v>
      </c>
      <c r="AN78" s="59">
        <f ca="1">AVERAGE(OFFSET($AM$3,0,0,'Données projet'!$E$10+1,1))-AVERAGE(OFFSET($H$3,0,0,'Données projet'!$E$10+1,1))</f>
        <v>350.14981500723491</v>
      </c>
      <c r="AO78" s="59">
        <f t="shared" si="90"/>
        <v>270.58548917514111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63.636180823976588</v>
      </c>
      <c r="AV78" s="21">
        <f>EXP(-LN(2)/25)*AV77+(1-EXP(-LN(2)/25))/(LN(2)/25)*Calculateur!AQ78*Calculateur!AS78*VLOOKUP('Données projet'!$B$10,Paramètres!$A$1:$I$89,3,0)*0.475*44/12</f>
        <v>13.27125916962223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76.907439993598814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307</v>
      </c>
      <c r="BB78" s="12">
        <f>VLOOKUP(A78,'Données projet'!$A$87:$I$107,9,0)</f>
        <v>3.8</v>
      </c>
      <c r="BC78" s="12">
        <f t="array" ref="BC78">INDEX(BB:BB,MIN(IF(ISNUMBER(BB78:BB274),ROW(BB78:BB274),"")))</f>
        <v>3.8</v>
      </c>
      <c r="BD78" s="12">
        <f>IF('Données projet'!$A$88&gt;35,BD77+BC78-BL77,IF(A78&lt;'Données projet'!$A$88,$BA$205^A78,IF(A78='Données projet'!$A$88,'Données projet'!$B$88,BD77+BC78-BL77)))</f>
        <v>306.99999999999994</v>
      </c>
      <c r="BE78" s="13">
        <f>BD78*VLOOKUP('Données projet'!$B$11,Paramètres!$A$1:$I$89,3,0)*VLOOKUP('Données projet'!$B$11,Paramètres!$A$1:$I$89,5,0)</f>
        <v>263.40600000000001</v>
      </c>
      <c r="BF78" s="13">
        <f t="shared" si="91"/>
        <v>63.447848663121114</v>
      </c>
      <c r="BG78" s="20">
        <f t="shared" si="61"/>
        <v>569.27045308826928</v>
      </c>
      <c r="BH78" s="59">
        <f t="shared" si="62"/>
        <v>862.60378642160254</v>
      </c>
      <c r="BI78" s="59">
        <f ca="1">AVERAGE(OFFSET($BH$3,0,0,'Données projet'!$E$11+1,1))-AVERAGE(OFFSET($H$3,0,0,'Données projet'!$E$11+1,1))</f>
        <v>359.99244410291516</v>
      </c>
      <c r="BJ78" s="59">
        <f t="shared" si="92"/>
        <v>143.73379124174278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9.401628397849219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9.401628397849219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350.25444539178324</v>
      </c>
      <c r="T79" s="59">
        <f t="shared" si="88"/>
        <v>421.51176105448474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176.41553983782373</v>
      </c>
      <c r="AA79" s="21">
        <f>EXP(-LN(2)/25)*AA78+(1-EXP(-LN(2)/25))/(LN(2)/25)*Calculateur!V79*Calculateur!X79*VLOOKUP('Données projet'!$B$9,Paramètres!$A$1:$I$89,3,0)*0.475*44/12</f>
        <v>37.660843442392817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214.07638328021653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</v>
      </c>
      <c r="AI79" s="13">
        <f>IF('Données projet'!$A$62&gt;35,AI78+AH79-AQ78,IF(A79&lt;'Données projet'!$A$62,$AF$205^A79,IF(A79='Données projet'!$A$62,'Données projet'!$B$62,AI78+AH79-AQ78)))</f>
        <v>760.99999999999909</v>
      </c>
      <c r="AJ79" s="13">
        <f>AI79*VLOOKUP('Données projet'!$B$10,Paramètres!$A$1:$I$89,3,0)*VLOOKUP('Données projet'!$B$10,Paramètres!$A$1:$I$89,5,0)</f>
        <v>375.93399999999957</v>
      </c>
      <c r="AK79" s="13">
        <f t="shared" si="89"/>
        <v>86.880173525561773</v>
      </c>
      <c r="AL79" s="20">
        <f t="shared" si="58"/>
        <v>806.0680188903525</v>
      </c>
      <c r="AM79" s="59">
        <f t="shared" si="59"/>
        <v>1099.4013522236858</v>
      </c>
      <c r="AN79" s="59">
        <f ca="1">AVERAGE(OFFSET($AM$3,0,0,'Données projet'!$E$10+1,1))-AVERAGE(OFFSET($H$3,0,0,'Données projet'!$E$10+1,1))</f>
        <v>350.14981500723491</v>
      </c>
      <c r="AO79" s="59">
        <f t="shared" si="90"/>
        <v>270.58548917514111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62.38831413225612</v>
      </c>
      <c r="AV79" s="21">
        <f>EXP(-LN(2)/25)*AV78+(1-EXP(-LN(2)/25))/(LN(2)/25)*Calculateur!AQ79*Calculateur!AS79*VLOOKUP('Données projet'!$B$10,Paramètres!$A$1:$I$89,3,0)*0.475*44/12</f>
        <v>12.908355889723722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75.29667002197985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3.2</v>
      </c>
      <c r="BD79" s="12">
        <f>IF('Données projet'!$A$88&gt;35,BD78+BC79-BL78,IF(A79&lt;'Données projet'!$A$88,$BA$205^A79,IF(A79='Données projet'!$A$88,'Données projet'!$B$88,BD78+BC79-BL78)))</f>
        <v>310.19999999999993</v>
      </c>
      <c r="BE79" s="13">
        <f>BD79*VLOOKUP('Données projet'!$B$11,Paramètres!$A$1:$I$89,3,0)*VLOOKUP('Données projet'!$B$11,Paramètres!$A$1:$I$89,5,0)</f>
        <v>266.15159999999997</v>
      </c>
      <c r="BF79" s="13">
        <f t="shared" si="91"/>
        <v>64.031860548293878</v>
      </c>
      <c r="BG79" s="20">
        <f t="shared" si="61"/>
        <v>575.06952712161171</v>
      </c>
      <c r="BH79" s="59">
        <f t="shared" si="62"/>
        <v>868.40286045494508</v>
      </c>
      <c r="BI79" s="59">
        <f ca="1">AVERAGE(OFFSET($BH$3,0,0,'Données projet'!$E$11+1,1))-AVERAGE(OFFSET($H$3,0,0,'Données projet'!$E$11+1,1))</f>
        <v>359.99244410291516</v>
      </c>
      <c r="BJ79" s="59">
        <f t="shared" si="92"/>
        <v>143.73379124174278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9.2172681993944909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9.2172681993944909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350.25444539178324</v>
      </c>
      <c r="T80" s="59">
        <f t="shared" si="88"/>
        <v>421.51176105448474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172.9561387044584</v>
      </c>
      <c r="AA80" s="21">
        <f>EXP(-LN(2)/25)*AA79+(1-EXP(-LN(2)/25))/(LN(2)/25)*Calculateur!V80*Calculateur!X80*VLOOKUP('Données projet'!$B$9,Paramètres!$A$1:$I$89,3,0)*0.475*44/12</f>
        <v>36.631005697962905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209.5871444024213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</v>
      </c>
      <c r="AI80" s="13">
        <f>IF('Données projet'!$A$62&gt;35,AI79+AH80-AQ79,IF(A80&lt;'Données projet'!$A$62,$AF$205^A80,IF(A80='Données projet'!$A$62,'Données projet'!$B$62,AI79+AH80-AQ79)))</f>
        <v>767.99999999999909</v>
      </c>
      <c r="AJ80" s="13">
        <f>AI80*VLOOKUP('Données projet'!$B$10,Paramètres!$A$1:$I$89,3,0)*VLOOKUP('Données projet'!$B$10,Paramètres!$A$1:$I$89,5,0)</f>
        <v>379.39199999999954</v>
      </c>
      <c r="AK80" s="13">
        <f t="shared" si="89"/>
        <v>87.585935087352368</v>
      </c>
      <c r="AL80" s="20">
        <f t="shared" si="58"/>
        <v>813.31990361047121</v>
      </c>
      <c r="AM80" s="59">
        <f t="shared" si="59"/>
        <v>1106.6532369438046</v>
      </c>
      <c r="AN80" s="59">
        <f ca="1">AVERAGE(OFFSET($AM$3,0,0,'Données projet'!$E$10+1,1))-AVERAGE(OFFSET($H$3,0,0,'Données projet'!$E$10+1,1))</f>
        <v>350.14981500723491</v>
      </c>
      <c r="AO80" s="59">
        <f t="shared" si="90"/>
        <v>270.58548917514111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61.164917345236766</v>
      </c>
      <c r="AV80" s="21">
        <f>EXP(-LN(2)/25)*AV79+(1-EXP(-LN(2)/25))/(LN(2)/25)*Calculateur!AQ80*Calculateur!AS80*VLOOKUP('Données projet'!$B$10,Paramètres!$A$1:$I$89,3,0)*0.475*44/12</f>
        <v>12.555376219098294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73.720293564335066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3.2</v>
      </c>
      <c r="BD80" s="12">
        <f>IF('Données projet'!$A$88&gt;35,BD79+BC80-BL79,IF(A80&lt;'Données projet'!$A$88,$BA$205^A80,IF(A80='Données projet'!$A$88,'Données projet'!$B$88,BD79+BC80-BL79)))</f>
        <v>313.39999999999992</v>
      </c>
      <c r="BE80" s="13">
        <f>BD80*VLOOKUP('Données projet'!$B$11,Paramètres!$A$1:$I$89,3,0)*VLOOKUP('Données projet'!$B$11,Paramètres!$A$1:$I$89,5,0)</f>
        <v>268.8972</v>
      </c>
      <c r="BF80" s="13">
        <f t="shared" si="91"/>
        <v>64.615171575073688</v>
      </c>
      <c r="BG80" s="20">
        <f t="shared" si="61"/>
        <v>580.86738049325334</v>
      </c>
      <c r="BH80" s="59">
        <f t="shared" si="62"/>
        <v>874.20071382658671</v>
      </c>
      <c r="BI80" s="59">
        <f ca="1">AVERAGE(OFFSET($BH$3,0,0,'Données projet'!$E$11+1,1))-AVERAGE(OFFSET($H$3,0,0,'Données projet'!$E$11+1,1))</f>
        <v>359.99244410291516</v>
      </c>
      <c r="BJ80" s="59">
        <f t="shared" si="92"/>
        <v>143.73379124174278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9.0365231919828428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9.0365231919828428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350.25444539178324</v>
      </c>
      <c r="T81" s="59">
        <f t="shared" si="88"/>
        <v>421.51176105448474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169.56457431729203</v>
      </c>
      <c r="AA81" s="21">
        <f>EXP(-LN(2)/25)*AA80+(1-EXP(-LN(2)/25))/(LN(2)/25)*Calculateur!V81*Calculateur!X81*VLOOKUP('Données projet'!$B$9,Paramètres!$A$1:$I$89,3,0)*0.475*44/12</f>
        <v>35.62932892081124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205.19390323810327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</v>
      </c>
      <c r="AI81" s="13">
        <f>IF('Données projet'!$A$62&gt;35,AI80+AH81-AQ80,IF(A81&lt;'Données projet'!$A$62,$AF$205^A81,IF(A81='Données projet'!$A$62,'Données projet'!$B$62,AI80+AH81-AQ80)))</f>
        <v>774.99999999999909</v>
      </c>
      <c r="AJ81" s="13">
        <f>AI81*VLOOKUP('Données projet'!$B$10,Paramètres!$A$1:$I$89,3,0)*VLOOKUP('Données projet'!$B$10,Paramètres!$A$1:$I$89,5,0)</f>
        <v>382.84999999999957</v>
      </c>
      <c r="AK81" s="13">
        <f t="shared" si="89"/>
        <v>88.290948266334524</v>
      </c>
      <c r="AL81" s="20">
        <f t="shared" si="58"/>
        <v>820.57048489719853</v>
      </c>
      <c r="AM81" s="59">
        <f t="shared" si="59"/>
        <v>1113.9038182305319</v>
      </c>
      <c r="AN81" s="59">
        <f ca="1">AVERAGE(OFFSET($AM$3,0,0,'Données projet'!$E$10+1,1))-AVERAGE(OFFSET($H$3,0,0,'Données projet'!$E$10+1,1))</f>
        <v>350.14981500723491</v>
      </c>
      <c r="AO81" s="59">
        <f t="shared" si="90"/>
        <v>270.58548917514111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59.965510623012499</v>
      </c>
      <c r="AV81" s="21">
        <f>EXP(-LN(2)/25)*AV80+(1-EXP(-LN(2)/25))/(LN(2)/25)*Calculateur!AQ81*Calculateur!AS81*VLOOKUP('Données projet'!$B$10,Paramètres!$A$1:$I$89,3,0)*0.475*44/12</f>
        <v>12.212048796128512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72.177559419141005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3.2</v>
      </c>
      <c r="BD81" s="12">
        <f>IF('Données projet'!$A$88&gt;35,BD80+BC81-BL80,IF(A81&lt;'Données projet'!$A$88,$BA$205^A81,IF(A81='Données projet'!$A$88,'Données projet'!$B$88,BD80+BC81-BL80)))</f>
        <v>316.59999999999991</v>
      </c>
      <c r="BE81" s="13">
        <f>BD81*VLOOKUP('Données projet'!$B$11,Paramètres!$A$1:$I$89,3,0)*VLOOKUP('Données projet'!$B$11,Paramètres!$A$1:$I$89,5,0)</f>
        <v>271.64279999999997</v>
      </c>
      <c r="BF81" s="13">
        <f t="shared" si="91"/>
        <v>65.197789728152955</v>
      </c>
      <c r="BG81" s="20">
        <f t="shared" si="61"/>
        <v>586.6640271098662</v>
      </c>
      <c r="BH81" s="59">
        <f t="shared" si="62"/>
        <v>879.99736044319957</v>
      </c>
      <c r="BI81" s="59">
        <f ca="1">AVERAGE(OFFSET($BH$3,0,0,'Données projet'!$E$11+1,1))-AVERAGE(OFFSET($H$3,0,0,'Données projet'!$E$11+1,1))</f>
        <v>359.99244410291516</v>
      </c>
      <c r="BJ81" s="59">
        <f t="shared" si="92"/>
        <v>143.73379124174278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8.8593224839229681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8.8593224839229681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350.25444539178324</v>
      </c>
      <c r="T82" s="59">
        <f t="shared" si="88"/>
        <v>421.51176105448474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166.23951643910797</v>
      </c>
      <c r="AA82" s="21">
        <f>EXP(-LN(2)/25)*AA81+(1-EXP(-LN(2)/25))/(LN(2)/25)*Calculateur!V82*Calculateur!X82*VLOOKUP('Données projet'!$B$9,Paramètres!$A$1:$I$89,3,0)*0.475*44/12</f>
        <v>34.655043047806679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200.89455948691466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</v>
      </c>
      <c r="AI82" s="13">
        <f>IF('Données projet'!$A$62&gt;35,AI81+AH82-AQ81,IF(A82&lt;'Données projet'!$A$62,$AF$205^A82,IF(A82='Données projet'!$A$62,'Données projet'!$B$62,AI81+AH82-AQ81)))</f>
        <v>781.99999999999909</v>
      </c>
      <c r="AJ82" s="13">
        <f>AI82*VLOOKUP('Données projet'!$B$10,Paramètres!$A$1:$I$89,3,0)*VLOOKUP('Données projet'!$B$10,Paramètres!$A$1:$I$89,5,0)</f>
        <v>386.30799999999959</v>
      </c>
      <c r="AK82" s="13">
        <f t="shared" si="89"/>
        <v>88.995220605151076</v>
      </c>
      <c r="AL82" s="20">
        <f t="shared" si="58"/>
        <v>827.81977588730399</v>
      </c>
      <c r="AM82" s="59">
        <f t="shared" si="59"/>
        <v>1121.1531092206374</v>
      </c>
      <c r="AN82" s="59">
        <f ca="1">AVERAGE(OFFSET($AM$3,0,0,'Données projet'!$E$10+1,1))-AVERAGE(OFFSET($H$3,0,0,'Données projet'!$E$10+1,1))</f>
        <v>350.14981500723491</v>
      </c>
      <c r="AO82" s="59">
        <f t="shared" si="90"/>
        <v>270.58548917514111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58.789623535045187</v>
      </c>
      <c r="AV82" s="21">
        <f>EXP(-LN(2)/25)*AV81+(1-EXP(-LN(2)/25))/(LN(2)/25)*Calculateur!AQ82*Calculateur!AS82*VLOOKUP('Données projet'!$B$10,Paramètres!$A$1:$I$89,3,0)*0.475*44/12</f>
        <v>11.878109679594642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70.667733214639824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3.2</v>
      </c>
      <c r="BD82" s="12">
        <f>IF('Données projet'!$A$88&gt;35,BD81+BC82-BL81,IF(A82&lt;'Données projet'!$A$88,$BA$205^A82,IF(A82='Données projet'!$A$88,'Données projet'!$B$88,BD81+BC82-BL81)))</f>
        <v>319.7999999999999</v>
      </c>
      <c r="BE82" s="13">
        <f>BD82*VLOOKUP('Données projet'!$B$11,Paramètres!$A$1:$I$89,3,0)*VLOOKUP('Données projet'!$B$11,Paramètres!$A$1:$I$89,5,0)</f>
        <v>274.38839999999993</v>
      </c>
      <c r="BF82" s="13">
        <f t="shared" si="91"/>
        <v>65.77972282151319</v>
      </c>
      <c r="BG82" s="20">
        <f t="shared" si="61"/>
        <v>592.45948058080194</v>
      </c>
      <c r="BH82" s="59">
        <f t="shared" si="62"/>
        <v>885.79281391413519</v>
      </c>
      <c r="BI82" s="59">
        <f ca="1">AVERAGE(OFFSET($BH$3,0,0,'Données projet'!$E$11+1,1))-AVERAGE(OFFSET($H$3,0,0,'Données projet'!$E$11+1,1))</f>
        <v>359.99244410291516</v>
      </c>
      <c r="BJ82" s="59">
        <f t="shared" si="92"/>
        <v>143.73379124174278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8.6855965736663876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8.6855965736663876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350.25444539178324</v>
      </c>
      <c r="T83" s="59">
        <f t="shared" si="88"/>
        <v>421.51176105448474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162.97966091783007</v>
      </c>
      <c r="AA83" s="21">
        <f>EXP(-LN(2)/25)*AA82+(1-EXP(-LN(2)/25))/(LN(2)/25)*Calculateur!V83*Calculateur!X83*VLOOKUP('Données projet'!$B$9,Paramètres!$A$1:$I$89,3,0)*0.475*44/12</f>
        <v>33.707399073234896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196.68705999106498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789</v>
      </c>
      <c r="AG83" s="12">
        <f>VLOOKUP(A83,'Données projet'!$A$61:$I$81,9,0)</f>
        <v>7</v>
      </c>
      <c r="AH83" s="12">
        <f t="array" ref="AH83">INDEX(AG:AG,MIN(IF(ISNUMBER(AG83:AG279),ROW(AG83:AG279),"")))</f>
        <v>7</v>
      </c>
      <c r="AI83" s="13">
        <f>IF('Données projet'!$A$62&gt;35,AI82+AH83-AQ82,IF(A83&lt;'Données projet'!$A$62,$AF$205^A83,IF(A83='Données projet'!$A$62,'Données projet'!$B$62,AI82+AH83-AQ82)))</f>
        <v>788.99999999999909</v>
      </c>
      <c r="AJ83" s="13">
        <f>AI83*VLOOKUP('Données projet'!$B$10,Paramètres!$A$1:$I$89,3,0)*VLOOKUP('Données projet'!$B$10,Paramètres!$A$1:$I$89,5,0)</f>
        <v>389.76599999999956</v>
      </c>
      <c r="AK83" s="13">
        <f t="shared" si="89"/>
        <v>89.698759503620323</v>
      </c>
      <c r="AL83" s="20">
        <f t="shared" si="58"/>
        <v>835.06778946880468</v>
      </c>
      <c r="AM83" s="59">
        <f t="shared" si="59"/>
        <v>1128.4011228021379</v>
      </c>
      <c r="AN83" s="59">
        <f ca="1">AVERAGE(OFFSET($AM$3,0,0,'Données projet'!$E$10+1,1))-AVERAGE(OFFSET($H$3,0,0,'Données projet'!$E$10+1,1))</f>
        <v>350.14981500723491</v>
      </c>
      <c r="AO83" s="59">
        <f t="shared" si="90"/>
        <v>270.58548917514111</v>
      </c>
      <c r="AP83" s="15">
        <f>IF(ISNA(VLOOKUP(A83,'Données projet'!$A$61:$I$81,3,0)),0,VLOOKUP(A83,'Données projet'!$A$61:$I$81,3,0))</f>
        <v>5</v>
      </c>
      <c r="AQ83" s="15">
        <f>IF(ISNA(VLOOKUP(A83,'Données projet'!$A$61:$I$81,4,0)),0,VLOOKUP(A83,'Données projet'!$A$61:$I$81,4,0))</f>
        <v>789</v>
      </c>
      <c r="AR83" s="16">
        <f>IF(ISNA(VLOOKUP(A83,'Données projet'!$A$61:$I$81,5,0)),0%,VLOOKUP(A83,'Données projet'!$A$61:$I$81,5,0)*VLOOKUP('Données projet'!$B$10,Paramètres!$A$1:$I$89,7,0))</f>
        <v>0.44000000000000006</v>
      </c>
      <c r="AS83" s="16">
        <f>IF(ISNA(VLOOKUP(A83,'Données projet'!$A$61:$I$81,6,0)),0%,VLOOKUP(A83,'Données projet'!$A$61:$I$81,6,0)*VLOOKUP('Données projet'!$B$10,Paramètres!$A$1:$I$89,7,0))</f>
        <v>0.11000000000000001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285.13867235274569</v>
      </c>
      <c r="AV83" s="21">
        <f>EXP(-LN(2)/25)*AV82+(1-EXP(-LN(2)/25))/(LN(2)/25)*Calculateur!AQ83*Calculateur!AS83*VLOOKUP('Données projet'!$B$10,Paramètres!$A$1:$I$89,3,0)*0.475*44/12</f>
        <v>68.204831120877103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353.34350347362277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323</v>
      </c>
      <c r="BB83" s="12">
        <f>VLOOKUP(A83,'Données projet'!$A$87:$I$107,9,0)</f>
        <v>3.2</v>
      </c>
      <c r="BC83" s="12">
        <f t="array" ref="BC83">INDEX(BB:BB,MIN(IF(ISNUMBER(BB83:BB279),ROW(BB83:BB279),"")))</f>
        <v>3.2</v>
      </c>
      <c r="BD83" s="12">
        <f>IF('Données projet'!$A$88&gt;35,BD82+BC83-BL82,IF(A83&lt;'Données projet'!$A$88,$BA$205^A83,IF(A83='Données projet'!$A$88,'Données projet'!$B$88,BD82+BC83-BL82)))</f>
        <v>322.99999999999989</v>
      </c>
      <c r="BE83" s="13">
        <f>BD83*VLOOKUP('Données projet'!$B$11,Paramètres!$A$1:$I$89,3,0)*VLOOKUP('Données projet'!$B$11,Paramètres!$A$1:$I$89,5,0)</f>
        <v>277.13399999999996</v>
      </c>
      <c r="BF83" s="13">
        <f t="shared" si="91"/>
        <v>66.360978503745613</v>
      </c>
      <c r="BG83" s="20">
        <f t="shared" si="61"/>
        <v>598.25375422735681</v>
      </c>
      <c r="BH83" s="59">
        <f t="shared" si="62"/>
        <v>891.58708756069018</v>
      </c>
      <c r="BI83" s="59">
        <f ca="1">AVERAGE(OFFSET($BH$3,0,0,'Données projet'!$E$11+1,1))-AVERAGE(OFFSET($H$3,0,0,'Données projet'!$E$11+1,1))</f>
        <v>359.99244410291516</v>
      </c>
      <c r="BJ83" s="59">
        <f t="shared" si="92"/>
        <v>143.73379124174278</v>
      </c>
      <c r="BK83" s="15">
        <f>IF(ISNA(VLOOKUP(A83,'Données projet'!$A$87:$I$107,3,0)),0,VLOOKUP(A83,'Données projet'!$A$87:$I$107,3,0))</f>
        <v>4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0.42400000000000004</v>
      </c>
      <c r="BN83" s="16">
        <f>IF(ISNA(VLOOKUP(A83,'Données projet'!$A$87:$I$107,6,0)),0%,VLOOKUP(A83,'Données projet'!$A$87:$I$107,6,0)*VLOOKUP('Données projet'!$B$11,Paramètres!$A$1:$I$89,7,0))</f>
        <v>0.10600000000000001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19.775793171257021</v>
      </c>
      <c r="BQ83" s="21">
        <f>EXP(-LN(2)/25)*BQ82+(1-EXP(-LN(2)/25))/(LN(2)/25)*Calculateur!BL83*Calculateur!BN83*VLOOKUP('Données projet'!$B$11,Paramètres!$A$1:$I$89,3,0)*0.475*44/12</f>
        <v>2.8040447268050368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22.57983789806206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350.25444539178324</v>
      </c>
      <c r="T84" s="59">
        <f t="shared" si="88"/>
        <v>421.51176105448474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159.78372917500889</v>
      </c>
      <c r="AA84" s="21">
        <f>EXP(-LN(2)/25)*AA83+(1-EXP(-LN(2)/25))/(LN(2)/25)*Calculateur!V84*Calculateur!X84*VLOOKUP('Données projet'!$B$9,Paramètres!$A$1:$I$89,3,0)*0.475*44/12</f>
        <v>32.785668472982209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192.56939764799108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-9.0949470177292824E-13</v>
      </c>
      <c r="AJ84" s="13">
        <f>AI84*VLOOKUP('Données projet'!$B$10,Paramètres!$A$1:$I$89,3,0)*VLOOKUP('Données projet'!$B$10,Paramètres!$A$1:$I$89,5,0)</f>
        <v>-4.492903826758266E-13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350.14981500723491</v>
      </c>
      <c r="AO84" s="59">
        <f t="shared" si="90"/>
        <v>270.58548917514111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279.54727690532553</v>
      </c>
      <c r="AV84" s="21">
        <f>EXP(-LN(2)/25)*AV83+(1-EXP(-LN(2)/25))/(LN(2)/25)*Calculateur!AQ84*Calculateur!AS84*VLOOKUP('Données projet'!$B$10,Paramètres!$A$1:$I$89,3,0)*0.475*44/12</f>
        <v>66.339766427140532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345.88704333246608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8.6</v>
      </c>
      <c r="BD84" s="12">
        <f>IF('Données projet'!$A$88&gt;35,BD83+BC84-BL83,IF(A84&lt;'Données projet'!$A$88,$BA$205^A84,IF(A84='Données projet'!$A$88,'Données projet'!$B$88,BD83+BC84-BL83)))</f>
        <v>303.59999999999991</v>
      </c>
      <c r="BE84" s="13">
        <f>BD84*VLOOKUP('Données projet'!$B$11,Paramètres!$A$1:$I$89,3,0)*VLOOKUP('Données projet'!$B$11,Paramètres!$A$1:$I$89,5,0)</f>
        <v>260.48879999999997</v>
      </c>
      <c r="BF84" s="13">
        <f t="shared" si="91"/>
        <v>62.826558970958821</v>
      </c>
      <c r="BG84" s="20">
        <f t="shared" si="61"/>
        <v>563.10758354108657</v>
      </c>
      <c r="BH84" s="59">
        <f t="shared" si="62"/>
        <v>856.44091687441983</v>
      </c>
      <c r="BI84" s="59">
        <f ca="1">AVERAGE(OFFSET($BH$3,0,0,'Données projet'!$E$11+1,1))-AVERAGE(OFFSET($H$3,0,0,'Données projet'!$E$11+1,1))</f>
        <v>359.99244410291516</v>
      </c>
      <c r="BJ84" s="59">
        <f t="shared" si="92"/>
        <v>143.73379124174278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19.388001929211477</v>
      </c>
      <c r="BQ84" s="21">
        <f>EXP(-LN(2)/25)*BQ83+(1-EXP(-LN(2)/25))/(LN(2)/25)*Calculateur!BL84*Calculateur!BN84*VLOOKUP('Données projet'!$B$11,Paramètres!$A$1:$I$89,3,0)*0.475*44/12</f>
        <v>2.7273679762922498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22.115369905503726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350.25444539178324</v>
      </c>
      <c r="T85" s="59">
        <f t="shared" si="88"/>
        <v>421.51176105448474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156.65046770433852</v>
      </c>
      <c r="AA85" s="21">
        <f>EXP(-LN(2)/25)*AA84+(1-EXP(-LN(2)/25))/(LN(2)/25)*Calculateur!V85*Calculateur!X85*VLOOKUP('Données projet'!$B$9,Paramètres!$A$1:$I$89,3,0)*0.475*44/12</f>
        <v>31.889142644465139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188.53961034880365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-9.0949470177292824E-13</v>
      </c>
      <c r="AJ85" s="13">
        <f>AI85*VLOOKUP('Données projet'!$B$10,Paramètres!$A$1:$I$89,3,0)*VLOOKUP('Données projet'!$B$10,Paramètres!$A$1:$I$89,5,0)</f>
        <v>-4.492903826758266E-13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350.14981500723491</v>
      </c>
      <c r="AO85" s="59">
        <f t="shared" si="90"/>
        <v>270.58548917514111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274.06552531221485</v>
      </c>
      <c r="AV85" s="21">
        <f>EXP(-LN(2)/25)*AV84+(1-EXP(-LN(2)/25))/(LN(2)/25)*Calculateur!AQ85*Calculateur!AS85*VLOOKUP('Données projet'!$B$10,Paramètres!$A$1:$I$89,3,0)*0.475*44/12</f>
        <v>64.525702025533676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338.59122733774853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8.6</v>
      </c>
      <c r="BD85" s="12">
        <f>IF('Données projet'!$A$88&gt;35,BD84+BC85-BL84,IF(A85&lt;'Données projet'!$A$88,$BA$205^A85,IF(A85='Données projet'!$A$88,'Données projet'!$B$88,BD84+BC85-BL84)))</f>
        <v>312.19999999999993</v>
      </c>
      <c r="BE85" s="13">
        <f>BD85*VLOOKUP('Données projet'!$B$11,Paramètres!$A$1:$I$89,3,0)*VLOOKUP('Données projet'!$B$11,Paramètres!$A$1:$I$89,5,0)</f>
        <v>267.86759999999998</v>
      </c>
      <c r="BF85" s="13">
        <f t="shared" si="91"/>
        <v>64.396511561251955</v>
      </c>
      <c r="BG85" s="20">
        <f t="shared" si="61"/>
        <v>578.69332763584714</v>
      </c>
      <c r="BH85" s="59">
        <f t="shared" si="62"/>
        <v>872.02666096918051</v>
      </c>
      <c r="BI85" s="59">
        <f ca="1">AVERAGE(OFFSET($BH$3,0,0,'Données projet'!$E$11+1,1))-AVERAGE(OFFSET($H$3,0,0,'Données projet'!$E$11+1,1))</f>
        <v>359.99244410291516</v>
      </c>
      <c r="BJ85" s="59">
        <f t="shared" si="92"/>
        <v>143.73379124174278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19.007815036893145</v>
      </c>
      <c r="BQ85" s="21">
        <f>EXP(-LN(2)/25)*BQ84+(1-EXP(-LN(2)/25))/(LN(2)/25)*Calculateur!BL85*Calculateur!BN85*VLOOKUP('Données projet'!$B$11,Paramètres!$A$1:$I$89,3,0)*0.475*44/12</f>
        <v>2.6527879555544898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21.660602992447636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350.25444539178324</v>
      </c>
      <c r="T86" s="59">
        <f t="shared" si="88"/>
        <v>421.51176105448474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153.57864758000724</v>
      </c>
      <c r="AA86" s="21">
        <f>EXP(-LN(2)/25)*AA85+(1-EXP(-LN(2)/25))/(LN(2)/25)*Calculateur!V86*Calculateur!X86*VLOOKUP('Données projet'!$B$9,Paramètres!$A$1:$I$89,3,0)*0.475*44/12</f>
        <v>31.017132361875113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184.59577994188237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-9.0949470177292824E-13</v>
      </c>
      <c r="AJ86" s="13">
        <f>AI86*VLOOKUP('Données projet'!$B$10,Paramètres!$A$1:$I$89,3,0)*VLOOKUP('Données projet'!$B$10,Paramètres!$A$1:$I$89,5,0)</f>
        <v>-4.492903826758266E-13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350.14981500723491</v>
      </c>
      <c r="AO86" s="59">
        <f t="shared" si="90"/>
        <v>270.58548917514111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268.69126752430674</v>
      </c>
      <c r="AV86" s="21">
        <f>EXP(-LN(2)/25)*AV85+(1-EXP(-LN(2)/25))/(LN(2)/25)*Calculateur!AQ86*Calculateur!AS86*VLOOKUP('Données projet'!$B$10,Paramètres!$A$1:$I$89,3,0)*0.475*44/12</f>
        <v>62.761243310386263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331.45251083469299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8.6</v>
      </c>
      <c r="BD86" s="12">
        <f>IF('Données projet'!$A$88&gt;35,BD85+BC86-BL85,IF(A86&lt;'Données projet'!$A$88,$BA$205^A86,IF(A86='Données projet'!$A$88,'Données projet'!$B$88,BD85+BC86-BL85)))</f>
        <v>320.79999999999995</v>
      </c>
      <c r="BE86" s="13">
        <f>BD86*VLOOKUP('Données projet'!$B$11,Paramètres!$A$1:$I$89,3,0)*VLOOKUP('Données projet'!$B$11,Paramètres!$A$1:$I$89,5,0)</f>
        <v>275.24639999999999</v>
      </c>
      <c r="BF86" s="13">
        <f t="shared" si="91"/>
        <v>65.961437635923687</v>
      </c>
      <c r="BG86" s="20">
        <f t="shared" si="61"/>
        <v>594.27031721590038</v>
      </c>
      <c r="BH86" s="59">
        <f t="shared" si="62"/>
        <v>887.60365054923363</v>
      </c>
      <c r="BI86" s="59">
        <f ca="1">AVERAGE(OFFSET($BH$3,0,0,'Données projet'!$E$11+1,1))-AVERAGE(OFFSET($H$3,0,0,'Données projet'!$E$11+1,1))</f>
        <v>359.99244410291516</v>
      </c>
      <c r="BJ86" s="59">
        <f t="shared" si="92"/>
        <v>143.73379124174278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18.635083377642069</v>
      </c>
      <c r="BQ86" s="21">
        <f>EXP(-LN(2)/25)*BQ85+(1-EXP(-LN(2)/25))/(LN(2)/25)*Calculateur!BL86*Calculateur!BN86*VLOOKUP('Données projet'!$B$11,Paramètres!$A$1:$I$89,3,0)*0.475*44/12</f>
        <v>2.5802473294057968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21.215330707047865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350.25444539178324</v>
      </c>
      <c r="T87" s="59">
        <f t="shared" si="88"/>
        <v>421.51176105448474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150.56706397468881</v>
      </c>
      <c r="AA87" s="21">
        <f>EXP(-LN(2)/25)*AA86+(1-EXP(-LN(2)/25))/(LN(2)/25)*Calculateur!V87*Calculateur!X87*VLOOKUP('Données projet'!$B$9,Paramètres!$A$1:$I$89,3,0)*0.475*44/12</f>
        <v>30.168967246319539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180.73603122100835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-9.0949470177292824E-13</v>
      </c>
      <c r="AJ87" s="13">
        <f>AI87*VLOOKUP('Données projet'!$B$10,Paramètres!$A$1:$I$89,3,0)*VLOOKUP('Données projet'!$B$10,Paramètres!$A$1:$I$89,5,0)</f>
        <v>-4.492903826758266E-13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350.14981500723491</v>
      </c>
      <c r="AO87" s="59">
        <f t="shared" si="90"/>
        <v>270.58548917514111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263.42239565364594</v>
      </c>
      <c r="AV87" s="21">
        <f>EXP(-LN(2)/25)*AV86+(1-EXP(-LN(2)/25))/(LN(2)/25)*Calculateur!AQ87*Calculateur!AS87*VLOOKUP('Données projet'!$B$10,Paramètres!$A$1:$I$89,3,0)*0.475*44/12</f>
        <v>61.045033811593406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324.46742946523932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8.6</v>
      </c>
      <c r="BD87" s="12">
        <f>IF('Données projet'!$A$88&gt;35,BD86+BC87-BL86,IF(A87&lt;'Données projet'!$A$88,$BA$205^A87,IF(A87='Données projet'!$A$88,'Données projet'!$B$88,BD86+BC87-BL86)))</f>
        <v>329.4</v>
      </c>
      <c r="BE87" s="13">
        <f>BD87*VLOOKUP('Données projet'!$B$11,Paramètres!$A$1:$I$89,3,0)*VLOOKUP('Données projet'!$B$11,Paramètres!$A$1:$I$89,5,0)</f>
        <v>282.62520000000001</v>
      </c>
      <c r="BF87" s="13">
        <f t="shared" si="91"/>
        <v>67.521487432655931</v>
      </c>
      <c r="BG87" s="20">
        <f t="shared" si="61"/>
        <v>609.83881394520915</v>
      </c>
      <c r="BH87" s="59">
        <f t="shared" si="62"/>
        <v>903.17214727854252</v>
      </c>
      <c r="BI87" s="59">
        <f ca="1">AVERAGE(OFFSET($BH$3,0,0,'Données projet'!$E$11+1,1))-AVERAGE(OFFSET($H$3,0,0,'Données projet'!$E$11+1,1))</f>
        <v>359.99244410291516</v>
      </c>
      <c r="BJ87" s="59">
        <f t="shared" si="92"/>
        <v>143.73379124174278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18.269660758885042</v>
      </c>
      <c r="BQ87" s="21">
        <f>EXP(-LN(2)/25)*BQ86+(1-EXP(-LN(2)/25))/(LN(2)/25)*Calculateur!BL87*Calculateur!BN87*VLOOKUP('Données projet'!$B$11,Paramètres!$A$1:$I$89,3,0)*0.475*44/12</f>
        <v>2.5096903304938856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20.779351089378927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350.25444539178324</v>
      </c>
      <c r="T88" s="59">
        <f t="shared" si="88"/>
        <v>421.51176105448474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147.61453568698604</v>
      </c>
      <c r="AA88" s="21">
        <f>EXP(-LN(2)/25)*AA87+(1-EXP(-LN(2)/25))/(LN(2)/25)*Calculateur!V88*Calculateur!X88*VLOOKUP('Données projet'!$B$9,Paramètres!$A$1:$I$89,3,0)*0.475*44/12</f>
        <v>29.343995250451897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176.95853093743796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-9.0949470177292824E-13</v>
      </c>
      <c r="AJ88" s="13">
        <f>AI88*VLOOKUP('Données projet'!$B$10,Paramètres!$A$1:$I$89,3,0)*VLOOKUP('Données projet'!$B$10,Paramètres!$A$1:$I$89,5,0)</f>
        <v>-4.492903826758266E-13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350.14981500723491</v>
      </c>
      <c r="AO88" s="59">
        <f t="shared" si="90"/>
        <v>270.58548917514111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258.25684314667427</v>
      </c>
      <c r="AV88" s="21">
        <f>EXP(-LN(2)/25)*AV87+(1-EXP(-LN(2)/25))/(LN(2)/25)*Calculateur!AQ88*Calculateur!AS88*VLOOKUP('Données projet'!$B$10,Paramètres!$A$1:$I$89,3,0)*0.475*44/12</f>
        <v>59.375754151796578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317.63259729847084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338</v>
      </c>
      <c r="BB88" s="12">
        <f>VLOOKUP(A88,'Données projet'!$A$87:$I$107,9,0)</f>
        <v>8.6</v>
      </c>
      <c r="BC88" s="12">
        <f t="array" ref="BC88">INDEX(BB:BB,MIN(IF(ISNUMBER(BB88:BB284),ROW(BB88:BB284),"")))</f>
        <v>8.6</v>
      </c>
      <c r="BD88" s="12">
        <f>IF('Données projet'!$A$88&gt;35,BD87+BC88-BL87,IF(A88&lt;'Données projet'!$A$88,$BA$205^A88,IF(A88='Données projet'!$A$88,'Données projet'!$B$88,BD87+BC88-BL87)))</f>
        <v>338</v>
      </c>
      <c r="BE88" s="13">
        <f>BD88*VLOOKUP('Données projet'!$B$11,Paramètres!$A$1:$I$89,3,0)*VLOOKUP('Données projet'!$B$11,Paramètres!$A$1:$I$89,5,0)</f>
        <v>290.00400000000002</v>
      </c>
      <c r="BF88" s="13">
        <f t="shared" si="91"/>
        <v>69.076802897485948</v>
      </c>
      <c r="BG88" s="20">
        <f t="shared" si="61"/>
        <v>625.39906504645467</v>
      </c>
      <c r="BH88" s="59">
        <f t="shared" si="62"/>
        <v>918.73239837978804</v>
      </c>
      <c r="BI88" s="59">
        <f ca="1">AVERAGE(OFFSET($BH$3,0,0,'Données projet'!$E$11+1,1))-AVERAGE(OFFSET($H$3,0,0,'Données projet'!$E$11+1,1))</f>
        <v>359.99244410291516</v>
      </c>
      <c r="BJ88" s="59">
        <f t="shared" si="92"/>
        <v>143.73379124174278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17.911403854796049</v>
      </c>
      <c r="BQ88" s="21">
        <f>EXP(-LN(2)/25)*BQ87+(1-EXP(-LN(2)/25))/(LN(2)/25)*Calculateur!BL88*Calculateur!BN88*VLOOKUP('Données projet'!$B$11,Paramètres!$A$1:$I$89,3,0)*0.475*44/12</f>
        <v>2.4410627164276519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20.352466571223701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350.25444539178324</v>
      </c>
      <c r="T89" s="59">
        <f t="shared" si="88"/>
        <v>421.51176105448474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144.71990467814069</v>
      </c>
      <c r="AA89" s="21">
        <f>EXP(-LN(2)/25)*AA88+(1-EXP(-LN(2)/25))/(LN(2)/25)*Calculateur!V89*Calculateur!X89*VLOOKUP('Données projet'!$B$9,Paramètres!$A$1:$I$89,3,0)*0.475*44/12</f>
        <v>28.541582157194647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173.26148683533535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-9.0949470177292824E-13</v>
      </c>
      <c r="AJ89" s="13">
        <f>AI89*VLOOKUP('Données projet'!$B$10,Paramètres!$A$1:$I$89,3,0)*VLOOKUP('Données projet'!$B$10,Paramètres!$A$1:$I$89,5,0)</f>
        <v>-4.492903826758266E-13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350.14981500723491</v>
      </c>
      <c r="AO89" s="59">
        <f t="shared" si="90"/>
        <v>270.58548917514111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253.19258397368839</v>
      </c>
      <c r="AV89" s="21">
        <f>EXP(-LN(2)/25)*AV88+(1-EXP(-LN(2)/25))/(LN(2)/25)*Calculateur!AQ89*Calculateur!AS89*VLOOKUP('Données projet'!$B$10,Paramètres!$A$1:$I$89,3,0)*0.475*44/12</f>
        <v>57.752121032080495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310.94470500576887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2.6</v>
      </c>
      <c r="BD89" s="12">
        <f>IF('Données projet'!$A$88&gt;35,BD88+BC89-BL88,IF(A89&lt;'Données projet'!$A$88,$BA$205^A89,IF(A89='Données projet'!$A$88,'Données projet'!$B$88,BD88+BC89-BL88)))</f>
        <v>340.6</v>
      </c>
      <c r="BE89" s="13">
        <f>BD89*VLOOKUP('Données projet'!$B$11,Paramètres!$A$1:$I$89,3,0)*VLOOKUP('Données projet'!$B$11,Paramètres!$A$1:$I$89,5,0)</f>
        <v>292.23480000000006</v>
      </c>
      <c r="BF89" s="13">
        <f t="shared" si="91"/>
        <v>69.546103016553758</v>
      </c>
      <c r="BG89" s="20">
        <f t="shared" si="61"/>
        <v>630.10173942049789</v>
      </c>
      <c r="BH89" s="59">
        <f t="shared" si="62"/>
        <v>923.43507275383126</v>
      </c>
      <c r="BI89" s="59">
        <f ca="1">AVERAGE(OFFSET($BH$3,0,0,'Données projet'!$E$11+1,1))-AVERAGE(OFFSET($H$3,0,0,'Données projet'!$E$11+1,1))</f>
        <v>359.99244410291516</v>
      </c>
      <c r="BJ89" s="59">
        <f t="shared" si="92"/>
        <v>143.73379124174278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17.560172150081108</v>
      </c>
      <c r="BQ89" s="21">
        <f>EXP(-LN(2)/25)*BQ88+(1-EXP(-LN(2)/25))/(LN(2)/25)*Calculateur!BL89*Calculateur!BN89*VLOOKUP('Données projet'!$B$11,Paramètres!$A$1:$I$89,3,0)*0.475*44/12</f>
        <v>2.3743117280770285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19.934483878158137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350.25444539178324</v>
      </c>
      <c r="T90" s="59">
        <f t="shared" si="88"/>
        <v>421.51176105448474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141.88203561782822</v>
      </c>
      <c r="AA90" s="21">
        <f>EXP(-LN(2)/25)*AA89+(1-EXP(-LN(2)/25))/(LN(2)/25)*Calculateur!V90*Calculateur!X90*VLOOKUP('Données projet'!$B$9,Paramètres!$A$1:$I$89,3,0)*0.475*44/12</f>
        <v>27.761111092169585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169.64314670999781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-9.0949470177292824E-13</v>
      </c>
      <c r="AJ90" s="13">
        <f>AI90*VLOOKUP('Données projet'!$B$10,Paramètres!$A$1:$I$89,3,0)*VLOOKUP('Données projet'!$B$10,Paramètres!$A$1:$I$89,5,0)</f>
        <v>-4.492903826758266E-13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350.14981500723491</v>
      </c>
      <c r="AO90" s="59">
        <f t="shared" si="90"/>
        <v>270.58548917514111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248.22763183419167</v>
      </c>
      <c r="AV90" s="21">
        <f>EXP(-LN(2)/25)*AV89+(1-EXP(-LN(2)/25))/(LN(2)/25)*Calculateur!AQ90*Calculateur!AS90*VLOOKUP('Données projet'!$B$10,Paramètres!$A$1:$I$89,3,0)*0.475*44/12</f>
        <v>56.172886245406204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304.40051807959787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2.6</v>
      </c>
      <c r="BD90" s="12">
        <f>IF('Données projet'!$A$88&gt;35,BD89+BC90-BL89,IF(A90&lt;'Données projet'!$A$88,$BA$205^A90,IF(A90='Données projet'!$A$88,'Données projet'!$B$88,BD89+BC90-BL89)))</f>
        <v>343.20000000000005</v>
      </c>
      <c r="BE90" s="13">
        <f>BD90*VLOOKUP('Données projet'!$B$11,Paramètres!$A$1:$I$89,3,0)*VLOOKUP('Données projet'!$B$11,Paramètres!$A$1:$I$89,5,0)</f>
        <v>294.46560000000011</v>
      </c>
      <c r="BF90" s="13">
        <f t="shared" si="91"/>
        <v>70.014986320104285</v>
      </c>
      <c r="BG90" s="20">
        <f t="shared" si="61"/>
        <v>634.80368784084851</v>
      </c>
      <c r="BH90" s="59">
        <f t="shared" si="62"/>
        <v>928.13702117418188</v>
      </c>
      <c r="BI90" s="59">
        <f ca="1">AVERAGE(OFFSET($BH$3,0,0,'Données projet'!$E$11+1,1))-AVERAGE(OFFSET($H$3,0,0,'Données projet'!$E$11+1,1))</f>
        <v>359.99244410291516</v>
      </c>
      <c r="BJ90" s="59">
        <f t="shared" si="92"/>
        <v>143.73379124174278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17.21582788486544</v>
      </c>
      <c r="BQ90" s="21">
        <f>EXP(-LN(2)/25)*BQ89+(1-EXP(-LN(2)/25))/(LN(2)/25)*Calculateur!BL90*Calculateur!BN90*VLOOKUP('Données projet'!$B$11,Paramètres!$A$1:$I$89,3,0)*0.475*44/12</f>
        <v>2.3093860490131348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19.525213933878575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350.25444539178324</v>
      </c>
      <c r="T91" s="59">
        <f t="shared" si="88"/>
        <v>421.51176105448474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139.09981543885928</v>
      </c>
      <c r="AA91" s="21">
        <f>EXP(-LN(2)/25)*AA90+(1-EXP(-LN(2)/25))/(LN(2)/25)*Calculateur!V91*Calculateur!X91*VLOOKUP('Données projet'!$B$9,Paramètres!$A$1:$I$89,3,0)*0.475*44/12</f>
        <v>27.001982049460825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166.1017974883201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-9.0949470177292824E-13</v>
      </c>
      <c r="AJ91" s="13">
        <f>AI91*VLOOKUP('Données projet'!$B$10,Paramètres!$A$1:$I$89,3,0)*VLOOKUP('Données projet'!$B$10,Paramètres!$A$1:$I$89,5,0)</f>
        <v>-4.492903826758266E-13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350.14981500723491</v>
      </c>
      <c r="AO91" s="59">
        <f t="shared" si="90"/>
        <v>270.58548917514111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243.36003937782868</v>
      </c>
      <c r="AV91" s="21">
        <f>EXP(-LN(2)/25)*AV90+(1-EXP(-LN(2)/25))/(LN(2)/25)*Calculateur!AQ91*Calculateur!AS91*VLOOKUP('Données projet'!$B$10,Paramètres!$A$1:$I$89,3,0)*0.475*44/12</f>
        <v>54.636835717021867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297.99687509485057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2.6</v>
      </c>
      <c r="BD91" s="12">
        <f>IF('Données projet'!$A$88&gt;35,BD90+BC91-BL90,IF(A91&lt;'Données projet'!$A$88,$BA$205^A91,IF(A91='Données projet'!$A$88,'Données projet'!$B$88,BD90+BC91-BL90)))</f>
        <v>345.80000000000007</v>
      </c>
      <c r="BE91" s="13">
        <f>BD91*VLOOKUP('Données projet'!$B$11,Paramètres!$A$1:$I$89,3,0)*VLOOKUP('Données projet'!$B$11,Paramètres!$A$1:$I$89,5,0)</f>
        <v>296.6964000000001</v>
      </c>
      <c r="BF91" s="13">
        <f t="shared" si="91"/>
        <v>70.483456331899987</v>
      </c>
      <c r="BG91" s="20">
        <f t="shared" si="61"/>
        <v>639.50491644472595</v>
      </c>
      <c r="BH91" s="59">
        <f t="shared" si="62"/>
        <v>932.83824977805921</v>
      </c>
      <c r="BI91" s="59">
        <f ca="1">AVERAGE(OFFSET($BH$3,0,0,'Données projet'!$E$11+1,1))-AVERAGE(OFFSET($H$3,0,0,'Données projet'!$E$11+1,1))</f>
        <v>359.99244410291516</v>
      </c>
      <c r="BJ91" s="59">
        <f t="shared" si="92"/>
        <v>143.73379124174278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16.878236000661389</v>
      </c>
      <c r="BQ91" s="21">
        <f>EXP(-LN(2)/25)*BQ90+(1-EXP(-LN(2)/25))/(LN(2)/25)*Calculateur!BL91*Calculateur!BN91*VLOOKUP('Données projet'!$B$11,Paramètres!$A$1:$I$89,3,0)*0.475*44/12</f>
        <v>2.2462357660575365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19.124471766718926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350.25444539178324</v>
      </c>
      <c r="T92" s="59">
        <f t="shared" si="88"/>
        <v>421.51176105448474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136.37215290061317</v>
      </c>
      <c r="AA92" s="21">
        <f>EXP(-LN(2)/25)*AA91+(1-EXP(-LN(2)/25))/(LN(2)/25)*Calculateur!V92*Calculateur!X92*VLOOKUP('Données projet'!$B$9,Paramètres!$A$1:$I$89,3,0)*0.475*44/12</f>
        <v>26.263611430345797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162.63576433095898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-9.0949470177292824E-13</v>
      </c>
      <c r="AJ92" s="13">
        <f>AI92*VLOOKUP('Données projet'!$B$10,Paramètres!$A$1:$I$89,3,0)*VLOOKUP('Données projet'!$B$10,Paramètres!$A$1:$I$89,5,0)</f>
        <v>-4.492903826758266E-13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350.14981500723491</v>
      </c>
      <c r="AO92" s="59">
        <f t="shared" si="90"/>
        <v>270.58548917514111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238.58789744059675</v>
      </c>
      <c r="AV92" s="21">
        <f>EXP(-LN(2)/25)*AV91+(1-EXP(-LN(2)/25))/(LN(2)/25)*Calculateur!AQ92*Calculateur!AS92*VLOOKUP('Données projet'!$B$10,Paramètres!$A$1:$I$89,3,0)*0.475*44/12</f>
        <v>53.142788571113591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291.73068601171036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2.6</v>
      </c>
      <c r="BD92" s="12">
        <f>IF('Données projet'!$A$88&gt;35,BD91+BC92-BL91,IF(A92&lt;'Données projet'!$A$88,$BA$205^A92,IF(A92='Données projet'!$A$88,'Données projet'!$B$88,BD91+BC92-BL91)))</f>
        <v>348.40000000000009</v>
      </c>
      <c r="BE92" s="13">
        <f>BD92*VLOOKUP('Données projet'!$B$11,Paramètres!$A$1:$I$89,3,0)*VLOOKUP('Données projet'!$B$11,Paramètres!$A$1:$I$89,5,0)</f>
        <v>298.92720000000008</v>
      </c>
      <c r="BF92" s="13">
        <f t="shared" si="91"/>
        <v>70.951516519653637</v>
      </c>
      <c r="BG92" s="20">
        <f t="shared" si="61"/>
        <v>644.20543127173016</v>
      </c>
      <c r="BH92" s="59">
        <f t="shared" si="62"/>
        <v>937.53876460506353</v>
      </c>
      <c r="BI92" s="59">
        <f ca="1">AVERAGE(OFFSET($BH$3,0,0,'Données projet'!$E$11+1,1))-AVERAGE(OFFSET($H$3,0,0,'Données projet'!$E$11+1,1))</f>
        <v>359.99244410291516</v>
      </c>
      <c r="BJ92" s="59">
        <f t="shared" si="92"/>
        <v>143.73379124174278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16.54726408739586</v>
      </c>
      <c r="BQ92" s="21">
        <f>EXP(-LN(2)/25)*BQ91+(1-EXP(-LN(2)/25))/(LN(2)/25)*Calculateur!BL92*Calculateur!BN92*VLOOKUP('Données projet'!$B$11,Paramètres!$A$1:$I$89,3,0)*0.475*44/12</f>
        <v>2.184812330910288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18.732076418306146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350.25444539178324</v>
      </c>
      <c r="T93" s="59">
        <f t="shared" si="88"/>
        <v>421.51176105448474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133.69797816103218</v>
      </c>
      <c r="AA93" s="21">
        <f>EXP(-LN(2)/25)*AA92+(1-EXP(-LN(2)/25))/(LN(2)/25)*Calculateur!V93*Calculateur!X93*VLOOKUP('Données projet'!$B$9,Paramètres!$A$1:$I$89,3,0)*0.475*44/12</f>
        <v>25.545431594639691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159.24340975567188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-9.0949470177292824E-13</v>
      </c>
      <c r="AJ93" s="13">
        <f>AI93*VLOOKUP('Données projet'!$B$10,Paramètres!$A$1:$I$89,3,0)*VLOOKUP('Données projet'!$B$10,Paramètres!$A$1:$I$89,5,0)</f>
        <v>-4.492903826758266E-13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350.14981500723491</v>
      </c>
      <c r="AO93" s="59">
        <f t="shared" si="90"/>
        <v>270.58548917514111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233.90933429603476</v>
      </c>
      <c r="AV93" s="21">
        <f>EXP(-LN(2)/25)*AV92+(1-EXP(-LN(2)/25))/(LN(2)/25)*Calculateur!AQ93*Calculateur!AS93*VLOOKUP('Données projet'!$B$10,Paramètres!$A$1:$I$89,3,0)*0.475*44/12</f>
        <v>51.6895962229787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285.59893051901344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351</v>
      </c>
      <c r="BB93" s="12">
        <f>VLOOKUP(A93,'Données projet'!$A$87:$I$107,9,0)</f>
        <v>2.6</v>
      </c>
      <c r="BC93" s="12">
        <f t="array" ref="BC93">INDEX(BB:BB,MIN(IF(ISNUMBER(BB93:BB289),ROW(BB93:BB289),"")))</f>
        <v>2.6</v>
      </c>
      <c r="BD93" s="12">
        <f>IF('Données projet'!$A$88&gt;35,BD92+BC93-BL92,IF(A93&lt;'Données projet'!$A$88,$BA$205^A93,IF(A93='Données projet'!$A$88,'Données projet'!$B$88,BD92+BC93-BL92)))</f>
        <v>351.00000000000011</v>
      </c>
      <c r="BE93" s="13">
        <f>BD93*VLOOKUP('Données projet'!$B$11,Paramètres!$A$1:$I$89,3,0)*VLOOKUP('Données projet'!$B$11,Paramètres!$A$1:$I$89,5,0)</f>
        <v>301.15800000000013</v>
      </c>
      <c r="BF93" s="13">
        <f t="shared" si="91"/>
        <v>71.419170296331032</v>
      </c>
      <c r="BG93" s="20">
        <f t="shared" si="61"/>
        <v>648.90523826611013</v>
      </c>
      <c r="BH93" s="59">
        <f t="shared" si="62"/>
        <v>942.2385715994435</v>
      </c>
      <c r="BI93" s="59">
        <f ca="1">AVERAGE(OFFSET($BH$3,0,0,'Données projet'!$E$11+1,1))-AVERAGE(OFFSET($H$3,0,0,'Données projet'!$E$11+1,1))</f>
        <v>359.99244410291516</v>
      </c>
      <c r="BJ93" s="59">
        <f t="shared" si="92"/>
        <v>143.73379124174278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16.222782331476534</v>
      </c>
      <c r="BQ93" s="21">
        <f>EXP(-LN(2)/25)*BQ92+(1-EXP(-LN(2)/25))/(LN(2)/25)*Calculateur!BL93*Calculateur!BN93*VLOOKUP('Données projet'!$B$11,Paramètres!$A$1:$I$89,3,0)*0.475*44/12</f>
        <v>2.125068522827259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18.347850854303793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350.25444539178324</v>
      </c>
      <c r="T94" s="59">
        <f t="shared" si="88"/>
        <v>421.51176105448474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131.07624235700885</v>
      </c>
      <c r="AA94" s="21">
        <f>EXP(-LN(2)/25)*AA93+(1-EXP(-LN(2)/25))/(LN(2)/25)*Calculateur!V94*Calculateur!X94*VLOOKUP('Données projet'!$B$9,Paramètres!$A$1:$I$89,3,0)*0.475*44/12</f>
        <v>24.846890424308405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155.92313278131726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-9.0949470177292824E-13</v>
      </c>
      <c r="AJ94" s="13">
        <f>AI94*VLOOKUP('Données projet'!$B$10,Paramètres!$A$1:$I$89,3,0)*VLOOKUP('Données projet'!$B$10,Paramètres!$A$1:$I$89,5,0)</f>
        <v>-4.492903826758266E-13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350.14981500723491</v>
      </c>
      <c r="AO94" s="59">
        <f t="shared" si="90"/>
        <v>270.58548917514111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229.32251492109589</v>
      </c>
      <c r="AV94" s="21">
        <f>EXP(-LN(2)/25)*AV93+(1-EXP(-LN(2)/25))/(LN(2)/25)*Calculateur!AQ94*Calculateur!AS94*VLOOKUP('Données projet'!$B$10,Paramètres!$A$1:$I$89,3,0)*0.475*44/12</f>
        <v>50.276141496023619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279.59865641711951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2.6</v>
      </c>
      <c r="BD94" s="12">
        <f>IF('Données projet'!$A$88&gt;35,BD93+BC94-BL93,IF(A94&lt;'Données projet'!$A$88,$BA$205^A94,IF(A94='Données projet'!$A$88,'Données projet'!$B$88,BD93+BC94-BL93)))</f>
        <v>353.60000000000014</v>
      </c>
      <c r="BE94" s="13">
        <f>BD94*VLOOKUP('Données projet'!$B$11,Paramètres!$A$1:$I$89,3,0)*VLOOKUP('Données projet'!$B$11,Paramètres!$A$1:$I$89,5,0)</f>
        <v>303.38880000000017</v>
      </c>
      <c r="BF94" s="13">
        <f t="shared" si="91"/>
        <v>71.886421021414478</v>
      </c>
      <c r="BG94" s="20">
        <f t="shared" si="61"/>
        <v>653.60434327896394</v>
      </c>
      <c r="BH94" s="59">
        <f t="shared" si="62"/>
        <v>946.93767661229731</v>
      </c>
      <c r="BI94" s="59">
        <f ca="1">AVERAGE(OFFSET($BH$3,0,0,'Données projet'!$E$11+1,1))-AVERAGE(OFFSET($H$3,0,0,'Données projet'!$E$11+1,1))</f>
        <v>359.99244410291516</v>
      </c>
      <c r="BJ94" s="59">
        <f t="shared" si="92"/>
        <v>143.73379124174278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15.904663464876458</v>
      </c>
      <c r="BQ94" s="21">
        <f>EXP(-LN(2)/25)*BQ93+(1-EXP(-LN(2)/25))/(LN(2)/25)*Calculateur!BL94*Calculateur!BN94*VLOOKUP('Données projet'!$B$11,Paramètres!$A$1:$I$89,3,0)*0.475*44/12</f>
        <v>2.0669584123180509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17.971621877194508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350.25444539178324</v>
      </c>
      <c r="T95" s="59">
        <f t="shared" si="88"/>
        <v>421.51176105448474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128.50591719300147</v>
      </c>
      <c r="AA95" s="21">
        <f>EXP(-LN(2)/25)*AA94+(1-EXP(-LN(2)/25))/(LN(2)/25)*Calculateur!V95*Calculateur!X95*VLOOKUP('Données projet'!$B$9,Paramètres!$A$1:$I$89,3,0)*0.475*44/12</f>
        <v>24.167450899014511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152.67336809201598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-9.0949470177292824E-13</v>
      </c>
      <c r="AJ95" s="13">
        <f>AI95*VLOOKUP('Données projet'!$B$10,Paramètres!$A$1:$I$89,3,0)*VLOOKUP('Données projet'!$B$10,Paramètres!$A$1:$I$89,5,0)</f>
        <v>-4.492903826758266E-13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350.14981500723491</v>
      </c>
      <c r="AO95" s="59">
        <f t="shared" si="90"/>
        <v>270.58548917514111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224.82564027641598</v>
      </c>
      <c r="AV95" s="21">
        <f>EXP(-LN(2)/25)*AV94+(1-EXP(-LN(2)/25))/(LN(2)/25)*Calculateur!AQ95*Calculateur!AS95*VLOOKUP('Données projet'!$B$10,Paramètres!$A$1:$I$89,3,0)*0.475*44/12</f>
        <v>48.901337762907481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273.72697803932346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2.6</v>
      </c>
      <c r="BD95" s="12">
        <f>IF('Données projet'!$A$88&gt;35,BD94+BC95-BL94,IF(A95&lt;'Données projet'!$A$88,$BA$205^A95,IF(A95='Données projet'!$A$88,'Données projet'!$B$88,BD94+BC95-BL94)))</f>
        <v>356.20000000000016</v>
      </c>
      <c r="BE95" s="13">
        <f>BD95*VLOOKUP('Données projet'!$B$11,Paramètres!$A$1:$I$89,3,0)*VLOOKUP('Données projet'!$B$11,Paramètres!$A$1:$I$89,5,0)</f>
        <v>305.61960000000016</v>
      </c>
      <c r="BF95" s="13">
        <f t="shared" si="91"/>
        <v>72.35327200212754</v>
      </c>
      <c r="BG95" s="20">
        <f t="shared" si="61"/>
        <v>658.30275207037232</v>
      </c>
      <c r="BH95" s="59">
        <f t="shared" si="62"/>
        <v>951.63608540370569</v>
      </c>
      <c r="BI95" s="59">
        <f ca="1">AVERAGE(OFFSET($BH$3,0,0,'Données projet'!$E$11+1,1))-AVERAGE(OFFSET($H$3,0,0,'Données projet'!$E$11+1,1))</f>
        <v>359.99244410291516</v>
      </c>
      <c r="BJ95" s="59">
        <f t="shared" si="92"/>
        <v>143.73379124174278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15.592782715217062</v>
      </c>
      <c r="BQ95" s="21">
        <f>EXP(-LN(2)/25)*BQ94+(1-EXP(-LN(2)/25))/(LN(2)/25)*Calculateur!BL95*Calculateur!BN95*VLOOKUP('Données projet'!$B$11,Paramètres!$A$1:$I$89,3,0)*0.475*44/12</f>
        <v>2.0104373258365951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17.603220041053657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350.25444539178324</v>
      </c>
      <c r="T96" s="59">
        <f t="shared" si="88"/>
        <v>421.51176105448474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125.98599453771672</v>
      </c>
      <c r="AA96" s="21">
        <f>EXP(-LN(2)/25)*AA95+(1-EXP(-LN(2)/25))/(LN(2)/25)*Calculateur!V96*Calculateur!X96*VLOOKUP('Données projet'!$B$9,Paramètres!$A$1:$I$89,3,0)*0.475*44/12</f>
        <v>23.506590683269952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149.49258522098668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-9.0949470177292824E-13</v>
      </c>
      <c r="AJ96" s="13">
        <f>AI96*VLOOKUP('Données projet'!$B$10,Paramètres!$A$1:$I$89,3,0)*VLOOKUP('Données projet'!$B$10,Paramètres!$A$1:$I$89,5,0)</f>
        <v>-4.492903826758266E-13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350.14981500723491</v>
      </c>
      <c r="AO96" s="59">
        <f t="shared" si="90"/>
        <v>270.58548917514111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220.41694660069555</v>
      </c>
      <c r="AV96" s="21">
        <f>EXP(-LN(2)/25)*AV95+(1-EXP(-LN(2)/25))/(LN(2)/25)*Calculateur!AQ96*Calculateur!AS96*VLOOKUP('Données projet'!$B$10,Paramètres!$A$1:$I$89,3,0)*0.475*44/12</f>
        <v>47.56412811017119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267.98107471086672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2.6</v>
      </c>
      <c r="BD96" s="12">
        <f>IF('Données projet'!$A$88&gt;35,BD95+BC96-BL95,IF(A96&lt;'Données projet'!$A$88,$BA$205^A96,IF(A96='Données projet'!$A$88,'Données projet'!$B$88,BD95+BC96-BL95)))</f>
        <v>358.80000000000018</v>
      </c>
      <c r="BE96" s="13">
        <f>BD96*VLOOKUP('Données projet'!$B$11,Paramètres!$A$1:$I$89,3,0)*VLOOKUP('Données projet'!$B$11,Paramètres!$A$1:$I$89,5,0)</f>
        <v>307.85040000000021</v>
      </c>
      <c r="BF96" s="13">
        <f t="shared" si="91"/>
        <v>72.819726494623865</v>
      </c>
      <c r="BG96" s="20">
        <f t="shared" si="61"/>
        <v>663.00047031147028</v>
      </c>
      <c r="BH96" s="59">
        <f t="shared" si="62"/>
        <v>956.33380364480354</v>
      </c>
      <c r="BI96" s="59">
        <f ca="1">AVERAGE(OFFSET($BH$3,0,0,'Données projet'!$E$11+1,1))-AVERAGE(OFFSET($H$3,0,0,'Données projet'!$E$11+1,1))</f>
        <v>359.99244410291516</v>
      </c>
      <c r="BJ96" s="59">
        <f t="shared" si="92"/>
        <v>143.73379124174278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15.287017756830013</v>
      </c>
      <c r="BQ96" s="21">
        <f>EXP(-LN(2)/25)*BQ95+(1-EXP(-LN(2)/25))/(LN(2)/25)*Calculateur!BL96*Calculateur!BN96*VLOOKUP('Données projet'!$B$11,Paramètres!$A$1:$I$89,3,0)*0.475*44/12</f>
        <v>1.9554618114372893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17.242479568267303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350.25444539178324</v>
      </c>
      <c r="T97" s="59">
        <f t="shared" si="88"/>
        <v>421.51176105448474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123.51548602870106</v>
      </c>
      <c r="AA97" s="21">
        <f>EXP(-LN(2)/25)*AA96+(1-EXP(-LN(2)/25))/(LN(2)/25)*Calculateur!V97*Calculateur!X97*VLOOKUP('Données projet'!$B$9,Paramètres!$A$1:$I$89,3,0)*0.475*44/12</f>
        <v>22.863801724878055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146.37928775357912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-9.0949470177292824E-13</v>
      </c>
      <c r="AJ97" s="13">
        <f>AI97*VLOOKUP('Données projet'!$B$10,Paramètres!$A$1:$I$89,3,0)*VLOOKUP('Données projet'!$B$10,Paramètres!$A$1:$I$89,5,0)</f>
        <v>-4.492903826758266E-13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350.14981500723491</v>
      </c>
      <c r="AO97" s="59">
        <f t="shared" si="90"/>
        <v>270.58548917514111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216.09470471891839</v>
      </c>
      <c r="AV97" s="21">
        <f>EXP(-LN(2)/25)*AV96+(1-EXP(-LN(2)/25))/(LN(2)/25)*Calculateur!AQ97*Calculateur!AS97*VLOOKUP('Données projet'!$B$10,Paramètres!$A$1:$I$89,3,0)*0.475*44/12</f>
        <v>46.263484525709771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262.35818924462819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2.6</v>
      </c>
      <c r="BD97" s="12">
        <f>IF('Données projet'!$A$88&gt;35,BD96+BC97-BL96,IF(A97&lt;'Données projet'!$A$88,$BA$205^A97,IF(A97='Données projet'!$A$88,'Données projet'!$B$88,BD96+BC97-BL96)))</f>
        <v>361.4000000000002</v>
      </c>
      <c r="BE97" s="13">
        <f>BD97*VLOOKUP('Données projet'!$B$11,Paramètres!$A$1:$I$89,3,0)*VLOOKUP('Données projet'!$B$11,Paramètres!$A$1:$I$89,5,0)</f>
        <v>310.08120000000019</v>
      </c>
      <c r="BF97" s="13">
        <f t="shared" si="91"/>
        <v>73.285787705139498</v>
      </c>
      <c r="BG97" s="20">
        <f t="shared" si="61"/>
        <v>667.69750358645172</v>
      </c>
      <c r="BH97" s="59">
        <f t="shared" si="62"/>
        <v>961.03083691978509</v>
      </c>
      <c r="BI97" s="59">
        <f ca="1">AVERAGE(OFFSET($BH$3,0,0,'Données projet'!$E$11+1,1))-AVERAGE(OFFSET($H$3,0,0,'Données projet'!$E$11+1,1))</f>
        <v>359.99244410291516</v>
      </c>
      <c r="BJ97" s="59">
        <f t="shared" si="92"/>
        <v>143.73379124174278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14.987248662778724</v>
      </c>
      <c r="BQ97" s="21">
        <f>EXP(-LN(2)/25)*BQ96+(1-EXP(-LN(2)/25))/(LN(2)/25)*Calculateur!BL97*Calculateur!BN97*VLOOKUP('Données projet'!$B$11,Paramètres!$A$1:$I$89,3,0)*0.475*44/12</f>
        <v>1.9019896053702692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16.889238268148993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350.25444539178324</v>
      </c>
      <c r="T98" s="59">
        <f t="shared" si="88"/>
        <v>421.51176105448474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121.09342268468581</v>
      </c>
      <c r="AA98" s="21">
        <f>EXP(-LN(2)/25)*AA97+(1-EXP(-LN(2)/25))/(LN(2)/25)*Calculateur!V98*Calculateur!X98*VLOOKUP('Données projet'!$B$9,Paramètres!$A$1:$I$89,3,0)*0.475*44/12</f>
        <v>22.238589864356189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143.33201254904199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-9.0949470177292824E-13</v>
      </c>
      <c r="AJ98" s="13">
        <f>AI98*VLOOKUP('Données projet'!$B$10,Paramètres!$A$1:$I$89,3,0)*VLOOKUP('Données projet'!$B$10,Paramètres!$A$1:$I$89,5,0)</f>
        <v>-4.492903826758266E-13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350.14981500723491</v>
      </c>
      <c r="AO98" s="59">
        <f t="shared" si="90"/>
        <v>270.58548917514111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211.85721936413563</v>
      </c>
      <c r="AV98" s="21">
        <f>EXP(-LN(2)/25)*AV97+(1-EXP(-LN(2)/25))/(LN(2)/25)*Calculateur!AQ98*Calculateur!AS98*VLOOKUP('Données projet'!$B$10,Paramètres!$A$1:$I$89,3,0)*0.475*44/12</f>
        <v>44.998407108463326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256.85562647259894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364</v>
      </c>
      <c r="BB98" s="12">
        <f>VLOOKUP(A98,'Données projet'!$A$87:$I$107,9,0)</f>
        <v>2.6</v>
      </c>
      <c r="BC98" s="12">
        <f t="array" ref="BC98">INDEX(BB:BB,MIN(IF(ISNUMBER(BB98:BB294),ROW(BB98:BB294),"")))</f>
        <v>2.6</v>
      </c>
      <c r="BD98" s="12">
        <f>IF('Données projet'!$A$88&gt;35,BD97+BC98-BL97,IF(A98&lt;'Données projet'!$A$88,$BA$205^A98,IF(A98='Données projet'!$A$88,'Données projet'!$B$88,BD97+BC98-BL97)))</f>
        <v>364.00000000000023</v>
      </c>
      <c r="BE98" s="13">
        <f>BD98*VLOOKUP('Données projet'!$B$11,Paramètres!$A$1:$I$89,3,0)*VLOOKUP('Données projet'!$B$11,Paramètres!$A$1:$I$89,5,0)</f>
        <v>312.31200000000024</v>
      </c>
      <c r="BF98" s="13">
        <f t="shared" si="91"/>
        <v>73.751458791112086</v>
      </c>
      <c r="BG98" s="20">
        <f t="shared" si="61"/>
        <v>672.39385739452064</v>
      </c>
      <c r="BH98" s="59">
        <f t="shared" si="62"/>
        <v>965.72719072785389</v>
      </c>
      <c r="BI98" s="59">
        <f ca="1">AVERAGE(OFFSET($BH$3,0,0,'Données projet'!$E$11+1,1))-AVERAGE(OFFSET($H$3,0,0,'Données projet'!$E$11+1,1))</f>
        <v>359.99244410291516</v>
      </c>
      <c r="BJ98" s="59">
        <f t="shared" si="92"/>
        <v>143.73379124174278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14.693357857820686</v>
      </c>
      <c r="BQ98" s="21">
        <f>EXP(-LN(2)/25)*BQ97+(1-EXP(-LN(2)/25))/(LN(2)/25)*Calculateur!BL98*Calculateur!BN98*VLOOKUP('Données projet'!$B$11,Paramètres!$A$1:$I$89,3,0)*0.475*44/12</f>
        <v>1.8499795995901329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16.543337457410818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350.25444539178324</v>
      </c>
      <c r="T99" s="59">
        <f t="shared" si="88"/>
        <v>421.51176105448474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118.71885452553391</v>
      </c>
      <c r="AA99" s="21">
        <f>EXP(-LN(2)/25)*AA98+(1-EXP(-LN(2)/25))/(LN(2)/25)*Calculateur!V99*Calculateur!X99*VLOOKUP('Données projet'!$B$9,Paramètres!$A$1:$I$89,3,0)*0.475*44/12</f>
        <v>21.630474455038755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140.34932898057266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-9.0949470177292824E-13</v>
      </c>
      <c r="AJ99" s="13">
        <f>AI99*VLOOKUP('Données projet'!$B$10,Paramètres!$A$1:$I$89,3,0)*VLOOKUP('Données projet'!$B$10,Paramètres!$A$1:$I$89,5,0)</f>
        <v>-4.492903826758266E-13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350.14981500723491</v>
      </c>
      <c r="AO99" s="59">
        <f t="shared" si="90"/>
        <v>270.58548917514111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207.7028285125493</v>
      </c>
      <c r="AV99" s="21">
        <f>EXP(-LN(2)/25)*AV98+(1-EXP(-LN(2)/25))/(LN(2)/25)*Calculateur!AQ99*Calculateur!AS99*VLOOKUP('Données projet'!$B$10,Paramètres!$A$1:$I$89,3,0)*0.475*44/12</f>
        <v>43.767923299719008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251.4707518122683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2.4</v>
      </c>
      <c r="BD99" s="12">
        <f>IF('Données projet'!$A$88&gt;35,BD98+BC99-BL98,IF(A99&lt;'Données projet'!$A$88,$BA$205^A99,IF(A99='Données projet'!$A$88,'Données projet'!$B$88,BD98+BC99-BL98)))</f>
        <v>366.4000000000002</v>
      </c>
      <c r="BE99" s="13">
        <f>BD99*VLOOKUP('Données projet'!$B$11,Paramètres!$A$1:$I$89,3,0)*VLOOKUP('Données projet'!$B$11,Paramètres!$A$1:$I$89,5,0)</f>
        <v>314.37120000000021</v>
      </c>
      <c r="BF99" s="13">
        <f t="shared" si="91"/>
        <v>74.180965450048433</v>
      </c>
      <c r="BG99" s="20">
        <f t="shared" si="61"/>
        <v>676.72835482550136</v>
      </c>
      <c r="BH99" s="59">
        <f t="shared" si="62"/>
        <v>970.06168815883461</v>
      </c>
      <c r="BI99" s="59">
        <f ca="1">AVERAGE(OFFSET($BH$3,0,0,'Données projet'!$E$11+1,1))-AVERAGE(OFFSET($H$3,0,0,'Données projet'!$E$11+1,1))</f>
        <v>359.99244410291516</v>
      </c>
      <c r="BJ99" s="59">
        <f t="shared" si="92"/>
        <v>143.73379124174278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14.405230072292186</v>
      </c>
      <c r="BQ99" s="21">
        <f>EXP(-LN(2)/25)*BQ98+(1-EXP(-LN(2)/25))/(LN(2)/25)*Calculateur!BL99*Calculateur!BN99*VLOOKUP('Données projet'!$B$11,Paramètres!$A$1:$I$89,3,0)*0.475*44/12</f>
        <v>1.7993918101531419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16.204621882445327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350.25444539178324</v>
      </c>
      <c r="T100" s="59">
        <f t="shared" si="88"/>
        <v>421.51176105448474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116.39085019963943</v>
      </c>
      <c r="AA100" s="21">
        <f>EXP(-LN(2)/25)*AA99+(1-EXP(-LN(2)/25))/(LN(2)/25)*Calculateur!V100*Calculateur!X100*VLOOKUP('Données projet'!$B$9,Paramètres!$A$1:$I$89,3,0)*0.475*44/12</f>
        <v>21.038987993568504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137.42983819320793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-9.0949470177292824E-13</v>
      </c>
      <c r="AJ100" s="13">
        <f>AI100*VLOOKUP('Données projet'!$B$10,Paramètres!$A$1:$I$89,3,0)*VLOOKUP('Données projet'!$B$10,Paramètres!$A$1:$I$89,5,0)</f>
        <v>-4.492903826758266E-13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350.14981500723491</v>
      </c>
      <c r="AO100" s="59">
        <f t="shared" si="90"/>
        <v>270.58548917514111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203.62990273163439</v>
      </c>
      <c r="AV100" s="21">
        <f>EXP(-LN(2)/25)*AV99+(1-EXP(-LN(2)/25))/(LN(2)/25)*Calculateur!AQ100*Calculateur!AS100*VLOOKUP('Données projet'!$B$10,Paramètres!$A$1:$I$89,3,0)*0.475*44/12</f>
        <v>42.571087135433139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246.20098986706753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2.4</v>
      </c>
      <c r="BD100" s="12">
        <f>IF('Données projet'!$A$88&gt;35,BD99+BC100-BL99,IF(A100&lt;'Données projet'!$A$88,$BA$205^A100,IF(A100='Données projet'!$A$88,'Données projet'!$B$88,BD99+BC100-BL99)))</f>
        <v>368.80000000000018</v>
      </c>
      <c r="BE100" s="13">
        <f>BD100*VLOOKUP('Données projet'!$B$11,Paramètres!$A$1:$I$89,3,0)*VLOOKUP('Données projet'!$B$11,Paramètres!$A$1:$I$89,5,0)</f>
        <v>316.43040000000019</v>
      </c>
      <c r="BF100" s="13">
        <f t="shared" si="91"/>
        <v>74.61014475593521</v>
      </c>
      <c r="BG100" s="20">
        <f t="shared" si="61"/>
        <v>681.06228211658743</v>
      </c>
      <c r="BH100" s="59">
        <f t="shared" si="62"/>
        <v>974.3956154499208</v>
      </c>
      <c r="BI100" s="59">
        <f ca="1">AVERAGE(OFFSET($BH$3,0,0,'Données projet'!$E$11+1,1))-AVERAGE(OFFSET($H$3,0,0,'Données projet'!$E$11+1,1))</f>
        <v>359.99244410291516</v>
      </c>
      <c r="BJ100" s="59">
        <f t="shared" si="92"/>
        <v>143.73379124174278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14.122752296897303</v>
      </c>
      <c r="BQ100" s="21">
        <f>EXP(-LN(2)/25)*BQ99+(1-EXP(-LN(2)/25))/(LN(2)/25)*Calculateur!BL100*Calculateur!BN100*VLOOKUP('Données projet'!$B$11,Paramètres!$A$1:$I$89,3,0)*0.475*44/12</f>
        <v>1.7501873464786015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15.872939643375904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350.25444539178324</v>
      </c>
      <c r="T101" s="59">
        <f t="shared" si="88"/>
        <v>421.51176105448474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114.10849661863331</v>
      </c>
      <c r="AA101" s="21">
        <f>EXP(-LN(2)/25)*AA100+(1-EXP(-LN(2)/25))/(LN(2)/25)*Calculateur!V101*Calculateur!X101*VLOOKUP('Données projet'!$B$9,Paramètres!$A$1:$I$89,3,0)*0.475*44/12</f>
        <v>20.46367576049208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134.57217237912539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-9.0949470177292824E-13</v>
      </c>
      <c r="AJ101" s="13">
        <f>AI101*VLOOKUP('Données projet'!$B$10,Paramètres!$A$1:$I$89,3,0)*VLOOKUP('Données projet'!$B$10,Paramètres!$A$1:$I$89,5,0)</f>
        <v>-4.492903826758266E-13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350.14981500723491</v>
      </c>
      <c r="AO101" s="59">
        <f t="shared" si="90"/>
        <v>270.58548917514111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199.63684454104379</v>
      </c>
      <c r="AV101" s="21">
        <f>EXP(-LN(2)/25)*AV100+(1-EXP(-LN(2)/25))/(LN(2)/25)*Calculateur!AQ101*Calculateur!AS101*VLOOKUP('Données projet'!$B$10,Paramètres!$A$1:$I$89,3,0)*0.475*44/12</f>
        <v>41.406978518998542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241.04382306004231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2.4</v>
      </c>
      <c r="BD101" s="12">
        <f>IF('Données projet'!$A$88&gt;35,BD100+BC101-BL100,IF(A101&lt;'Données projet'!$A$88,$BA$205^A101,IF(A101='Données projet'!$A$88,'Données projet'!$B$88,BD100+BC101-BL100)))</f>
        <v>371.20000000000016</v>
      </c>
      <c r="BE101" s="13">
        <f>BD101*VLOOKUP('Données projet'!$B$11,Paramètres!$A$1:$I$89,3,0)*VLOOKUP('Données projet'!$B$11,Paramètres!$A$1:$I$89,5,0)</f>
        <v>318.48960000000017</v>
      </c>
      <c r="BF101" s="13">
        <f t="shared" si="91"/>
        <v>75.038999086150298</v>
      </c>
      <c r="BG101" s="20">
        <f t="shared" si="61"/>
        <v>685.39564340837876</v>
      </c>
      <c r="BH101" s="59">
        <f t="shared" si="62"/>
        <v>978.72897674171213</v>
      </c>
      <c r="BI101" s="59">
        <f ca="1">AVERAGE(OFFSET($BH$3,0,0,'Données projet'!$E$11+1,1))-AVERAGE(OFFSET($H$3,0,0,'Données projet'!$E$11+1,1))</f>
        <v>359.99244410291516</v>
      </c>
      <c r="BJ101" s="59">
        <f t="shared" si="92"/>
        <v>143.73379124174278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13.845813738383484</v>
      </c>
      <c r="BQ101" s="21">
        <f>EXP(-LN(2)/25)*BQ100+(1-EXP(-LN(2)/25))/(LN(2)/25)*Calculateur!BL101*Calculateur!BN101*VLOOKUP('Données projet'!$B$11,Paramètres!$A$1:$I$89,3,0)*0.475*44/12</f>
        <v>1.7023283814507917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15.548142119834276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350.25444539178324</v>
      </c>
      <c r="T102" s="59">
        <f t="shared" si="88"/>
        <v>421.51176105448474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111.87089859925248</v>
      </c>
      <c r="AA102" s="21">
        <f>EXP(-LN(2)/25)*AA101+(1-EXP(-LN(2)/25))/(LN(2)/25)*Calculateur!V102*Calculateur!X102*VLOOKUP('Données projet'!$B$9,Paramètres!$A$1:$I$89,3,0)*0.475*44/12</f>
        <v>19.904095470683487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131.77499406993599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-9.0949470177292824E-13</v>
      </c>
      <c r="AJ102" s="13">
        <f>AI102*VLOOKUP('Données projet'!$B$10,Paramètres!$A$1:$I$89,3,0)*VLOOKUP('Données projet'!$B$10,Paramètres!$A$1:$I$89,5,0)</f>
        <v>-4.492903826758266E-13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350.14981500723491</v>
      </c>
      <c r="AO102" s="59">
        <f t="shared" si="90"/>
        <v>270.58548917514111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195.72208778604565</v>
      </c>
      <c r="AV102" s="21">
        <f>EXP(-LN(2)/25)*AV101+(1-EXP(-LN(2)/25))/(LN(2)/25)*Calculateur!AQ102*Calculateur!AS102*VLOOKUP('Données projet'!$B$10,Paramètres!$A$1:$I$89,3,0)*0.475*44/12</f>
        <v>40.274702513898163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235.99679029994383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2.4</v>
      </c>
      <c r="BD102" s="12">
        <f>IF('Données projet'!$A$88&gt;35,BD101+BC102-BL101,IF(A102&lt;'Données projet'!$A$88,$BA$205^A102,IF(A102='Données projet'!$A$88,'Données projet'!$B$88,BD101+BC102-BL101)))</f>
        <v>373.60000000000014</v>
      </c>
      <c r="BE102" s="13">
        <f>BD102*VLOOKUP('Données projet'!$B$11,Paramètres!$A$1:$I$89,3,0)*VLOOKUP('Données projet'!$B$11,Paramètres!$A$1:$I$89,5,0)</f>
        <v>320.5488000000002</v>
      </c>
      <c r="BF102" s="13">
        <f t="shared" si="91"/>
        <v>75.467530785551986</v>
      </c>
      <c r="BG102" s="20">
        <f t="shared" si="61"/>
        <v>689.72844278483672</v>
      </c>
      <c r="BH102" s="59">
        <f t="shared" si="62"/>
        <v>983.06177611816997</v>
      </c>
      <c r="BI102" s="59">
        <f ca="1">AVERAGE(OFFSET($BH$3,0,0,'Données projet'!$E$11+1,1))-AVERAGE(OFFSET($H$3,0,0,'Données projet'!$E$11+1,1))</f>
        <v>359.99244410291516</v>
      </c>
      <c r="BJ102" s="59">
        <f t="shared" si="92"/>
        <v>143.73379124174278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13.574305776086279</v>
      </c>
      <c r="BQ102" s="21">
        <f>EXP(-LN(2)/25)*BQ101+(1-EXP(-LN(2)/25))/(LN(2)/25)*Calculateur!BL102*Calculateur!BN102*VLOOKUP('Données projet'!$B$11,Paramètres!$A$1:$I$89,3,0)*0.475*44/12</f>
        <v>1.6557781223384609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15.23008389842474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350.25444539178324</v>
      </c>
      <c r="T103" s="59">
        <f t="shared" si="88"/>
        <v>421.51176105448474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109.67717851223169</v>
      </c>
      <c r="AA103" s="21">
        <f>EXP(-LN(2)/25)*AA102+(1-EXP(-LN(2)/25))/(LN(2)/25)*Calculateur!V103*Calculateur!X103*VLOOKUP('Données projet'!$B$9,Paramètres!$A$1:$I$89,3,0)*0.475*44/12</f>
        <v>19.359816933326758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129.03699544555846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-9.0949470177292824E-13</v>
      </c>
      <c r="AJ103" s="13">
        <f>AI103*VLOOKUP('Données projet'!$B$10,Paramètres!$A$1:$I$89,3,0)*VLOOKUP('Données projet'!$B$10,Paramètres!$A$1:$I$89,5,0)</f>
        <v>-4.492903826758266E-13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350.14981500723491</v>
      </c>
      <c r="AO103" s="59">
        <f t="shared" si="90"/>
        <v>270.58548917514111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191.88409702324716</v>
      </c>
      <c r="AV103" s="21">
        <f>EXP(-LN(2)/25)*AV102+(1-EXP(-LN(2)/25))/(LN(2)/25)*Calculateur!AQ103*Calculateur!AS103*VLOOKUP('Données projet'!$B$10,Paramètres!$A$1:$I$89,3,0)*0.475*44/12</f>
        <v>39.173388655701061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231.05748567894824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376</v>
      </c>
      <c r="BB103" s="12">
        <f>VLOOKUP(A103,'Données projet'!$A$87:$I$107,9,0)</f>
        <v>2.4</v>
      </c>
      <c r="BC103" s="12">
        <f t="array" ref="BC103">INDEX(BB:BB,MIN(IF(ISNUMBER(BB103:BB299),ROW(BB103:BB299),"")))</f>
        <v>2.4</v>
      </c>
      <c r="BD103" s="12">
        <f>IF('Données projet'!$A$88&gt;35,BD102+BC103-BL102,IF(A103&lt;'Données projet'!$A$88,$BA$205^A103,IF(A103='Données projet'!$A$88,'Données projet'!$B$88,BD102+BC103-BL102)))</f>
        <v>376.00000000000011</v>
      </c>
      <c r="BE103" s="13">
        <f>BD103*VLOOKUP('Données projet'!$B$11,Paramètres!$A$1:$I$89,3,0)*VLOOKUP('Données projet'!$B$11,Paramètres!$A$1:$I$89,5,0)</f>
        <v>322.60800000000012</v>
      </c>
      <c r="BF103" s="13">
        <f t="shared" si="91"/>
        <v>75.895742167129825</v>
      </c>
      <c r="BG103" s="20">
        <f t="shared" si="61"/>
        <v>694.06068427441789</v>
      </c>
      <c r="BH103" s="59">
        <f t="shared" si="62"/>
        <v>987.39401760775127</v>
      </c>
      <c r="BI103" s="59">
        <f ca="1">AVERAGE(OFFSET($BH$3,0,0,'Données projet'!$E$11+1,1))-AVERAGE(OFFSET($H$3,0,0,'Données projet'!$E$11+1,1))</f>
        <v>359.99244410291516</v>
      </c>
      <c r="BJ103" s="59">
        <f t="shared" si="92"/>
        <v>143.73379124174278</v>
      </c>
      <c r="BK103" s="15">
        <f>IF(ISNA(VLOOKUP(A103,'Données projet'!$A$87:$I$107,3,0)),0,VLOOKUP(A103,'Données projet'!$A$87:$I$107,3,0))</f>
        <v>5</v>
      </c>
      <c r="BL103" s="15">
        <f>IF(ISNA(VLOOKUP(A103,'Données projet'!$A$87:$I$107,4,0)),0,VLOOKUP(A103,'Données projet'!$A$87:$I$107,4,0))</f>
        <v>28</v>
      </c>
      <c r="BM103" s="16">
        <f>IF(ISNA(VLOOKUP(A103,'Données projet'!$A$87:$I$107,5,0)),0%,VLOOKUP(A103,'Données projet'!$A$87:$I$107,5,0)*VLOOKUP('Données projet'!$B$11,Paramètres!$A$1:$I$89,7,0))</f>
        <v>0.42400000000000004</v>
      </c>
      <c r="BN103" s="16">
        <f>IF(ISNA(VLOOKUP(A103,'Données projet'!$A$87:$I$107,6,0)),0%,VLOOKUP(A103,'Données projet'!$A$87:$I$107,6,0)*VLOOKUP('Données projet'!$B$11,Paramètres!$A$1:$I$89,7,0))</f>
        <v>0.10600000000000001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24.568637768035643</v>
      </c>
      <c r="BQ103" s="21">
        <f>EXP(-LN(2)/25)*BQ102+(1-EXP(-LN(2)/25))/(LN(2)/25)*Calculateur!BL103*Calculateur!BN103*VLOOKUP('Données projet'!$B$11,Paramètres!$A$1:$I$89,3,0)*0.475*44/12</f>
        <v>4.4145455093145651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28.983183277350207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350.25444539178324</v>
      </c>
      <c r="T104" s="59">
        <f t="shared" si="88"/>
        <v>421.51176105448474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107.52647593808024</v>
      </c>
      <c r="AA104" s="21">
        <f>EXP(-LN(2)/25)*AA103+(1-EXP(-LN(2)/25))/(LN(2)/25)*Calculateur!V104*Calculateur!X104*VLOOKUP('Données projet'!$B$9,Paramètres!$A$1:$I$89,3,0)*0.475*44/12</f>
        <v>18.830421721196412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126.35689765927665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-9.0949470177292824E-13</v>
      </c>
      <c r="AJ104" s="13">
        <f>AI104*VLOOKUP('Données projet'!$B$10,Paramètres!$A$1:$I$89,3,0)*VLOOKUP('Données projet'!$B$10,Paramètres!$A$1:$I$89,5,0)</f>
        <v>-4.492903826758266E-13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350.14981500723491</v>
      </c>
      <c r="AO104" s="59">
        <f t="shared" si="90"/>
        <v>270.58548917514111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188.12136691836395</v>
      </c>
      <c r="AV104" s="21">
        <f>EXP(-LN(2)/25)*AV103+(1-EXP(-LN(2)/25))/(LN(2)/25)*Calculateur!AQ104*Calculateur!AS104*VLOOKUP('Données projet'!$B$10,Paramètres!$A$1:$I$89,3,0)*0.475*44/12</f>
        <v>38.102190282871938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226.22355720123588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3.15</v>
      </c>
      <c r="BD104" s="12">
        <f>IF('Données projet'!$A$88&gt;35,BD103+BC104-BL103,IF(A104&lt;'Données projet'!$A$88,$BA$205^A104,IF(A104='Données projet'!$A$88,'Données projet'!$B$88,BD103+BC104-BL103)))</f>
        <v>351.15000000000009</v>
      </c>
      <c r="BE104" s="13">
        <f>BD104*VLOOKUP('Données projet'!$B$11,Paramètres!$A$1:$I$89,3,0)*VLOOKUP('Données projet'!$B$11,Paramètres!$A$1:$I$89,5,0)</f>
        <v>301.28670000000011</v>
      </c>
      <c r="BF104" s="13">
        <f t="shared" si="91"/>
        <v>71.446137992726079</v>
      </c>
      <c r="BG104" s="20">
        <f t="shared" si="61"/>
        <v>649.17635950399813</v>
      </c>
      <c r="BH104" s="59">
        <f t="shared" si="62"/>
        <v>942.50969283733139</v>
      </c>
      <c r="BI104" s="59">
        <f ca="1">AVERAGE(OFFSET($BH$3,0,0,'Données projet'!$E$11+1,1))-AVERAGE(OFFSET($H$3,0,0,'Données projet'!$E$11+1,1))</f>
        <v>359.99244410291516</v>
      </c>
      <c r="BJ104" s="59">
        <f t="shared" si="92"/>
        <v>143.73379124174278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24.086861766793817</v>
      </c>
      <c r="BQ104" s="21">
        <f>EXP(-LN(2)/25)*BQ103+(1-EXP(-LN(2)/25))/(LN(2)/25)*Calculateur!BL104*Calculateur!BN104*VLOOKUP('Données projet'!$B$11,Paramètres!$A$1:$I$89,3,0)*0.475*44/12</f>
        <v>4.2938295302114993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28.380691297005317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350.25444539178324</v>
      </c>
      <c r="T105" s="59">
        <f t="shared" si="88"/>
        <v>421.51176105448474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105.41794732960886</v>
      </c>
      <c r="AA105" s="21">
        <f>EXP(-LN(2)/25)*AA104+(1-EXP(-LN(2)/25))/(LN(2)/25)*Calculateur!V105*Calculateur!X105*VLOOKUP('Données projet'!$B$9,Paramètres!$A$1:$I$89,3,0)*0.475*44/12</f>
        <v>18.315502848981456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123.73345017859032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-9.0949470177292824E-13</v>
      </c>
      <c r="AJ105" s="13">
        <f>AI105*VLOOKUP('Données projet'!$B$10,Paramètres!$A$1:$I$89,3,0)*VLOOKUP('Données projet'!$B$10,Paramètres!$A$1:$I$89,5,0)</f>
        <v>-4.492903826758266E-13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350.14981500723491</v>
      </c>
      <c r="AO105" s="59">
        <f t="shared" si="90"/>
        <v>270.58548917514111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184.43242165579875</v>
      </c>
      <c r="AV105" s="21">
        <f>EXP(-LN(2)/25)*AV104+(1-EXP(-LN(2)/25))/(LN(2)/25)*Calculateur!AQ105*Calculateur!AS105*VLOOKUP('Données projet'!$B$10,Paramètres!$A$1:$I$89,3,0)*0.475*44/12</f>
        <v>37.060283885879699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221.49270554167845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3.15</v>
      </c>
      <c r="BD105" s="12">
        <f>IF('Données projet'!$A$88&gt;35,BD104+BC105-BL104,IF(A105&lt;'Données projet'!$A$88,$BA$205^A105,IF(A105='Données projet'!$A$88,'Données projet'!$B$88,BD104+BC105-BL104)))</f>
        <v>354.30000000000007</v>
      </c>
      <c r="BE105" s="13">
        <f>BD105*VLOOKUP('Données projet'!$B$11,Paramètres!$A$1:$I$89,3,0)*VLOOKUP('Données projet'!$B$11,Paramètres!$A$1:$I$89,5,0)</f>
        <v>303.9894000000001</v>
      </c>
      <c r="BF105" s="13">
        <f t="shared" si="91"/>
        <v>72.01215085760451</v>
      </c>
      <c r="BG105" s="20">
        <f t="shared" si="61"/>
        <v>654.86936774366131</v>
      </c>
      <c r="BH105" s="59">
        <f t="shared" si="62"/>
        <v>948.20270107699457</v>
      </c>
      <c r="BI105" s="59">
        <f ca="1">AVERAGE(OFFSET($BH$3,0,0,'Données projet'!$E$11+1,1))-AVERAGE(OFFSET($H$3,0,0,'Données projet'!$E$11+1,1))</f>
        <v>359.99244410291516</v>
      </c>
      <c r="BJ105" s="59">
        <f t="shared" si="92"/>
        <v>143.73379124174278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23.614533099081999</v>
      </c>
      <c r="BQ105" s="21">
        <f>EXP(-LN(2)/25)*BQ104+(1-EXP(-LN(2)/25))/(LN(2)/25)*Calculateur!BL105*Calculateur!BN105*VLOOKUP('Données projet'!$B$11,Paramètres!$A$1:$I$89,3,0)*0.475*44/12</f>
        <v>4.1764145359051845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27.790947634987184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350.25444539178324</v>
      </c>
      <c r="T106" s="59">
        <f t="shared" si="88"/>
        <v>421.51176105448474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103.35076568107415</v>
      </c>
      <c r="AA106" s="21">
        <f>EXP(-LN(2)/25)*AA105+(1-EXP(-LN(2)/25))/(LN(2)/25)*Calculateur!V106*Calculateur!X106*VLOOKUP('Données projet'!$B$9,Paramètres!$A$1:$I$89,3,0)*0.475*44/12</f>
        <v>17.814664460405623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121.16543014147977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-9.0949470177292824E-13</v>
      </c>
      <c r="AJ106" s="13">
        <f>AI106*VLOOKUP('Données projet'!$B$10,Paramètres!$A$1:$I$89,3,0)*VLOOKUP('Données projet'!$B$10,Paramètres!$A$1:$I$89,5,0)</f>
        <v>-4.492903826758266E-13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350.14981500723491</v>
      </c>
      <c r="AO106" s="59">
        <f t="shared" si="90"/>
        <v>270.58548917514111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180.81581435979803</v>
      </c>
      <c r="AV106" s="21">
        <f>EXP(-LN(2)/25)*AV105+(1-EXP(-LN(2)/25))/(LN(2)/25)*Calculateur!AQ106*Calculateur!AS106*VLOOKUP('Données projet'!$B$10,Paramètres!$A$1:$I$89,3,0)*0.475*44/12</f>
        <v>36.046868474104691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216.86268283390271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3.15</v>
      </c>
      <c r="BD106" s="12">
        <f>IF('Données projet'!$A$88&gt;35,BD105+BC106-BL105,IF(A106&lt;'Données projet'!$A$88,$BA$205^A106,IF(A106='Données projet'!$A$88,'Données projet'!$B$88,BD105+BC106-BL105)))</f>
        <v>357.45000000000005</v>
      </c>
      <c r="BE106" s="13">
        <f>BD106*VLOOKUP('Données projet'!$B$11,Paramètres!$A$1:$I$89,3,0)*VLOOKUP('Données projet'!$B$11,Paramètres!$A$1:$I$89,5,0)</f>
        <v>306.6921000000001</v>
      </c>
      <c r="BF106" s="13">
        <f t="shared" si="91"/>
        <v>72.577578258702829</v>
      </c>
      <c r="BG106" s="20">
        <f t="shared" si="61"/>
        <v>660.56135630057429</v>
      </c>
      <c r="BH106" s="59">
        <f t="shared" si="62"/>
        <v>953.89468963390755</v>
      </c>
      <c r="BI106" s="59">
        <f ca="1">AVERAGE(OFFSET($BH$3,0,0,'Données projet'!$E$11+1,1))-AVERAGE(OFFSET($H$3,0,0,'Données projet'!$E$11+1,1))</f>
        <v>359.99244410291516</v>
      </c>
      <c r="BJ106" s="59">
        <f t="shared" si="92"/>
        <v>143.73379124174278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23.151466508451971</v>
      </c>
      <c r="BQ106" s="21">
        <f>EXP(-LN(2)/25)*BQ105+(1-EXP(-LN(2)/25))/(LN(2)/25)*Calculateur!BL106*Calculateur!BN106*VLOOKUP('Données projet'!$B$11,Paramètres!$A$1:$I$89,3,0)*0.475*44/12</f>
        <v>4.0622102607927619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27.213676769244735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350.25444539178324</v>
      </c>
      <c r="T107" s="59">
        <f t="shared" si="88"/>
        <v>421.51176105448474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101.32412020381089</v>
      </c>
      <c r="AA107" s="21">
        <f>EXP(-LN(2)/25)*AA106+(1-EXP(-LN(2)/25))/(LN(2)/25)*Calculateur!V107*Calculateur!X107*VLOOKUP('Données projet'!$B$9,Paramètres!$A$1:$I$89,3,0)*0.475*44/12</f>
        <v>17.327521523903343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118.65164172771424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-9.0949470177292824E-13</v>
      </c>
      <c r="AJ107" s="13">
        <f>AI107*VLOOKUP('Données projet'!$B$10,Paramètres!$A$1:$I$89,3,0)*VLOOKUP('Données projet'!$B$10,Paramètres!$A$1:$I$89,5,0)</f>
        <v>-4.492903826758266E-13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350.14981500723491</v>
      </c>
      <c r="AO107" s="59">
        <f t="shared" si="90"/>
        <v>270.58548917514111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177.27012652695925</v>
      </c>
      <c r="AV107" s="21">
        <f>EXP(-LN(2)/25)*AV106+(1-EXP(-LN(2)/25))/(LN(2)/25)*Calculateur!AQ107*Calculateur!AS107*VLOOKUP('Données projet'!$B$10,Paramètres!$A$1:$I$89,3,0)*0.475*44/12</f>
        <v>35.061164960057873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212.33129148701713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3.15</v>
      </c>
      <c r="BD107" s="12">
        <f>IF('Données projet'!$A$88&gt;35,BD106+BC107-BL106,IF(A107&lt;'Données projet'!$A$88,$BA$205^A107,IF(A107='Données projet'!$A$88,'Données projet'!$B$88,BD106+BC107-BL106)))</f>
        <v>360.6</v>
      </c>
      <c r="BE107" s="13">
        <f>BD107*VLOOKUP('Données projet'!$B$11,Paramètres!$A$1:$I$89,3,0)*VLOOKUP('Données projet'!$B$11,Paramètres!$A$1:$I$89,5,0)</f>
        <v>309.39480000000009</v>
      </c>
      <c r="BF107" s="13">
        <f t="shared" si="91"/>
        <v>73.142425953119783</v>
      </c>
      <c r="BG107" s="20">
        <f t="shared" si="61"/>
        <v>666.25233520168376</v>
      </c>
      <c r="BH107" s="59">
        <f t="shared" si="62"/>
        <v>959.58566853501702</v>
      </c>
      <c r="BI107" s="59">
        <f ca="1">AVERAGE(OFFSET($BH$3,0,0,'Données projet'!$E$11+1,1))-AVERAGE(OFFSET($H$3,0,0,'Données projet'!$E$11+1,1))</f>
        <v>359.99244410291516</v>
      </c>
      <c r="BJ107" s="59">
        <f t="shared" si="92"/>
        <v>143.73379124174278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22.697480371221467</v>
      </c>
      <c r="BQ107" s="21">
        <f>EXP(-LN(2)/25)*BQ106+(1-EXP(-LN(2)/25))/(LN(2)/25)*Calculateur!BL107*Calculateur!BN107*VLOOKUP('Données projet'!$B$11,Paramètres!$A$1:$I$89,3,0)*0.475*44/12</f>
        <v>3.9511289075890303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26.648609278810497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350.25444539178324</v>
      </c>
      <c r="T108" s="59">
        <f t="shared" si="88"/>
        <v>421.51176105448474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99.337216008225084</v>
      </c>
      <c r="AA108" s="21">
        <f>EXP(-LN(2)/25)*AA107+(1-EXP(-LN(2)/25))/(LN(2)/25)*Calculateur!V108*Calculateur!X108*VLOOKUP('Données projet'!$B$9,Paramètres!$A$1:$I$89,3,0)*0.475*44/12</f>
        <v>16.853699536617452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116.19091554484254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-9.0949470177292824E-13</v>
      </c>
      <c r="AJ108" s="13">
        <f>AI108*VLOOKUP('Données projet'!$B$10,Paramètres!$A$1:$I$89,3,0)*VLOOKUP('Données projet'!$B$10,Paramètres!$A$1:$I$89,5,0)</f>
        <v>-4.492903826758266E-13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350.14981500723491</v>
      </c>
      <c r="AO108" s="59">
        <f t="shared" si="90"/>
        <v>270.58548917514111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173.7939674698664</v>
      </c>
      <c r="AV108" s="21">
        <f>EXP(-LN(2)/25)*AV107+(1-EXP(-LN(2)/25))/(LN(2)/25)*Calculateur!AQ108*Calculateur!AS108*VLOOKUP('Données projet'!$B$10,Paramètres!$A$1:$I$89,3,0)*0.475*44/12</f>
        <v>34.102415560438558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207.89638303030495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3.15</v>
      </c>
      <c r="BD108" s="12">
        <f>IF('Données projet'!$A$88&gt;35,BD107+BC108-BL107,IF(A108&lt;'Données projet'!$A$88,$BA$205^A108,IF(A108='Données projet'!$A$88,'Données projet'!$B$88,BD107+BC108-BL107)))</f>
        <v>363.75</v>
      </c>
      <c r="BE108" s="13">
        <f>BD108*VLOOKUP('Données projet'!$B$11,Paramètres!$A$1:$I$89,3,0)*VLOOKUP('Données projet'!$B$11,Paramètres!$A$1:$I$89,5,0)</f>
        <v>312.09750000000008</v>
      </c>
      <c r="BF108" s="13">
        <f t="shared" si="91"/>
        <v>73.706699591568736</v>
      </c>
      <c r="BG108" s="20">
        <f t="shared" si="61"/>
        <v>671.94231428864907</v>
      </c>
      <c r="BH108" s="59">
        <f t="shared" si="62"/>
        <v>965.27564762198244</v>
      </c>
      <c r="BI108" s="59">
        <f ca="1">AVERAGE(OFFSET($BH$3,0,0,'Données projet'!$E$11+1,1))-AVERAGE(OFFSET($H$3,0,0,'Données projet'!$E$11+1,1))</f>
        <v>359.99244410291516</v>
      </c>
      <c r="BJ108" s="59">
        <f t="shared" si="92"/>
        <v>143.73379124174278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22.25239662523785</v>
      </c>
      <c r="BQ108" s="21">
        <f>EXP(-LN(2)/25)*BQ107+(1-EXP(-LN(2)/25))/(LN(2)/25)*Calculateur!BL108*Calculateur!BN108*VLOOKUP('Données projet'!$B$11,Paramètres!$A$1:$I$89,3,0)*0.475*44/12</f>
        <v>3.8430850798301694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26.095481705068018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350.25444539178324</v>
      </c>
      <c r="T109" s="59">
        <f t="shared" si="88"/>
        <v>421.51176105448474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97.38927379202282</v>
      </c>
      <c r="AA109" s="21">
        <f>EXP(-LN(2)/25)*AA108+(1-EXP(-LN(2)/25))/(LN(2)/25)*Calculateur!V109*Calculateur!X109*VLOOKUP('Données projet'!$B$9,Paramètres!$A$1:$I$89,3,0)*0.475*44/12</f>
        <v>16.392834236491108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113.78210802851393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-9.0949470177292824E-13</v>
      </c>
      <c r="AJ109" s="13">
        <f>AI109*VLOOKUP('Données projet'!$B$10,Paramètres!$A$1:$I$89,3,0)*VLOOKUP('Données projet'!$B$10,Paramètres!$A$1:$I$89,5,0)</f>
        <v>-4.492903826758266E-13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350.14981500723491</v>
      </c>
      <c r="AO109" s="59">
        <f t="shared" si="90"/>
        <v>270.58548917514111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170.38597377163546</v>
      </c>
      <c r="AV109" s="21">
        <f>EXP(-LN(2)/25)*AV108+(1-EXP(-LN(2)/25))/(LN(2)/25)*Calculateur!AQ109*Calculateur!AS109*VLOOKUP('Données projet'!$B$10,Paramètres!$A$1:$I$89,3,0)*0.475*44/12</f>
        <v>33.169883213570273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203.55585698520574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3.15</v>
      </c>
      <c r="BD109" s="12">
        <f>IF('Données projet'!$A$88&gt;35,BD108+BC109-BL108,IF(A109&lt;'Données projet'!$A$88,$BA$205^A109,IF(A109='Données projet'!$A$88,'Données projet'!$B$88,BD108+BC109-BL108)))</f>
        <v>366.9</v>
      </c>
      <c r="BE109" s="13">
        <f>BD109*VLOOKUP('Données projet'!$B$11,Paramètres!$A$1:$I$89,3,0)*VLOOKUP('Données projet'!$B$11,Paramètres!$A$1:$I$89,5,0)</f>
        <v>314.80020000000002</v>
      </c>
      <c r="BF109" s="13">
        <f t="shared" si="91"/>
        <v>74.270404721247317</v>
      </c>
      <c r="BG109" s="20">
        <f t="shared" si="61"/>
        <v>677.63130322283905</v>
      </c>
      <c r="BH109" s="59">
        <f t="shared" si="62"/>
        <v>970.96463655617231</v>
      </c>
      <c r="BI109" s="59">
        <f ca="1">AVERAGE(OFFSET($BH$3,0,0,'Données projet'!$E$11+1,1))-AVERAGE(OFFSET($H$3,0,0,'Données projet'!$E$11+1,1))</f>
        <v>359.99244410291516</v>
      </c>
      <c r="BJ109" s="59">
        <f t="shared" si="92"/>
        <v>143.73379124174278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21.816040700038691</v>
      </c>
      <c r="BQ109" s="21">
        <f>EXP(-LN(2)/25)*BQ108+(1-EXP(-LN(2)/25))/(LN(2)/25)*Calculateur!BL109*Calculateur!BN109*VLOOKUP('Données projet'!$B$11,Paramètres!$A$1:$I$89,3,0)*0.475*44/12</f>
        <v>3.7379957162231525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25.554036416261845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350.25444539178324</v>
      </c>
      <c r="T110" s="59">
        <f t="shared" si="88"/>
        <v>421.51176105448474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95.479529534552839</v>
      </c>
      <c r="AA110" s="21">
        <f>EXP(-LN(2)/25)*AA109+(1-EXP(-LN(2)/25))/(LN(2)/25)*Calculateur!V110*Calculateur!X110*VLOOKUP('Données projet'!$B$9,Paramètres!$A$1:$I$89,3,0)*0.475*44/12</f>
        <v>15.944571322232573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111.42410085678542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-9.0949470177292824E-13</v>
      </c>
      <c r="AJ110" s="13">
        <f>AI110*VLOOKUP('Données projet'!$B$10,Paramètres!$A$1:$I$89,3,0)*VLOOKUP('Données projet'!$B$10,Paramètres!$A$1:$I$89,5,0)</f>
        <v>-4.492903826758266E-13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350.14981500723491</v>
      </c>
      <c r="AO110" s="59">
        <f t="shared" si="90"/>
        <v>270.58548917514111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167.04480875115593</v>
      </c>
      <c r="AV110" s="21">
        <f>EXP(-LN(2)/25)*AV109+(1-EXP(-LN(2)/25))/(LN(2)/25)*Calculateur!AQ110*Calculateur!AS110*VLOOKUP('Données projet'!$B$10,Paramètres!$A$1:$I$89,3,0)*0.475*44/12</f>
        <v>32.262851012766845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199.30765976392277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3.15</v>
      </c>
      <c r="BD110" s="12">
        <f>IF('Données projet'!$A$88&gt;35,BD109+BC110-BL109,IF(A110&lt;'Données projet'!$A$88,$BA$205^A110,IF(A110='Données projet'!$A$88,'Données projet'!$B$88,BD109+BC110-BL109)))</f>
        <v>370.04999999999995</v>
      </c>
      <c r="BE110" s="13">
        <f>BD110*VLOOKUP('Données projet'!$B$11,Paramètres!$A$1:$I$89,3,0)*VLOOKUP('Données projet'!$B$11,Paramètres!$A$1:$I$89,5,0)</f>
        <v>317.50290000000001</v>
      </c>
      <c r="BF110" s="13">
        <f t="shared" si="91"/>
        <v>74.833546788606156</v>
      </c>
      <c r="BG110" s="20">
        <f t="shared" si="61"/>
        <v>683.31931149015566</v>
      </c>
      <c r="BH110" s="59">
        <f t="shared" si="62"/>
        <v>976.65264482348903</v>
      </c>
      <c r="BI110" s="59">
        <f ca="1">AVERAGE(OFFSET($BH$3,0,0,'Données projet'!$E$11+1,1))-AVERAGE(OFFSET($H$3,0,0,'Données projet'!$E$11+1,1))</f>
        <v>359.99244410291516</v>
      </c>
      <c r="BJ110" s="59">
        <f t="shared" si="92"/>
        <v>143.73379124174278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21.388241448381855</v>
      </c>
      <c r="BQ110" s="21">
        <f>EXP(-LN(2)/25)*BQ109+(1-EXP(-LN(2)/25))/(LN(2)/25)*Calculateur!BL110*Calculateur!BN110*VLOOKUP('Données projet'!$B$11,Paramètres!$A$1:$I$89,3,0)*0.475*44/12</f>
        <v>3.6357800267903788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25.024021475172233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350.25444539178324</v>
      </c>
      <c r="T111" s="59">
        <f t="shared" si="88"/>
        <v>421.51176105448474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93.607234197142873</v>
      </c>
      <c r="AA111" s="21">
        <f>EXP(-LN(2)/25)*AA110+(1-EXP(-LN(2)/25))/(LN(2)/25)*Calculateur!V111*Calculateur!X111*VLOOKUP('Données projet'!$B$9,Paramètres!$A$1:$I$89,3,0)*0.475*44/12</f>
        <v>15.508566180937558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109.11580037808044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-9.0949470177292824E-13</v>
      </c>
      <c r="AJ111" s="13">
        <f>AI111*VLOOKUP('Données projet'!$B$10,Paramètres!$A$1:$I$89,3,0)*VLOOKUP('Données projet'!$B$10,Paramètres!$A$1:$I$89,5,0)</f>
        <v>-4.492903826758266E-13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350.14981500723491</v>
      </c>
      <c r="AO111" s="59">
        <f t="shared" si="90"/>
        <v>270.58548917514111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163.76916193881857</v>
      </c>
      <c r="AV111" s="21">
        <f>EXP(-LN(2)/25)*AV110+(1-EXP(-LN(2)/25))/(LN(2)/25)*Calculateur!AQ111*Calculateur!AS111*VLOOKUP('Données projet'!$B$10,Paramètres!$A$1:$I$89,3,0)*0.475*44/12</f>
        <v>31.380621655193139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195.14978359401169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3.15</v>
      </c>
      <c r="BD111" s="12">
        <f>IF('Données projet'!$A$88&gt;35,BD110+BC111-BL110,IF(A111&lt;'Données projet'!$A$88,$BA$205^A111,IF(A111='Données projet'!$A$88,'Données projet'!$B$88,BD110+BC111-BL110)))</f>
        <v>373.19999999999993</v>
      </c>
      <c r="BE111" s="13">
        <f>BD111*VLOOKUP('Données projet'!$B$11,Paramètres!$A$1:$I$89,3,0)*VLOOKUP('Données projet'!$B$11,Paramètres!$A$1:$I$89,5,0)</f>
        <v>320.2056</v>
      </c>
      <c r="BF111" s="13">
        <f t="shared" si="91"/>
        <v>75.39613114202001</v>
      </c>
      <c r="BG111" s="20">
        <f t="shared" si="61"/>
        <v>689.00634840568489</v>
      </c>
      <c r="BH111" s="59">
        <f t="shared" si="62"/>
        <v>982.33968173901826</v>
      </c>
      <c r="BI111" s="59">
        <f ca="1">AVERAGE(OFFSET($BH$3,0,0,'Données projet'!$E$11+1,1))-AVERAGE(OFFSET($H$3,0,0,'Données projet'!$E$11+1,1))</f>
        <v>359.99244410291516</v>
      </c>
      <c r="BJ111" s="59">
        <f t="shared" si="92"/>
        <v>143.73379124174278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20.968831079118232</v>
      </c>
      <c r="BQ111" s="21">
        <f>EXP(-LN(2)/25)*BQ110+(1-EXP(-LN(2)/25))/(LN(2)/25)*Calculateur!BL111*Calculateur!BN111*VLOOKUP('Données projet'!$B$11,Paramètres!$A$1:$I$89,3,0)*0.475*44/12</f>
        <v>3.536359430760434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24.505190509878666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350.25444539178324</v>
      </c>
      <c r="T112" s="59">
        <f t="shared" si="88"/>
        <v>421.51176105448474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91.771653429312124</v>
      </c>
      <c r="AA112" s="21">
        <f>EXP(-LN(2)/25)*AA111+(1-EXP(-LN(2)/25))/(LN(2)/25)*Calculateur!V112*Calculateur!X112*VLOOKUP('Données projet'!$B$9,Paramètres!$A$1:$I$89,3,0)*0.475*44/12</f>
        <v>15.084483623159771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106.85613705247189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-9.0949470177292824E-13</v>
      </c>
      <c r="AJ112" s="13">
        <f>AI112*VLOOKUP('Données projet'!$B$10,Paramètres!$A$1:$I$89,3,0)*VLOOKUP('Données projet'!$B$10,Paramètres!$A$1:$I$89,5,0)</f>
        <v>-4.492903826758266E-13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350.14981500723491</v>
      </c>
      <c r="AO112" s="59">
        <f t="shared" si="90"/>
        <v>270.58548917514111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160.55774856252387</v>
      </c>
      <c r="AV112" s="21">
        <f>EXP(-LN(2)/25)*AV111+(1-EXP(-LN(2)/25))/(LN(2)/25)*Calculateur!AQ112*Calculateur!AS112*VLOOKUP('Données projet'!$B$10,Paramètres!$A$1:$I$89,3,0)*0.475*44/12</f>
        <v>30.52251690579671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191.08026546832059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3.15</v>
      </c>
      <c r="BD112" s="12">
        <f>IF('Données projet'!$A$88&gt;35,BD111+BC112-BL111,IF(A112&lt;'Données projet'!$A$88,$BA$205^A112,IF(A112='Données projet'!$A$88,'Données projet'!$B$88,BD111+BC112-BL111)))</f>
        <v>376.34999999999991</v>
      </c>
      <c r="BE112" s="13">
        <f>BD112*VLOOKUP('Données projet'!$B$11,Paramètres!$A$1:$I$89,3,0)*VLOOKUP('Données projet'!$B$11,Paramètres!$A$1:$I$89,5,0)</f>
        <v>322.9083</v>
      </c>
      <c r="BF112" s="13">
        <f t="shared" si="91"/>
        <v>75.958163034366336</v>
      </c>
      <c r="BG112" s="20">
        <f t="shared" si="61"/>
        <v>694.692423118188</v>
      </c>
      <c r="BH112" s="59">
        <f t="shared" si="62"/>
        <v>988.02575645152137</v>
      </c>
      <c r="BI112" s="59">
        <f ca="1">AVERAGE(OFFSET($BH$3,0,0,'Données projet'!$E$11+1,1))-AVERAGE(OFFSET($H$3,0,0,'Données projet'!$E$11+1,1))</f>
        <v>359.99244410291516</v>
      </c>
      <c r="BJ112" s="59">
        <f t="shared" si="92"/>
        <v>143.73379124174278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20.557645091380802</v>
      </c>
      <c r="BQ112" s="21">
        <f>EXP(-LN(2)/25)*BQ111+(1-EXP(-LN(2)/25))/(LN(2)/25)*Calculateur!BL112*Calculateur!BN112*VLOOKUP('Données projet'!$B$11,Paramètres!$A$1:$I$89,3,0)*0.475*44/12</f>
        <v>3.4396574961572299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23.997302587538034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350.25444539178324</v>
      </c>
      <c r="T113" s="59">
        <f t="shared" si="88"/>
        <v>421.51176105448474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89.97206728074481</v>
      </c>
      <c r="AA113" s="21">
        <f>EXP(-LN(2)/25)*AA112+(1-EXP(-LN(2)/25))/(LN(2)/25)*Calculateur!V113*Calculateur!X113*VLOOKUP('Données projet'!$B$9,Paramètres!$A$1:$I$89,3,0)*0.475*44/12</f>
        <v>14.67199762522595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104.64406490597077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-9.0949470177292824E-13</v>
      </c>
      <c r="AJ113" s="13">
        <f>AI113*VLOOKUP('Données projet'!$B$10,Paramètres!$A$1:$I$89,3,0)*VLOOKUP('Données projet'!$B$10,Paramètres!$A$1:$I$89,5,0)</f>
        <v>-4.492903826758266E-13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350.14981500723491</v>
      </c>
      <c r="AO113" s="59">
        <f t="shared" si="90"/>
        <v>270.58548917514111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157.40930904376955</v>
      </c>
      <c r="AV113" s="21">
        <f>EXP(-LN(2)/25)*AV112+(1-EXP(-LN(2)/25))/(LN(2)/25)*Calculateur!AQ113*Calculateur!AS113*VLOOKUP('Données projet'!$B$10,Paramètres!$A$1:$I$89,3,0)*0.475*44/12</f>
        <v>29.687877075898296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187.09718611966784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3.15</v>
      </c>
      <c r="BD113" s="12">
        <f>IF('Données projet'!$A$88&gt;35,BD112+BC113-BL112,IF(A113&lt;'Données projet'!$A$88,$BA$205^A113,IF(A113='Données projet'!$A$88,'Données projet'!$B$88,BD112+BC113-BL112)))</f>
        <v>379.49999999999989</v>
      </c>
      <c r="BE113" s="13">
        <f>BD113*VLOOKUP('Données projet'!$B$11,Paramètres!$A$1:$I$89,3,0)*VLOOKUP('Données projet'!$B$11,Paramètres!$A$1:$I$89,5,0)</f>
        <v>325.61099999999993</v>
      </c>
      <c r="BF113" s="13">
        <f t="shared" si="91"/>
        <v>76.519647625515432</v>
      </c>
      <c r="BG113" s="20">
        <f t="shared" si="61"/>
        <v>700.37754461443922</v>
      </c>
      <c r="BH113" s="59">
        <f t="shared" si="62"/>
        <v>993.71087794777259</v>
      </c>
      <c r="BI113" s="59">
        <f ca="1">AVERAGE(OFFSET($BH$3,0,0,'Données projet'!$E$11+1,1))-AVERAGE(OFFSET($H$3,0,0,'Données projet'!$E$11+1,1))</f>
        <v>359.99244410291516</v>
      </c>
      <c r="BJ113" s="59">
        <f t="shared" si="92"/>
        <v>143.73379124174278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20.154522210064215</v>
      </c>
      <c r="BQ113" s="21">
        <f>EXP(-LN(2)/25)*BQ112+(1-EXP(-LN(2)/25))/(LN(2)/25)*Calculateur!BL113*Calculateur!BN113*VLOOKUP('Données projet'!$B$11,Paramètres!$A$1:$I$89,3,0)*0.475*44/12</f>
        <v>3.3455998810410841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23.5001220911053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350.25444539178324</v>
      </c>
      <c r="T114" s="59">
        <f t="shared" si="88"/>
        <v>421.51176105448474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88.207769918911737</v>
      </c>
      <c r="AA114" s="21">
        <f>EXP(-LN(2)/25)*AA113+(1-EXP(-LN(2)/25))/(LN(2)/25)*Calculateur!V114*Calculateur!X114*VLOOKUP('Données projet'!$B$9,Paramètres!$A$1:$I$89,3,0)*0.475*44/12</f>
        <v>14.270791078597325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102.47856099750906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-9.0949470177292824E-13</v>
      </c>
      <c r="AJ114" s="13">
        <f>AI114*VLOOKUP('Données projet'!$B$10,Paramètres!$A$1:$I$89,3,0)*VLOOKUP('Données projet'!$B$10,Paramètres!$A$1:$I$89,5,0)</f>
        <v>-4.492903826758266E-13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350.14981500723491</v>
      </c>
      <c r="AO114" s="59">
        <f t="shared" si="90"/>
        <v>270.58548917514111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154.32260850361953</v>
      </c>
      <c r="AV114" s="21">
        <f>EXP(-LN(2)/25)*AV113+(1-EXP(-LN(2)/25))/(LN(2)/25)*Calculateur!AQ114*Calculateur!AS114*VLOOKUP('Données projet'!$B$10,Paramètres!$A$1:$I$89,3,0)*0.475*44/12</f>
        <v>28.876060516040255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183.1986690196598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3.15</v>
      </c>
      <c r="BD114" s="12">
        <f>IF('Données projet'!$A$88&gt;35,BD113+BC114-BL113,IF(A114&lt;'Données projet'!$A$88,$BA$205^A114,IF(A114='Données projet'!$A$88,'Données projet'!$B$88,BD113+BC114-BL113)))</f>
        <v>382.64999999999986</v>
      </c>
      <c r="BE114" s="13">
        <f>BD114*VLOOKUP('Données projet'!$B$11,Paramètres!$A$1:$I$89,3,0)*VLOOKUP('Données projet'!$B$11,Paramètres!$A$1:$I$89,5,0)</f>
        <v>328.31369999999993</v>
      </c>
      <c r="BF114" s="13">
        <f t="shared" si="91"/>
        <v>77.080589984735099</v>
      </c>
      <c r="BG114" s="20">
        <f t="shared" si="61"/>
        <v>706.06172172341337</v>
      </c>
      <c r="BH114" s="59">
        <f t="shared" si="62"/>
        <v>999.39505505674674</v>
      </c>
      <c r="BI114" s="59">
        <f ca="1">AVERAGE(OFFSET($BH$3,0,0,'Données projet'!$E$11+1,1))-AVERAGE(OFFSET($H$3,0,0,'Données projet'!$E$11+1,1))</f>
        <v>359.99244410291516</v>
      </c>
      <c r="BJ114" s="59">
        <f t="shared" si="92"/>
        <v>143.73379124174278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19.759304322569566</v>
      </c>
      <c r="BQ114" s="21">
        <f>EXP(-LN(2)/25)*BQ113+(1-EXP(-LN(2)/25))/(LN(2)/25)*Calculateur!BL114*Calculateur!BN114*VLOOKUP('Données projet'!$B$11,Paramètres!$A$1:$I$89,3,0)*0.475*44/12</f>
        <v>3.2541142763565643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23.01341859892613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350.25444539178324</v>
      </c>
      <c r="T115" s="59">
        <f t="shared" si="88"/>
        <v>421.51176105448474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86.478069352229085</v>
      </c>
      <c r="AA115" s="21">
        <f>EXP(-LN(2)/25)*AA114+(1-EXP(-LN(2)/25))/(LN(2)/25)*Calculateur!V115*Calculateur!X115*VLOOKUP('Données projet'!$B$9,Paramètres!$A$1:$I$89,3,0)*0.475*44/12</f>
        <v>13.880555546084794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100.35862489831388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-9.0949470177292824E-13</v>
      </c>
      <c r="AJ115" s="13">
        <f>AI115*VLOOKUP('Données projet'!$B$10,Paramètres!$A$1:$I$89,3,0)*VLOOKUP('Données projet'!$B$10,Paramètres!$A$1:$I$89,5,0)</f>
        <v>-4.492903826758266E-13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350.14981500723491</v>
      </c>
      <c r="AO115" s="59">
        <f t="shared" si="90"/>
        <v>270.58548917514111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151.29643627836043</v>
      </c>
      <c r="AV115" s="21">
        <f>EXP(-LN(2)/25)*AV114+(1-EXP(-LN(2)/25))/(LN(2)/25)*Calculateur!AQ115*Calculateur!AS115*VLOOKUP('Données projet'!$B$10,Paramètres!$A$1:$I$89,3,0)*0.475*44/12</f>
        <v>28.086443122703109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179.38287940106355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3.15</v>
      </c>
      <c r="BD115" s="12">
        <f>IF('Données projet'!$A$88&gt;35,BD114+BC115-BL114,IF(A115&lt;'Données projet'!$A$88,$BA$205^A115,IF(A115='Données projet'!$A$88,'Données projet'!$B$88,BD114+BC115-BL114)))</f>
        <v>385.79999999999984</v>
      </c>
      <c r="BE115" s="13">
        <f>BD115*VLOOKUP('Données projet'!$B$11,Paramètres!$A$1:$I$89,3,0)*VLOOKUP('Données projet'!$B$11,Paramètres!$A$1:$I$89,5,0)</f>
        <v>331.01639999999992</v>
      </c>
      <c r="BF115" s="13">
        <f t="shared" si="91"/>
        <v>77.640995093013672</v>
      </c>
      <c r="BG115" s="20">
        <f t="shared" si="61"/>
        <v>711.74496312033182</v>
      </c>
      <c r="BH115" s="59">
        <f t="shared" si="62"/>
        <v>1005.0782964536652</v>
      </c>
      <c r="BI115" s="59">
        <f ca="1">AVERAGE(OFFSET($BH$3,0,0,'Données projet'!$E$11+1,1))-AVERAGE(OFFSET($H$3,0,0,'Données projet'!$E$11+1,1))</f>
        <v>359.99244410291516</v>
      </c>
      <c r="BJ115" s="59">
        <f t="shared" si="92"/>
        <v>143.73379124174278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19.371836416789577</v>
      </c>
      <c r="BQ115" s="21">
        <f>EXP(-LN(2)/25)*BQ114+(1-EXP(-LN(2)/25))/(LN(2)/25)*Calculateur!BL115*Calculateur!BN115*VLOOKUP('Données projet'!$B$11,Paramètres!$A$1:$I$89,3,0)*0.475*44/12</f>
        <v>3.1651303503431616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22.536966767132739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350.25444539178324</v>
      </c>
      <c r="T116" s="59">
        <f t="shared" si="88"/>
        <v>421.51176105448474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84.7822871586459</v>
      </c>
      <c r="AA116" s="21">
        <f>EXP(-LN(2)/25)*AA115+(1-EXP(-LN(2)/25))/(LN(2)/25)*Calculateur!V116*Calculateur!X116*VLOOKUP('Données projet'!$B$9,Paramètres!$A$1:$I$89,3,0)*0.475*44/12</f>
        <v>13.500991024730414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98.283278183376311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-9.0949470177292824E-13</v>
      </c>
      <c r="AJ116" s="13">
        <f>AI116*VLOOKUP('Données projet'!$B$10,Paramètres!$A$1:$I$89,3,0)*VLOOKUP('Données projet'!$B$10,Paramètres!$A$1:$I$89,5,0)</f>
        <v>-4.492903826758266E-13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350.14981500723491</v>
      </c>
      <c r="AO116" s="59">
        <f t="shared" si="90"/>
        <v>270.58548917514111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148.32960544465584</v>
      </c>
      <c r="AV116" s="21">
        <f>EXP(-LN(2)/25)*AV115+(1-EXP(-LN(2)/25))/(LN(2)/25)*Calculateur!AQ116*Calculateur!AS116*VLOOKUP('Données projet'!$B$10,Paramètres!$A$1:$I$89,3,0)*0.475*44/12</f>
        <v>27.318417858510941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175.64802330316678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3.15</v>
      </c>
      <c r="BD116" s="12">
        <f>IF('Données projet'!$A$88&gt;35,BD115+BC116-BL115,IF(A116&lt;'Données projet'!$A$88,$BA$205^A116,IF(A116='Données projet'!$A$88,'Données projet'!$B$88,BD115+BC116-BL115)))</f>
        <v>388.94999999999982</v>
      </c>
      <c r="BE116" s="13">
        <f>BD116*VLOOKUP('Données projet'!$B$11,Paramètres!$A$1:$I$89,3,0)*VLOOKUP('Données projet'!$B$11,Paramètres!$A$1:$I$89,5,0)</f>
        <v>333.71909999999991</v>
      </c>
      <c r="BF116" s="13">
        <f t="shared" si="91"/>
        <v>78.200867845305922</v>
      </c>
      <c r="BG116" s="20">
        <f t="shared" si="61"/>
        <v>717.42727733057427</v>
      </c>
      <c r="BH116" s="59">
        <f t="shared" si="62"/>
        <v>1010.7606106639075</v>
      </c>
      <c r="BI116" s="59">
        <f ca="1">AVERAGE(OFFSET($BH$3,0,0,'Données projet'!$E$11+1,1))-AVERAGE(OFFSET($H$3,0,0,'Données projet'!$E$11+1,1))</f>
        <v>359.99244410291516</v>
      </c>
      <c r="BJ116" s="59">
        <f t="shared" si="92"/>
        <v>143.73379124174278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18.991966520309848</v>
      </c>
      <c r="BQ116" s="21">
        <f>EXP(-LN(2)/25)*BQ115+(1-EXP(-LN(2)/25))/(LN(2)/25)*Calculateur!BL116*Calculateur!BN116*VLOOKUP('Données projet'!$B$11,Paramètres!$A$1:$I$89,3,0)*0.475*44/12</f>
        <v>3.0785796944660566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22.070546214775906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350.25444539178324</v>
      </c>
      <c r="T117" s="59">
        <f t="shared" si="88"/>
        <v>421.51176105448474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83.119758219553873</v>
      </c>
      <c r="AA117" s="21">
        <f>EXP(-LN(2)/25)*AA116+(1-EXP(-LN(2)/25))/(LN(2)/25)*Calculateur!V117*Calculateur!X117*VLOOKUP('Données projet'!$B$9,Paramètres!$A$1:$I$89,3,0)*0.475*44/12</f>
        <v>13.1318057151729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96.251563934726775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-9.0949470177292824E-13</v>
      </c>
      <c r="AJ117" s="13">
        <f>AI117*VLOOKUP('Données projet'!$B$10,Paramètres!$A$1:$I$89,3,0)*VLOOKUP('Données projet'!$B$10,Paramètres!$A$1:$I$89,5,0)</f>
        <v>-4.492903826758266E-13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350.14981500723491</v>
      </c>
      <c r="AO117" s="59">
        <f t="shared" si="90"/>
        <v>270.58548917514111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145.42095235401209</v>
      </c>
      <c r="AV117" s="21">
        <f>EXP(-LN(2)/25)*AV116+(1-EXP(-LN(2)/25))/(LN(2)/25)*Calculateur!AQ117*Calculateur!AS117*VLOOKUP('Données projet'!$B$10,Paramètres!$A$1:$I$89,3,0)*0.475*44/12</f>
        <v>26.571394285556799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171.99234663956889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3.15</v>
      </c>
      <c r="BD117" s="12">
        <f>IF('Données projet'!$A$88&gt;35,BD116+BC117-BL116,IF(A117&lt;'Données projet'!$A$88,$BA$205^A117,IF(A117='Données projet'!$A$88,'Données projet'!$B$88,BD116+BC117-BL116)))</f>
        <v>392.0999999999998</v>
      </c>
      <c r="BE117" s="13">
        <f>BD117*VLOOKUP('Données projet'!$B$11,Paramètres!$A$1:$I$89,3,0)*VLOOKUP('Données projet'!$B$11,Paramètres!$A$1:$I$89,5,0)</f>
        <v>336.42179999999991</v>
      </c>
      <c r="BF117" s="13">
        <f t="shared" si="91"/>
        <v>78.760213052703037</v>
      </c>
      <c r="BG117" s="20">
        <f t="shared" si="61"/>
        <v>723.10867273345764</v>
      </c>
      <c r="BH117" s="59">
        <f t="shared" si="62"/>
        <v>1016.442006066791</v>
      </c>
      <c r="BI117" s="59">
        <f ca="1">AVERAGE(OFFSET($BH$3,0,0,'Données projet'!$E$11+1,1))-AVERAGE(OFFSET($H$3,0,0,'Données projet'!$E$11+1,1))</f>
        <v>359.99244410291516</v>
      </c>
      <c r="BJ117" s="59">
        <f t="shared" si="92"/>
        <v>143.73379124174278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18.619545640802329</v>
      </c>
      <c r="BQ117" s="21">
        <f>EXP(-LN(2)/25)*BQ116+(1-EXP(-LN(2)/25))/(LN(2)/25)*Calculateur!BL117*Calculateur!BN117*VLOOKUP('Données projet'!$B$11,Paramètres!$A$1:$I$89,3,0)*0.475*44/12</f>
        <v>2.9943957708254123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21.613941411627742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350.25444539178324</v>
      </c>
      <c r="T118" s="59">
        <f t="shared" si="88"/>
        <v>421.51176105448474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81.489830458914923</v>
      </c>
      <c r="AA118" s="21">
        <f>EXP(-LN(2)/25)*AA117+(1-EXP(-LN(2)/25))/(LN(2)/25)*Calculateur!V118*Calculateur!X118*VLOOKUP('Données projet'!$B$9,Paramètres!$A$1:$I$89,3,0)*0.475*44/12</f>
        <v>12.772715797319847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94.262546256234771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-9.0949470177292824E-13</v>
      </c>
      <c r="AJ118" s="13">
        <f>AI118*VLOOKUP('Données projet'!$B$10,Paramètres!$A$1:$I$89,3,0)*VLOOKUP('Données projet'!$B$10,Paramètres!$A$1:$I$89,5,0)</f>
        <v>-4.492903826758266E-13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350.14981500723491</v>
      </c>
      <c r="AO118" s="59">
        <f t="shared" si="90"/>
        <v>270.58548917514111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142.56933617637264</v>
      </c>
      <c r="AV118" s="21">
        <f>EXP(-LN(2)/25)*AV117+(1-EXP(-LN(2)/25))/(LN(2)/25)*Calculateur!AQ118*Calculateur!AS118*VLOOKUP('Données projet'!$B$10,Paramètres!$A$1:$I$89,3,0)*0.475*44/12</f>
        <v>25.844798111489354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168.414134287862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3.15</v>
      </c>
      <c r="BD118" s="12">
        <f>IF('Données projet'!$A$88&gt;35,BD117+BC118-BL117,IF(A118&lt;'Données projet'!$A$88,$BA$205^A118,IF(A118='Données projet'!$A$88,'Données projet'!$B$88,BD117+BC118-BL117)))</f>
        <v>395.24999999999977</v>
      </c>
      <c r="BE118" s="13">
        <f>BD118*VLOOKUP('Données projet'!$B$11,Paramètres!$A$1:$I$89,3,0)*VLOOKUP('Données projet'!$B$11,Paramètres!$A$1:$I$89,5,0)</f>
        <v>339.12449999999984</v>
      </c>
      <c r="BF118" s="13">
        <f t="shared" si="91"/>
        <v>79.319035444531522</v>
      </c>
      <c r="BG118" s="20">
        <f t="shared" si="61"/>
        <v>728.78915756589197</v>
      </c>
      <c r="BH118" s="59">
        <f t="shared" si="62"/>
        <v>1022.1224908992253</v>
      </c>
      <c r="BI118" s="59">
        <f ca="1">AVERAGE(OFFSET($BH$3,0,0,'Données projet'!$E$11+1,1))-AVERAGE(OFFSET($H$3,0,0,'Données projet'!$E$11+1,1))</f>
        <v>359.99244410291516</v>
      </c>
      <c r="BJ118" s="59">
        <f t="shared" si="92"/>
        <v>143.73379124174278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18.254427707587645</v>
      </c>
      <c r="BQ118" s="21">
        <f>EXP(-LN(2)/25)*BQ117+(1-EXP(-LN(2)/25))/(LN(2)/25)*Calculateur!BL118*Calculateur!BN118*VLOOKUP('Données projet'!$B$11,Paramètres!$A$1:$I$89,3,0)*0.475*44/12</f>
        <v>2.9125138610037618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21.166941568591408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350.25444539178324</v>
      </c>
      <c r="T119" s="59">
        <f t="shared" si="88"/>
        <v>421.51176105448474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79.89186458750433</v>
      </c>
      <c r="AA119" s="21">
        <f>EXP(-LN(2)/25)*AA118+(1-EXP(-LN(2)/25))/(LN(2)/25)*Calculateur!V119*Calculateur!X119*VLOOKUP('Données projet'!$B$9,Paramètres!$A$1:$I$89,3,0)*0.475*44/12</f>
        <v>12.423445212154204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92.315309799658536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-9.0949470177292824E-13</v>
      </c>
      <c r="AJ119" s="13">
        <f>AI119*VLOOKUP('Données projet'!$B$10,Paramètres!$A$1:$I$89,3,0)*VLOOKUP('Données projet'!$B$10,Paramètres!$A$1:$I$89,5,0)</f>
        <v>-4.492903826758266E-13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350.14981500723491</v>
      </c>
      <c r="AO119" s="59">
        <f t="shared" si="90"/>
        <v>270.58548917514111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139.7736384526626</v>
      </c>
      <c r="AV119" s="21">
        <f>EXP(-LN(2)/25)*AV118+(1-EXP(-LN(2)/25))/(LN(2)/25)*Calculateur!AQ119*Calculateur!AS119*VLOOKUP('Données projet'!$B$10,Paramètres!$A$1:$I$89,3,0)*0.475*44/12</f>
        <v>25.138070748011813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164.91170920067441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3.15</v>
      </c>
      <c r="BD119" s="12">
        <f>IF('Données projet'!$A$88&gt;35,BD118+BC119-BL118,IF(A119&lt;'Données projet'!$A$88,$BA$205^A119,IF(A119='Données projet'!$A$88,'Données projet'!$B$88,BD118+BC119-BL118)))</f>
        <v>398.39999999999975</v>
      </c>
      <c r="BE119" s="13">
        <f>BD119*VLOOKUP('Données projet'!$B$11,Paramètres!$A$1:$I$89,3,0)*VLOOKUP('Données projet'!$B$11,Paramètres!$A$1:$I$89,5,0)</f>
        <v>341.82719999999983</v>
      </c>
      <c r="BF119" s="13">
        <f t="shared" si="91"/>
        <v>79.877339670383009</v>
      </c>
      <c r="BG119" s="20">
        <f t="shared" si="61"/>
        <v>734.46873992591679</v>
      </c>
      <c r="BH119" s="59">
        <f t="shared" si="62"/>
        <v>1027.8020732592502</v>
      </c>
      <c r="BI119" s="59">
        <f ca="1">AVERAGE(OFFSET($BH$3,0,0,'Données projet'!$E$11+1,1))-AVERAGE(OFFSET($H$3,0,0,'Données projet'!$E$11+1,1))</f>
        <v>359.99244410291516</v>
      </c>
      <c r="BJ119" s="59">
        <f t="shared" si="92"/>
        <v>143.73379124174278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17.896469514343352</v>
      </c>
      <c r="BQ119" s="21">
        <f>EXP(-LN(2)/25)*BQ118+(1-EXP(-LN(2)/25))/(LN(2)/25)*Calculateur!BL119*Calculateur!BN119*VLOOKUP('Données projet'!$B$11,Paramètres!$A$1:$I$89,3,0)*0.475*44/12</f>
        <v>2.8328710163121666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20.72934053065552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350.25444539178324</v>
      </c>
      <c r="T120" s="59">
        <f t="shared" si="88"/>
        <v>421.51176105448474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78.325233852169163</v>
      </c>
      <c r="AA120" s="21">
        <f>EXP(-LN(2)/25)*AA119+(1-EXP(-LN(2)/25))/(LN(2)/25)*Calculateur!V120*Calculateur!X120*VLOOKUP('Données projet'!$B$9,Paramètres!$A$1:$I$89,3,0)*0.475*44/12</f>
        <v>12.083725449507257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90.408959301676418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-9.0949470177292824E-13</v>
      </c>
      <c r="AJ120" s="13">
        <f>AI120*VLOOKUP('Données projet'!$B$10,Paramètres!$A$1:$I$89,3,0)*VLOOKUP('Données projet'!$B$10,Paramètres!$A$1:$I$89,5,0)</f>
        <v>-4.492903826758266E-13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350.14981500723491</v>
      </c>
      <c r="AO120" s="59">
        <f t="shared" si="90"/>
        <v>270.58548917514111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137.03276265610725</v>
      </c>
      <c r="AV120" s="21">
        <f>EXP(-LN(2)/25)*AV119+(1-EXP(-LN(2)/25))/(LN(2)/25)*Calculateur!AQ120*Calculateur!AS120*VLOOKUP('Données projet'!$B$10,Paramètres!$A$1:$I$89,3,0)*0.475*44/12</f>
        <v>24.450668881453744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161.48343153756099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3.15</v>
      </c>
      <c r="BD120" s="12">
        <f>IF('Données projet'!$A$88&gt;35,BD119+BC120-BL119,IF(A120&lt;'Données projet'!$A$88,$BA$205^A120,IF(A120='Données projet'!$A$88,'Données projet'!$B$88,BD119+BC120-BL119)))</f>
        <v>401.54999999999973</v>
      </c>
      <c r="BE120" s="13">
        <f>BD120*VLOOKUP('Données projet'!$B$11,Paramètres!$A$1:$I$89,3,0)*VLOOKUP('Données projet'!$B$11,Paramètres!$A$1:$I$89,5,0)</f>
        <v>344.52989999999983</v>
      </c>
      <c r="BF120" s="13">
        <f t="shared" si="91"/>
        <v>80.435130302078335</v>
      </c>
      <c r="BG120" s="20">
        <f t="shared" si="61"/>
        <v>740.14742777611946</v>
      </c>
      <c r="BH120" s="59">
        <f t="shared" si="62"/>
        <v>1033.4807611094527</v>
      </c>
      <c r="BI120" s="59">
        <f ca="1">AVERAGE(OFFSET($BH$3,0,0,'Données projet'!$E$11+1,1))-AVERAGE(OFFSET($H$3,0,0,'Données projet'!$E$11+1,1))</f>
        <v>359.99244410291516</v>
      </c>
      <c r="BJ120" s="59">
        <f t="shared" si="92"/>
        <v>143.73379124174278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17.54553066293564</v>
      </c>
      <c r="BQ120" s="21">
        <f>EXP(-LN(2)/25)*BQ119+(1-EXP(-LN(2)/25))/(LN(2)/25)*Calculateur!BL120*Calculateur!BN120*VLOOKUP('Données projet'!$B$11,Paramètres!$A$1:$I$89,3,0)*0.475*44/12</f>
        <v>2.7554060093968982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20.30093667233254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350.25444539178324</v>
      </c>
      <c r="T121" s="59">
        <f t="shared" si="88"/>
        <v>421.51176105448474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76.789323790003522</v>
      </c>
      <c r="AA121" s="21">
        <f>EXP(-LN(2)/25)*AA120+(1-EXP(-LN(2)/25))/(LN(2)/25)*Calculateur!V121*Calculateur!X121*VLOOKUP('Données projet'!$B$9,Paramètres!$A$1:$I$89,3,0)*0.475*44/12</f>
        <v>11.753295341634978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88.542619131638503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-9.0949470177292824E-13</v>
      </c>
      <c r="AJ121" s="13">
        <f>AI121*VLOOKUP('Données projet'!$B$10,Paramètres!$A$1:$I$89,3,0)*VLOOKUP('Données projet'!$B$10,Paramètres!$A$1:$I$89,5,0)</f>
        <v>-4.492903826758266E-13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350.14981500723491</v>
      </c>
      <c r="AO121" s="59">
        <f t="shared" si="90"/>
        <v>270.58548917514111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134.3456337621532</v>
      </c>
      <c r="AV121" s="21">
        <f>EXP(-LN(2)/25)*AV120+(1-EXP(-LN(2)/25))/(LN(2)/25)*Calculateur!AQ121*Calculateur!AS121*VLOOKUP('Données projet'!$B$10,Paramètres!$A$1:$I$89,3,0)*0.475*44/12</f>
        <v>23.782064055085598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158.12769781723881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3.15</v>
      </c>
      <c r="BD121" s="12">
        <f>IF('Données projet'!$A$88&gt;35,BD120+BC121-BL120,IF(A121&lt;'Données projet'!$A$88,$BA$205^A121,IF(A121='Données projet'!$A$88,'Données projet'!$B$88,BD120+BC121-BL120)))</f>
        <v>404.6999999999997</v>
      </c>
      <c r="BE121" s="13">
        <f>BD121*VLOOKUP('Données projet'!$B$11,Paramètres!$A$1:$I$89,3,0)*VLOOKUP('Données projet'!$B$11,Paramètres!$A$1:$I$89,5,0)</f>
        <v>347.23259999999982</v>
      </c>
      <c r="BF121" s="13">
        <f t="shared" si="91"/>
        <v>80.992411835567779</v>
      </c>
      <c r="BG121" s="20">
        <f t="shared" si="61"/>
        <v>745.82522894694694</v>
      </c>
      <c r="BH121" s="59">
        <f t="shared" si="62"/>
        <v>1039.1585622802802</v>
      </c>
      <c r="BI121" s="59">
        <f ca="1">AVERAGE(OFFSET($BH$3,0,0,'Données projet'!$E$11+1,1))-AVERAGE(OFFSET($H$3,0,0,'Données projet'!$E$11+1,1))</f>
        <v>359.99244410291516</v>
      </c>
      <c r="BJ121" s="59">
        <f t="shared" si="92"/>
        <v>143.73379124174278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17.201473508352471</v>
      </c>
      <c r="BQ121" s="21">
        <f>EXP(-LN(2)/25)*BQ120+(1-EXP(-LN(2)/25))/(LN(2)/25)*Calculateur!BL121*Calculateur!BN121*VLOOKUP('Données projet'!$B$11,Paramètres!$A$1:$I$89,3,0)*0.475*44/12</f>
        <v>2.6800592871694353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19.881532795521906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350.25444539178324</v>
      </c>
      <c r="T122" s="59">
        <f t="shared" si="88"/>
        <v>421.51176105448474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75.283531987344304</v>
      </c>
      <c r="AA122" s="21">
        <f>EXP(-LN(2)/25)*AA121+(1-EXP(-LN(2)/25))/(LN(2)/25)*Calculateur!V122*Calculateur!X122*VLOOKUP('Données projet'!$B$9,Paramètres!$A$1:$I$89,3,0)*0.475*44/12</f>
        <v>11.431900862439029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86.715432849783326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-9.0949470177292824E-13</v>
      </c>
      <c r="AJ122" s="13">
        <f>AI122*VLOOKUP('Données projet'!$B$10,Paramètres!$A$1:$I$89,3,0)*VLOOKUP('Données projet'!$B$10,Paramètres!$A$1:$I$89,5,0)</f>
        <v>-4.492903826758266E-13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350.14981500723491</v>
      </c>
      <c r="AO122" s="59">
        <f t="shared" si="90"/>
        <v>270.58548917514111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131.7111978268228</v>
      </c>
      <c r="AV122" s="21">
        <f>EXP(-LN(2)/25)*AV121+(1-EXP(-LN(2)/25))/(LN(2)/25)*Calculateur!AQ122*Calculateur!AS122*VLOOKUP('Données projet'!$B$10,Paramètres!$A$1:$I$89,3,0)*0.475*44/12</f>
        <v>23.131742262854889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154.84294008967768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3.15</v>
      </c>
      <c r="BD122" s="12">
        <f>IF('Données projet'!$A$88&gt;35,BD121+BC122-BL121,IF(A122&lt;'Données projet'!$A$88,$BA$205^A122,IF(A122='Données projet'!$A$88,'Données projet'!$B$88,BD121+BC122-BL121)))</f>
        <v>407.84999999999968</v>
      </c>
      <c r="BE122" s="13">
        <f>BD122*VLOOKUP('Données projet'!$B$11,Paramètres!$A$1:$I$89,3,0)*VLOOKUP('Données projet'!$B$11,Paramètres!$A$1:$I$89,5,0)</f>
        <v>349.93529999999976</v>
      </c>
      <c r="BF122" s="13">
        <f t="shared" si="91"/>
        <v>81.54918869277077</v>
      </c>
      <c r="BG122" s="20">
        <f t="shared" si="61"/>
        <v>751.50215113990862</v>
      </c>
      <c r="BH122" s="59">
        <f t="shared" si="62"/>
        <v>1044.8354844732419</v>
      </c>
      <c r="BI122" s="59">
        <f ca="1">AVERAGE(OFFSET($BH$3,0,0,'Données projet'!$E$11+1,1))-AVERAGE(OFFSET($H$3,0,0,'Données projet'!$E$11+1,1))</f>
        <v>359.99244410291516</v>
      </c>
      <c r="BJ122" s="59">
        <f t="shared" si="92"/>
        <v>143.73379124174278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16.864163104716535</v>
      </c>
      <c r="BQ122" s="21">
        <f>EXP(-LN(2)/25)*BQ121+(1-EXP(-LN(2)/25))/(LN(2)/25)*Calculateur!BL122*Calculateur!BN122*VLOOKUP('Données projet'!$B$11,Paramètres!$A$1:$I$89,3,0)*0.475*44/12</f>
        <v>2.6067729250235945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19.47093602974013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350.25444539178324</v>
      </c>
      <c r="T123" s="59">
        <f t="shared" si="88"/>
        <v>421.51176105448474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73.807267843492923</v>
      </c>
      <c r="AA123" s="21">
        <f>EXP(-LN(2)/25)*AA122+(1-EXP(-LN(2)/25))/(LN(2)/25)*Calculateur!V123*Calculateur!X123*VLOOKUP('Données projet'!$B$9,Paramètres!$A$1:$I$89,3,0)*0.475*44/12</f>
        <v>11.119294932178095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84.926562775671016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-9.0949470177292824E-13</v>
      </c>
      <c r="AJ123" s="13">
        <f>AI123*VLOOKUP('Données projet'!$B$10,Paramètres!$A$1:$I$89,3,0)*VLOOKUP('Données projet'!$B$10,Paramètres!$A$1:$I$89,5,0)</f>
        <v>-4.492903826758266E-13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350.14981500723491</v>
      </c>
      <c r="AO123" s="59">
        <f t="shared" si="90"/>
        <v>270.58548917514111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129.12842157333696</v>
      </c>
      <c r="AV123" s="21">
        <f>EXP(-LN(2)/25)*AV122+(1-EXP(-LN(2)/25))/(LN(2)/25)*Calculateur!AQ123*Calculateur!AS123*VLOOKUP('Données projet'!$B$10,Paramètres!$A$1:$I$89,3,0)*0.475*44/12</f>
        <v>22.499203554231666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151.62762512756862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411</v>
      </c>
      <c r="BB123" s="12">
        <f>VLOOKUP(A123,'Données projet'!$A$87:$I$107,9,0)</f>
        <v>3.15</v>
      </c>
      <c r="BC123" s="12">
        <f t="array" ref="BC123">INDEX(BB:BB,MIN(IF(ISNUMBER(BB123:BB319),ROW(BB123:BB319),"")))</f>
        <v>3.15</v>
      </c>
      <c r="BD123" s="12">
        <f>IF('Données projet'!$A$88&gt;35,BD122+BC123-BL122,IF(A123&lt;'Données projet'!$A$88,$BA$205^A123,IF(A123='Données projet'!$A$88,'Données projet'!$B$88,BD122+BC123-BL122)))</f>
        <v>410.99999999999966</v>
      </c>
      <c r="BE123" s="13">
        <f>BD123*VLOOKUP('Données projet'!$B$11,Paramètres!$A$1:$I$89,3,0)*VLOOKUP('Données projet'!$B$11,Paramètres!$A$1:$I$89,5,0)</f>
        <v>352.63799999999975</v>
      </c>
      <c r="BF123" s="13">
        <f t="shared" si="91"/>
        <v>82.105465223356902</v>
      </c>
      <c r="BG123" s="20">
        <f t="shared" si="61"/>
        <v>757.17820193067939</v>
      </c>
      <c r="BH123" s="59">
        <f t="shared" si="62"/>
        <v>1050.5115352640128</v>
      </c>
      <c r="BI123" s="59">
        <f ca="1">AVERAGE(OFFSET($BH$3,0,0,'Données projet'!$E$11+1,1))-AVERAGE(OFFSET($H$3,0,0,'Données projet'!$E$11+1,1))</f>
        <v>359.99244410291516</v>
      </c>
      <c r="BJ123" s="59">
        <f t="shared" si="92"/>
        <v>143.73379124174278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16.533467152356867</v>
      </c>
      <c r="BQ123" s="21">
        <f>EXP(-LN(2)/25)*BQ122+(1-EXP(-LN(2)/25))/(LN(2)/25)*Calculateur!BL123*Calculateur!BN123*VLOOKUP('Données projet'!$B$11,Paramètres!$A$1:$I$89,3,0)*0.475*44/12</f>
        <v>2.5354905823045941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19.06895773466146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350.25444539178324</v>
      </c>
      <c r="T124" s="59">
        <f t="shared" si="88"/>
        <v>421.51176105448474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72.359952339070247</v>
      </c>
      <c r="AA124" s="21">
        <f>EXP(-LN(2)/25)*AA123+(1-EXP(-LN(2)/25))/(LN(2)/25)*Calculateur!V124*Calculateur!X124*VLOOKUP('Données projet'!$B$9,Paramètres!$A$1:$I$89,3,0)*0.475*44/12</f>
        <v>10.815237227519377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83.175189566589623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-9.0949470177292824E-13</v>
      </c>
      <c r="AJ124" s="13">
        <f>AI124*VLOOKUP('Données projet'!$B$10,Paramètres!$A$1:$I$89,3,0)*VLOOKUP('Données projet'!$B$10,Paramètres!$A$1:$I$89,5,0)</f>
        <v>-4.492903826758266E-13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350.14981500723491</v>
      </c>
      <c r="AO124" s="59">
        <f t="shared" si="90"/>
        <v>270.58548917514111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126.59629198684402</v>
      </c>
      <c r="AV124" s="21">
        <f>EXP(-LN(2)/25)*AV123+(1-EXP(-LN(2)/25))/(LN(2)/25)*Calculateur!AQ124*Calculateur!AS124*VLOOKUP('Données projet'!$B$10,Paramètres!$A$1:$I$89,3,0)*0.475*44/12</f>
        <v>21.883961649859508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148.48025363670354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0.8</v>
      </c>
      <c r="BD124" s="12">
        <f>IF('Données projet'!$A$88&gt;35,BD123+BC124-BL123,IF(A124&lt;'Données projet'!$A$88,$BA$205^A124,IF(A124='Données projet'!$A$88,'Données projet'!$B$88,BD123+BC124-BL123)))</f>
        <v>411.79999999999967</v>
      </c>
      <c r="BE124" s="13">
        <f>BD124*VLOOKUP('Données projet'!$B$11,Paramètres!$A$1:$I$89,3,0)*VLOOKUP('Données projet'!$B$11,Paramètres!$A$1:$I$89,5,0)</f>
        <v>353.32439999999974</v>
      </c>
      <c r="BF124" s="13">
        <f t="shared" si="91"/>
        <v>82.246662647002509</v>
      </c>
      <c r="BG124" s="20">
        <f t="shared" si="61"/>
        <v>758.61960077686217</v>
      </c>
      <c r="BH124" s="59">
        <f t="shared" si="62"/>
        <v>1051.9529341101954</v>
      </c>
      <c r="BI124" s="59">
        <f ca="1">AVERAGE(OFFSET($BH$3,0,0,'Données projet'!$E$11+1,1))-AVERAGE(OFFSET($H$3,0,0,'Données projet'!$E$11+1,1))</f>
        <v>359.99244410291516</v>
      </c>
      <c r="BJ124" s="59">
        <f t="shared" si="92"/>
        <v>143.73379124174278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16.209255945918358</v>
      </c>
      <c r="BQ124" s="21">
        <f>EXP(-LN(2)/25)*BQ123+(1-EXP(-LN(2)/25))/(LN(2)/25)*Calculateur!BL124*Calculateur!BN124*VLOOKUP('Données projet'!$B$11,Paramètres!$A$1:$I$89,3,0)*0.475*44/12</f>
        <v>2.4661574589958204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18.675413404914178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350.25444539178324</v>
      </c>
      <c r="T125" s="59">
        <f t="shared" si="88"/>
        <v>421.51176105448474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70.941017808914012</v>
      </c>
      <c r="AA125" s="21">
        <f>EXP(-LN(2)/25)*AA124+(1-EXP(-LN(2)/25))/(LN(2)/25)*Calculateur!V125*Calculateur!X125*VLOOKUP('Données projet'!$B$9,Paramètres!$A$1:$I$89,3,0)*0.475*44/12</f>
        <v>10.519493996784252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81.46051180569826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-9.0949470177292824E-13</v>
      </c>
      <c r="AJ125" s="13">
        <f>AI125*VLOOKUP('Données projet'!$B$10,Paramètres!$A$1:$I$89,3,0)*VLOOKUP('Données projet'!$B$10,Paramètres!$A$1:$I$89,5,0)</f>
        <v>-4.492903826758266E-13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350.14981500723491</v>
      </c>
      <c r="AO125" s="59">
        <f t="shared" si="90"/>
        <v>270.58548917514111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124.11381591709566</v>
      </c>
      <c r="AV125" s="21">
        <f>EXP(-LN(2)/25)*AV124+(1-EXP(-LN(2)/25))/(LN(2)/25)*Calculateur!AQ125*Calculateur!AS125*VLOOKUP('Données projet'!$B$10,Paramètres!$A$1:$I$89,3,0)*0.475*44/12</f>
        <v>21.285543567716573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145.39935948481224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0.8</v>
      </c>
      <c r="BD125" s="12">
        <f>IF('Données projet'!$A$88&gt;35,BD124+BC125-BL124,IF(A125&lt;'Données projet'!$A$88,$BA$205^A125,IF(A125='Données projet'!$A$88,'Données projet'!$B$88,BD124+BC125-BL124)))</f>
        <v>412.59999999999968</v>
      </c>
      <c r="BE125" s="13">
        <f>BD125*VLOOKUP('Données projet'!$B$11,Paramètres!$A$1:$I$89,3,0)*VLOOKUP('Données projet'!$B$11,Paramètres!$A$1:$I$89,5,0)</f>
        <v>354.01079999999973</v>
      </c>
      <c r="BF125" s="13">
        <f t="shared" si="91"/>
        <v>82.387828145377782</v>
      </c>
      <c r="BG125" s="20">
        <f t="shared" si="61"/>
        <v>760.06094401986593</v>
      </c>
      <c r="BH125" s="59">
        <f t="shared" si="62"/>
        <v>1053.3942773531992</v>
      </c>
      <c r="BI125" s="59">
        <f ca="1">AVERAGE(OFFSET($BH$3,0,0,'Données projet'!$E$11+1,1))-AVERAGE(OFFSET($H$3,0,0,'Données projet'!$E$11+1,1))</f>
        <v>359.99244410291516</v>
      </c>
      <c r="BJ125" s="59">
        <f t="shared" si="92"/>
        <v>143.73379124174278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15.891402323488798</v>
      </c>
      <c r="BQ125" s="21">
        <f>EXP(-LN(2)/25)*BQ124+(1-EXP(-LN(2)/25))/(LN(2)/25)*Calculateur!BL125*Calculateur!BN125*VLOOKUP('Données projet'!$B$11,Paramètres!$A$1:$I$89,3,0)*0.475*44/12</f>
        <v>2.3987202535899952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18.290122577078794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350.25444539178324</v>
      </c>
      <c r="T126" s="59">
        <f t="shared" si="88"/>
        <v>421.51176105448474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69.549907719429541</v>
      </c>
      <c r="AA126" s="21">
        <f>EXP(-LN(2)/25)*AA125+(1-EXP(-LN(2)/25))/(LN(2)/25)*Calculateur!V126*Calculateur!X126*VLOOKUP('Données projet'!$B$9,Paramètres!$A$1:$I$89,3,0)*0.475*44/12</f>
        <v>10.23183788024604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79.781745599675588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-9.0949470177292824E-13</v>
      </c>
      <c r="AJ126" s="13">
        <f>AI126*VLOOKUP('Données projet'!$B$10,Paramètres!$A$1:$I$89,3,0)*VLOOKUP('Données projet'!$B$10,Paramètres!$A$1:$I$89,5,0)</f>
        <v>-4.492903826758266E-13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350.14981500723491</v>
      </c>
      <c r="AO126" s="59">
        <f t="shared" si="90"/>
        <v>270.58548917514111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121.68001968891419</v>
      </c>
      <c r="AV126" s="21">
        <f>EXP(-LN(2)/25)*AV125+(1-EXP(-LN(2)/25))/(LN(2)/25)*Calculateur!AQ126*Calculateur!AS126*VLOOKUP('Données projet'!$B$10,Paramètres!$A$1:$I$89,3,0)*0.475*44/12</f>
        <v>20.703489259499275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142.38350894841346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0.8</v>
      </c>
      <c r="BD126" s="12">
        <f>IF('Données projet'!$A$88&gt;35,BD125+BC126-BL125,IF(A126&lt;'Données projet'!$A$88,$BA$205^A126,IF(A126='Données projet'!$A$88,'Données projet'!$B$88,BD125+BC126-BL125)))</f>
        <v>413.39999999999969</v>
      </c>
      <c r="BE126" s="13">
        <f>BD126*VLOOKUP('Données projet'!$B$11,Paramètres!$A$1:$I$89,3,0)*VLOOKUP('Données projet'!$B$11,Paramètres!$A$1:$I$89,5,0)</f>
        <v>354.69719999999978</v>
      </c>
      <c r="BF126" s="13">
        <f t="shared" si="91"/>
        <v>82.528961787580869</v>
      </c>
      <c r="BG126" s="20">
        <f t="shared" si="61"/>
        <v>761.50223178003625</v>
      </c>
      <c r="BH126" s="59">
        <f t="shared" si="62"/>
        <v>1054.8355651133695</v>
      </c>
      <c r="BI126" s="59">
        <f ca="1">AVERAGE(OFFSET($BH$3,0,0,'Données projet'!$E$11+1,1))-AVERAGE(OFFSET($H$3,0,0,'Données projet'!$E$11+1,1))</f>
        <v>359.99244410291516</v>
      </c>
      <c r="BJ126" s="59">
        <f t="shared" si="92"/>
        <v>143.73379124174278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15.579781616723515</v>
      </c>
      <c r="BQ126" s="21">
        <f>EXP(-LN(2)/25)*BQ125+(1-EXP(-LN(2)/25))/(LN(2)/25)*Calculateur!BL126*Calculateur!BN126*VLOOKUP('Données projet'!$B$11,Paramètres!$A$1:$I$89,3,0)*0.475*44/12</f>
        <v>2.3331271221123608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17.912908738835878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350.25444539178324</v>
      </c>
      <c r="T127" s="59">
        <f t="shared" si="88"/>
        <v>421.51176105448474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68.186076450306487</v>
      </c>
      <c r="AA127" s="21">
        <f>EXP(-LN(2)/25)*AA126+(1-EXP(-LN(2)/25))/(LN(2)/25)*Calculateur!V127*Calculateur!X127*VLOOKUP('Données projet'!$B$9,Paramètres!$A$1:$I$89,3,0)*0.475*44/12</f>
        <v>9.9520477353417434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78.138124185648223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-9.0949470177292824E-13</v>
      </c>
      <c r="AJ127" s="13">
        <f>AI127*VLOOKUP('Données projet'!$B$10,Paramètres!$A$1:$I$89,3,0)*VLOOKUP('Données projet'!$B$10,Paramètres!$A$1:$I$89,5,0)</f>
        <v>-4.492903826758266E-13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350.14981500723491</v>
      </c>
      <c r="AO127" s="59">
        <f t="shared" si="90"/>
        <v>270.58548917514111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119.29394872029822</v>
      </c>
      <c r="AV127" s="21">
        <f>EXP(-LN(2)/25)*AV126+(1-EXP(-LN(2)/25))/(LN(2)/25)*Calculateur!AQ127*Calculateur!AS127*VLOOKUP('Données projet'!$B$10,Paramètres!$A$1:$I$89,3,0)*0.475*44/12</f>
        <v>20.137351256949085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139.43129997724731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0.8</v>
      </c>
      <c r="BD127" s="12">
        <f>IF('Données projet'!$A$88&gt;35,BD126+BC127-BL126,IF(A127&lt;'Données projet'!$A$88,$BA$205^A127,IF(A127='Données projet'!$A$88,'Données projet'!$B$88,BD126+BC127-BL126)))</f>
        <v>414.1999999999997</v>
      </c>
      <c r="BE127" s="13">
        <f>BD127*VLOOKUP('Données projet'!$B$11,Paramètres!$A$1:$I$89,3,0)*VLOOKUP('Données projet'!$B$11,Paramètres!$A$1:$I$89,5,0)</f>
        <v>355.38359999999977</v>
      </c>
      <c r="BF127" s="13">
        <f t="shared" si="91"/>
        <v>82.670063642426967</v>
      </c>
      <c r="BG127" s="20">
        <f t="shared" si="61"/>
        <v>762.94346417722647</v>
      </c>
      <c r="BH127" s="59">
        <f t="shared" si="62"/>
        <v>1056.2767975105598</v>
      </c>
      <c r="BI127" s="59">
        <f ca="1">AVERAGE(OFFSET($BH$3,0,0,'Données projet'!$E$11+1,1))-AVERAGE(OFFSET($H$3,0,0,'Données projet'!$E$11+1,1))</f>
        <v>359.99244410291516</v>
      </c>
      <c r="BJ127" s="59">
        <f t="shared" si="92"/>
        <v>143.73379124174278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15.274271601948037</v>
      </c>
      <c r="BQ127" s="21">
        <f>EXP(-LN(2)/25)*BQ126+(1-EXP(-LN(2)/25))/(LN(2)/25)*Calculateur!BL127*Calculateur!BN127*VLOOKUP('Données projet'!$B$11,Paramètres!$A$1:$I$89,3,0)*0.475*44/12</f>
        <v>2.2693276382643752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17.543599240212412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350.25444539178324</v>
      </c>
      <c r="T128" s="59">
        <f t="shared" si="88"/>
        <v>421.51176105448474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66.848989080516006</v>
      </c>
      <c r="AA128" s="21">
        <f>EXP(-LN(2)/25)*AA127+(1-EXP(-LN(2)/25))/(LN(2)/25)*Calculateur!V128*Calculateur!X128*VLOOKUP('Données projet'!$B$9,Paramètres!$A$1:$I$89,3,0)*0.475*44/12</f>
        <v>9.6799084666633792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76.528897547179383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-9.0949470177292824E-13</v>
      </c>
      <c r="AJ128" s="13">
        <f>AI128*VLOOKUP('Données projet'!$B$10,Paramètres!$A$1:$I$89,3,0)*VLOOKUP('Données projet'!$B$10,Paramètres!$A$1:$I$89,5,0)</f>
        <v>-4.492903826758266E-13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350.14981500723491</v>
      </c>
      <c r="AO128" s="59">
        <f t="shared" si="90"/>
        <v>270.58548917514111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116.95466714801722</v>
      </c>
      <c r="AV128" s="21">
        <f>EXP(-LN(2)/25)*AV127+(1-EXP(-LN(2)/25))/(LN(2)/25)*Calculateur!AQ128*Calculateur!AS128*VLOOKUP('Données projet'!$B$10,Paramètres!$A$1:$I$89,3,0)*0.475*44/12</f>
        <v>19.586694327850534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136.54136147586775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0.8</v>
      </c>
      <c r="BD128" s="12">
        <f>IF('Données projet'!$A$88&gt;35,BD127+BC128-BL127,IF(A128&lt;'Données projet'!$A$88,$BA$205^A128,IF(A128='Données projet'!$A$88,'Données projet'!$B$88,BD127+BC128-BL127)))</f>
        <v>414.99999999999972</v>
      </c>
      <c r="BE128" s="13">
        <f>BD128*VLOOKUP('Données projet'!$B$11,Paramètres!$A$1:$I$89,3,0)*VLOOKUP('Données projet'!$B$11,Paramètres!$A$1:$I$89,5,0)</f>
        <v>356.06999999999977</v>
      </c>
      <c r="BF128" s="13">
        <f t="shared" si="91"/>
        <v>82.811133778450042</v>
      </c>
      <c r="BG128" s="20">
        <f t="shared" si="61"/>
        <v>764.38464133080004</v>
      </c>
      <c r="BH128" s="59">
        <f t="shared" si="62"/>
        <v>1057.7179746641334</v>
      </c>
      <c r="BI128" s="59">
        <f ca="1">AVERAGE(OFFSET($BH$3,0,0,'Données projet'!$E$11+1,1))-AVERAGE(OFFSET($H$3,0,0,'Données projet'!$E$11+1,1))</f>
        <v>359.99244410291516</v>
      </c>
      <c r="BJ128" s="59">
        <f t="shared" si="92"/>
        <v>143.73379124174278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14.974752452219596</v>
      </c>
      <c r="BQ128" s="21">
        <f>EXP(-LN(2)/25)*BQ127+(1-EXP(-LN(2)/25))/(LN(2)/25)*Calculateur!BL128*Calculateur!BN128*VLOOKUP('Données projet'!$B$11,Paramètres!$A$1:$I$89,3,0)*0.475*44/12</f>
        <v>2.2072727546572821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17.18202520687688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350.25444539178324</v>
      </c>
      <c r="T129" s="59">
        <f t="shared" si="88"/>
        <v>421.51176105448474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65.53812117850434</v>
      </c>
      <c r="AA129" s="21">
        <f>EXP(-LN(2)/25)*AA128+(1-EXP(-LN(2)/25))/(LN(2)/25)*Calculateur!V129*Calculateur!X129*VLOOKUP('Données projet'!$B$9,Paramètres!$A$1:$I$89,3,0)*0.475*44/12</f>
        <v>9.4152108605982061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74.953332039102548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-9.0949470177292824E-13</v>
      </c>
      <c r="AJ129" s="13">
        <f>AI129*VLOOKUP('Données projet'!$B$10,Paramètres!$A$1:$I$89,3,0)*VLOOKUP('Données projet'!$B$10,Paramètres!$A$1:$I$89,5,0)</f>
        <v>-4.492903826758266E-13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350.14981500723491</v>
      </c>
      <c r="AO129" s="59">
        <f t="shared" si="90"/>
        <v>270.58548917514111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114.66125746054779</v>
      </c>
      <c r="AV129" s="21">
        <f>EXP(-LN(2)/25)*AV128+(1-EXP(-LN(2)/25))/(LN(2)/25)*Calculateur!AQ129*Calculateur!AS129*VLOOKUP('Données projet'!$B$10,Paramètres!$A$1:$I$89,3,0)*0.475*44/12</f>
        <v>19.051095141435972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133.71235260198375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0.8</v>
      </c>
      <c r="BD129" s="12">
        <f>IF('Données projet'!$A$88&gt;35,BD128+BC129-BL128,IF(A129&lt;'Données projet'!$A$88,$BA$205^A129,IF(A129='Données projet'!$A$88,'Données projet'!$B$88,BD128+BC129-BL128)))</f>
        <v>415.79999999999973</v>
      </c>
      <c r="BE129" s="13">
        <f>BD129*VLOOKUP('Données projet'!$B$11,Paramètres!$A$1:$I$89,3,0)*VLOOKUP('Données projet'!$B$11,Paramètres!$A$1:$I$89,5,0)</f>
        <v>356.75639999999981</v>
      </c>
      <c r="BF129" s="13">
        <f t="shared" si="91"/>
        <v>82.952172263904558</v>
      </c>
      <c r="BG129" s="20">
        <f t="shared" si="61"/>
        <v>765.82576335963347</v>
      </c>
      <c r="BH129" s="59">
        <f t="shared" si="62"/>
        <v>1059.1590966929668</v>
      </c>
      <c r="BI129" s="59">
        <f ca="1">AVERAGE(OFFSET($BH$3,0,0,'Données projet'!$E$11+1,1))-AVERAGE(OFFSET($H$3,0,0,'Données projet'!$E$11+1,1))</f>
        <v>359.99244410291516</v>
      </c>
      <c r="BJ129" s="59">
        <f t="shared" si="92"/>
        <v>143.73379124174278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14.681106690328688</v>
      </c>
      <c r="BQ129" s="21">
        <f>EXP(-LN(2)/25)*BQ128+(1-EXP(-LN(2)/25))/(LN(2)/25)*Calculateur!BL129*Calculateur!BN129*VLOOKUP('Données projet'!$B$11,Paramètres!$A$1:$I$89,3,0)*0.475*44/12</f>
        <v>2.1469147651057492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16.828021455434438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350.25444539178324</v>
      </c>
      <c r="T130" s="59">
        <f t="shared" si="88"/>
        <v>421.51176105448474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64.252958596500648</v>
      </c>
      <c r="AA130" s="21">
        <f>EXP(-LN(2)/25)*AA129+(1-EXP(-LN(2)/25))/(LN(2)/25)*Calculateur!V130*Calculateur!X130*VLOOKUP('Données projet'!$B$9,Paramètres!$A$1:$I$89,3,0)*0.475*44/12</f>
        <v>9.1577514244907281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73.410710020991374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-9.0949470177292824E-13</v>
      </c>
      <c r="AJ130" s="13">
        <f>AI130*VLOOKUP('Données projet'!$B$10,Paramètres!$A$1:$I$89,3,0)*VLOOKUP('Données projet'!$B$10,Paramètres!$A$1:$I$89,5,0)</f>
        <v>-4.492903826758266E-13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350.14981500723491</v>
      </c>
      <c r="AO130" s="59">
        <f t="shared" si="90"/>
        <v>270.58548917514111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112.41282013820785</v>
      </c>
      <c r="AV130" s="21">
        <f>EXP(-LN(2)/25)*AV129+(1-EXP(-LN(2)/25))/(LN(2)/25)*Calculateur!AQ130*Calculateur!AS130*VLOOKUP('Données projet'!$B$10,Paramètres!$A$1:$I$89,3,0)*0.475*44/12</f>
        <v>18.530141942939853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130.9429620811477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0.8</v>
      </c>
      <c r="BD130" s="12">
        <f>IF('Données projet'!$A$88&gt;35,BD129+BC130-BL129,IF(A130&lt;'Données projet'!$A$88,$BA$205^A130,IF(A130='Données projet'!$A$88,'Données projet'!$B$88,BD129+BC130-BL129)))</f>
        <v>416.59999999999974</v>
      </c>
      <c r="BE130" s="13">
        <f>BD130*VLOOKUP('Données projet'!$B$11,Paramètres!$A$1:$I$89,3,0)*VLOOKUP('Données projet'!$B$11,Paramètres!$A$1:$I$89,5,0)</f>
        <v>357.44279999999981</v>
      </c>
      <c r="BF130" s="13">
        <f t="shared" si="91"/>
        <v>83.093179166766987</v>
      </c>
      <c r="BG130" s="20">
        <f t="shared" si="61"/>
        <v>767.26683038211877</v>
      </c>
      <c r="BH130" s="59">
        <f t="shared" si="62"/>
        <v>1060.600163715452</v>
      </c>
      <c r="BI130" s="59">
        <f ca="1">AVERAGE(OFFSET($BH$3,0,0,'Données projet'!$E$11+1,1))-AVERAGE(OFFSET($H$3,0,0,'Données projet'!$E$11+1,1))</f>
        <v>359.99244410291516</v>
      </c>
      <c r="BJ130" s="59">
        <f t="shared" si="92"/>
        <v>143.73379124174278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14.393219142722231</v>
      </c>
      <c r="BQ130" s="21">
        <f>EXP(-LN(2)/25)*BQ129+(1-EXP(-LN(2)/25))/(LN(2)/25)*Calculateur!BL130*Calculateur!BN130*VLOOKUP('Données projet'!$B$11,Paramètres!$A$1:$I$89,3,0)*0.475*44/12</f>
        <v>2.0882072679525918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16.481426410674821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350.25444539178324</v>
      </c>
      <c r="T131" s="59">
        <f t="shared" si="88"/>
        <v>421.51176105448474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62.992997268858282</v>
      </c>
      <c r="AA131" s="21">
        <f>EXP(-LN(2)/25)*AA130+(1-EXP(-LN(2)/25))/(LN(2)/25)*Calculateur!V131*Calculateur!X131*VLOOKUP('Données projet'!$B$9,Paramètres!$A$1:$I$89,3,0)*0.475*44/12</f>
        <v>8.9073322302028117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71.900329499061087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-9.0949470177292824E-13</v>
      </c>
      <c r="AJ131" s="13">
        <f>AI131*VLOOKUP('Données projet'!$B$10,Paramètres!$A$1:$I$89,3,0)*VLOOKUP('Données projet'!$B$10,Paramètres!$A$1:$I$89,5,0)</f>
        <v>-4.492903826758266E-13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350.14981500723491</v>
      </c>
      <c r="AO131" s="59">
        <f t="shared" si="90"/>
        <v>270.58548917514111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110.20847330034763</v>
      </c>
      <c r="AV131" s="21">
        <f>EXP(-LN(2)/25)*AV130+(1-EXP(-LN(2)/25))/(LN(2)/25)*Calculateur!AQ131*Calculateur!AS131*VLOOKUP('Données projet'!$B$10,Paramètres!$A$1:$I$89,3,0)*0.475*44/12</f>
        <v>18.023434237052349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128.23190753739999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0.8</v>
      </c>
      <c r="BD131" s="12">
        <f>IF('Données projet'!$A$88&gt;35,BD130+BC131-BL130,IF(A131&lt;'Données projet'!$A$88,$BA$205^A131,IF(A131='Données projet'!$A$88,'Données projet'!$B$88,BD130+BC131-BL130)))</f>
        <v>417.39999999999975</v>
      </c>
      <c r="BE131" s="13">
        <f>BD131*VLOOKUP('Données projet'!$B$11,Paramètres!$A$1:$I$89,3,0)*VLOOKUP('Données projet'!$B$11,Paramètres!$A$1:$I$89,5,0)</f>
        <v>358.1291999999998</v>
      </c>
      <c r="BF131" s="13">
        <f t="shared" si="91"/>
        <v>83.234154554737486</v>
      </c>
      <c r="BG131" s="20">
        <f t="shared" si="61"/>
        <v>768.70784251616749</v>
      </c>
      <c r="BH131" s="59">
        <f t="shared" si="62"/>
        <v>1062.0411758495009</v>
      </c>
      <c r="BI131" s="59">
        <f ca="1">AVERAGE(OFFSET($BH$3,0,0,'Données projet'!$E$11+1,1))-AVERAGE(OFFSET($H$3,0,0,'Données projet'!$E$11+1,1))</f>
        <v>359.99244410291516</v>
      </c>
      <c r="BJ131" s="59">
        <f t="shared" si="92"/>
        <v>143.73379124174278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14.110976894330271</v>
      </c>
      <c r="BQ131" s="21">
        <f>EXP(-LN(2)/25)*BQ130+(1-EXP(-LN(2)/25))/(LN(2)/25)*Calculateur!BL131*Calculateur!BN131*VLOOKUP('Données projet'!$B$11,Paramètres!$A$1:$I$89,3,0)*0.475*44/12</f>
        <v>2.0311051303963805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16.142082024726651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350.25444539178324</v>
      </c>
      <c r="T132" s="59">
        <f t="shared" si="88"/>
        <v>421.51176105448474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61.757743014350453</v>
      </c>
      <c r="AA132" s="21">
        <f>EXP(-LN(2)/25)*AA131+(1-EXP(-LN(2)/25))/(LN(2)/25)*Calculateur!V132*Calculateur!X132*VLOOKUP('Données projet'!$B$9,Paramètres!$A$1:$I$89,3,0)*0.475*44/12</f>
        <v>8.6637607619516714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70.421503776302131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-9.0949470177292824E-13</v>
      </c>
      <c r="AJ132" s="13">
        <f>AI132*VLOOKUP('Données projet'!$B$10,Paramètres!$A$1:$I$89,3,0)*VLOOKUP('Données projet'!$B$10,Paramètres!$A$1:$I$89,5,0)</f>
        <v>-4.492903826758266E-13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350.14981500723491</v>
      </c>
      <c r="AO132" s="59">
        <f t="shared" si="90"/>
        <v>270.58548917514111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108.04735235945905</v>
      </c>
      <c r="AV132" s="21">
        <f>EXP(-LN(2)/25)*AV131+(1-EXP(-LN(2)/25))/(LN(2)/25)*Calculateur!AQ132*Calculateur!AS132*VLOOKUP('Données projet'!$B$10,Paramètres!$A$1:$I$89,3,0)*0.475*44/12</f>
        <v>17.53058248002894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125.57793483948799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0.8</v>
      </c>
      <c r="BD132" s="12">
        <f>IF('Données projet'!$A$88&gt;35,BD131+BC132-BL131,IF(A132&lt;'Données projet'!$A$88,$BA$205^A132,IF(A132='Données projet'!$A$88,'Données projet'!$B$88,BD131+BC132-BL131)))</f>
        <v>418.19999999999976</v>
      </c>
      <c r="BE132" s="13">
        <f>BD132*VLOOKUP('Données projet'!$B$11,Paramètres!$A$1:$I$89,3,0)*VLOOKUP('Données projet'!$B$11,Paramètres!$A$1:$I$89,5,0)</f>
        <v>358.81559999999985</v>
      </c>
      <c r="BF132" s="13">
        <f t="shared" si="91"/>
        <v>83.3750984952419</v>
      </c>
      <c r="BG132" s="20">
        <f t="shared" ref="BG132:BG153" si="115">(BE132+BF132)*0.475*44/12</f>
        <v>770.14879987921267</v>
      </c>
      <c r="BH132" s="59">
        <f t="shared" ref="BH132:BH195" si="116">BG132+(AY132+AZ132)*44/12</f>
        <v>1063.4821332125459</v>
      </c>
      <c r="BI132" s="59">
        <f ca="1">AVERAGE(OFFSET($BH$3,0,0,'Données projet'!$E$11+1,1))-AVERAGE(OFFSET($H$3,0,0,'Données projet'!$E$11+1,1))</f>
        <v>359.99244410291516</v>
      </c>
      <c r="BJ132" s="59">
        <f t="shared" si="92"/>
        <v>143.73379124174278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13.834269244278504</v>
      </c>
      <c r="BQ132" s="21">
        <f>EXP(-LN(2)/25)*BQ131+(1-EXP(-LN(2)/25))/(LN(2)/25)*Calculateur!BL132*Calculateur!BN132*VLOOKUP('Données projet'!$B$11,Paramètres!$A$1:$I$89,3,0)*0.475*44/12</f>
        <v>1.975564453794515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15.809833698073019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350.25444539178324</v>
      </c>
      <c r="T133" s="59">
        <f t="shared" ref="T133:T196" si="142">$T$3</f>
        <v>421.51176105448474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60.546711342342824</v>
      </c>
      <c r="AA133" s="21">
        <f>EXP(-LN(2)/25)*AA132+(1-EXP(-LN(2)/25))/(LN(2)/25)*Calculateur!V133*Calculateur!X133*VLOOKUP('Données projet'!$B$9,Paramètres!$A$1:$I$89,3,0)*0.475*44/12</f>
        <v>8.4268497683087258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68.973561110651545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-9.0949470177292824E-13</v>
      </c>
      <c r="AJ133" s="13">
        <f>AI133*VLOOKUP('Données projet'!$B$10,Paramètres!$A$1:$I$89,3,0)*VLOOKUP('Données projet'!$B$10,Paramètres!$A$1:$I$89,5,0)</f>
        <v>-4.492903826758266E-13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350.14981500723491</v>
      </c>
      <c r="AO133" s="59">
        <f t="shared" ref="AO133:AO196" si="144">$AO$3</f>
        <v>270.58548917514111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105.92860968206769</v>
      </c>
      <c r="AV133" s="21">
        <f>EXP(-LN(2)/25)*AV132+(1-EXP(-LN(2)/25))/(LN(2)/25)*Calculateur!AQ133*Calculateur!AS133*VLOOKUP('Données projet'!$B$10,Paramètres!$A$1:$I$89,3,0)*0.475*44/12</f>
        <v>17.051207780219283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122.97981746228697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0.8</v>
      </c>
      <c r="BD133" s="12">
        <f>IF('Données projet'!$A$88&gt;35,BD132+BC133-BL132,IF(A133&lt;'Données projet'!$A$88,$BA$205^A133,IF(A133='Données projet'!$A$88,'Données projet'!$B$88,BD132+BC133-BL132)))</f>
        <v>418.99999999999977</v>
      </c>
      <c r="BE133" s="13">
        <f>BD133*VLOOKUP('Données projet'!$B$11,Paramètres!$A$1:$I$89,3,0)*VLOOKUP('Données projet'!$B$11,Paramètres!$A$1:$I$89,5,0)</f>
        <v>359.50199999999984</v>
      </c>
      <c r="BF133" s="13">
        <f t="shared" ref="BF133:BF153" si="145">EXP(-1.0587+0.8836*LN(BE133)+0.284)</f>
        <v>83.516011055432742</v>
      </c>
      <c r="BG133" s="20">
        <f t="shared" si="115"/>
        <v>771.58970258821171</v>
      </c>
      <c r="BH133" s="59">
        <f t="shared" si="116"/>
        <v>1064.9230359215451</v>
      </c>
      <c r="BI133" s="59">
        <f ca="1">AVERAGE(OFFSET($BH$3,0,0,'Données projet'!$E$11+1,1))-AVERAGE(OFFSET($H$3,0,0,'Données projet'!$E$11+1,1))</f>
        <v>359.99244410291516</v>
      </c>
      <c r="BJ133" s="59">
        <f t="shared" ref="BJ133:BJ196" si="146">$BJ$3</f>
        <v>143.73379124174278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13.562987662469251</v>
      </c>
      <c r="BQ133" s="21">
        <f>EXP(-LN(2)/25)*BQ132+(1-EXP(-LN(2)/25))/(LN(2)/25)*Calculateur!BL133*Calculateur!BN133*VLOOKUP('Données projet'!$B$11,Paramètres!$A$1:$I$89,3,0)*0.475*44/12</f>
        <v>1.9215425399150845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15.484530202384335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350.25444539178324</v>
      </c>
      <c r="T134" s="59">
        <f t="shared" si="142"/>
        <v>421.51176105448474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59.359427262766879</v>
      </c>
      <c r="AA134" s="21">
        <f>EXP(-LN(2)/25)*AA133+(1-EXP(-LN(2)/25))/(LN(2)/25)*Calculateur!V134*Calculateur!X134*VLOOKUP('Données projet'!$B$9,Paramètres!$A$1:$I$89,3,0)*0.475*44/12</f>
        <v>8.1964171182455541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67.555844381012434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-9.0949470177292824E-13</v>
      </c>
      <c r="AJ134" s="13">
        <f>AI134*VLOOKUP('Données projet'!$B$10,Paramètres!$A$1:$I$89,3,0)*VLOOKUP('Données projet'!$B$10,Paramètres!$A$1:$I$89,5,0)</f>
        <v>-4.492903826758266E-13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350.14981500723491</v>
      </c>
      <c r="AO134" s="59">
        <f t="shared" si="144"/>
        <v>270.58548917514111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103.85141425627454</v>
      </c>
      <c r="AV134" s="21">
        <f>EXP(-LN(2)/25)*AV133+(1-EXP(-LN(2)/25))/(LN(2)/25)*Calculateur!AQ134*Calculateur!AS134*VLOOKUP('Données projet'!$B$10,Paramètres!$A$1:$I$89,3,0)*0.475*44/12</f>
        <v>16.58494160678514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120.43635586305967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0.8</v>
      </c>
      <c r="BD134" s="12">
        <f>IF('Données projet'!$A$88&gt;35,BD133+BC134-BL133,IF(A134&lt;'Données projet'!$A$88,$BA$205^A134,IF(A134='Données projet'!$A$88,'Données projet'!$B$88,BD133+BC134-BL133)))</f>
        <v>419.79999999999978</v>
      </c>
      <c r="BE134" s="13">
        <f>BD134*VLOOKUP('Données projet'!$B$11,Paramètres!$A$1:$I$89,3,0)*VLOOKUP('Données projet'!$B$11,Paramètres!$A$1:$I$89,5,0)</f>
        <v>360.18839999999983</v>
      </c>
      <c r="BF134" s="13">
        <f t="shared" si="145"/>
        <v>83.65689230219165</v>
      </c>
      <c r="BG134" s="20">
        <f t="shared" si="115"/>
        <v>773.03055075965005</v>
      </c>
      <c r="BH134" s="59">
        <f t="shared" si="116"/>
        <v>1066.3638840929834</v>
      </c>
      <c r="BI134" s="59">
        <f ca="1">AVERAGE(OFFSET($BH$3,0,0,'Données projet'!$E$11+1,1))-AVERAGE(OFFSET($H$3,0,0,'Données projet'!$E$11+1,1))</f>
        <v>359.99244410291516</v>
      </c>
      <c r="BJ134" s="59">
        <f t="shared" si="146"/>
        <v>143.73379124174278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13.297025747013851</v>
      </c>
      <c r="BQ134" s="21">
        <f>EXP(-LN(2)/25)*BQ133+(1-EXP(-LN(2)/25))/(LN(2)/25)*Calculateur!BL134*Calculateur!BN134*VLOOKUP('Données projet'!$B$11,Paramètres!$A$1:$I$89,3,0)*0.475*44/12</f>
        <v>1.868997858111576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15.166023605125428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350.25444539178324</v>
      </c>
      <c r="T135" s="59">
        <f t="shared" si="142"/>
        <v>421.51176105448474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58.195425099819637</v>
      </c>
      <c r="AA135" s="21">
        <f>EXP(-LN(2)/25)*AA134+(1-EXP(-LN(2)/25))/(LN(2)/25)*Calculateur!V135*Calculateur!X135*VLOOKUP('Données projet'!$B$9,Paramètres!$A$1:$I$89,3,0)*0.475*44/12</f>
        <v>7.9722856611162864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66.167710760935918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-9.0949470177292824E-13</v>
      </c>
      <c r="AJ135" s="13">
        <f>AI135*VLOOKUP('Données projet'!$B$10,Paramètres!$A$1:$I$89,3,0)*VLOOKUP('Données projet'!$B$10,Paramètres!$A$1:$I$89,5,0)</f>
        <v>-4.492903826758266E-13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350.14981500723491</v>
      </c>
      <c r="AO135" s="59">
        <f t="shared" si="144"/>
        <v>270.58548917514111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101.81495136581708</v>
      </c>
      <c r="AV135" s="21">
        <f>EXP(-LN(2)/25)*AV134+(1-EXP(-LN(2)/25))/(LN(2)/25)*Calculateur!AQ135*Calculateur!AS135*VLOOKUP('Données projet'!$B$10,Paramètres!$A$1:$I$89,3,0)*0.475*44/12</f>
        <v>16.131425506383426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117.9463768722005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0.8</v>
      </c>
      <c r="BD135" s="12">
        <f>IF('Données projet'!$A$88&gt;35,BD134+BC135-BL134,IF(A135&lt;'Données projet'!$A$88,$BA$205^A135,IF(A135='Données projet'!$A$88,'Données projet'!$B$88,BD134+BC135-BL134)))</f>
        <v>420.5999999999998</v>
      </c>
      <c r="BE135" s="13">
        <f>BD135*VLOOKUP('Données projet'!$B$11,Paramètres!$A$1:$I$89,3,0)*VLOOKUP('Données projet'!$B$11,Paramètres!$A$1:$I$89,5,0)</f>
        <v>360.87479999999988</v>
      </c>
      <c r="BF135" s="13">
        <f t="shared" si="145"/>
        <v>83.797742302130089</v>
      </c>
      <c r="BG135" s="20">
        <f t="shared" si="115"/>
        <v>774.47134450954297</v>
      </c>
      <c r="BH135" s="59">
        <f t="shared" si="116"/>
        <v>1067.8046778428763</v>
      </c>
      <c r="BI135" s="59">
        <f ca="1">AVERAGE(OFFSET($BH$3,0,0,'Données projet'!$E$11+1,1))-AVERAGE(OFFSET($H$3,0,0,'Données projet'!$E$11+1,1))</f>
        <v>359.99244410291516</v>
      </c>
      <c r="BJ135" s="59">
        <f t="shared" si="146"/>
        <v>143.73379124174278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13.036279182499781</v>
      </c>
      <c r="BQ135" s="21">
        <f>EXP(-LN(2)/25)*BQ134+(1-EXP(-LN(2)/25))/(LN(2)/25)*Calculateur!BL135*Calculateur!BN135*VLOOKUP('Données projet'!$B$11,Paramètres!$A$1:$I$89,3,0)*0.475*44/12</f>
        <v>1.8178900133951892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14.85416919589497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350.25444539178324</v>
      </c>
      <c r="T136" s="59">
        <f t="shared" si="142"/>
        <v>421.51176105448474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57.054248309316577</v>
      </c>
      <c r="AA136" s="21">
        <f>EXP(-LN(2)/25)*AA135+(1-EXP(-LN(2)/25))/(LN(2)/25)*Calculateur!V136*Calculateur!X136*VLOOKUP('Données projet'!$B$9,Paramètres!$A$1:$I$89,3,0)*0.475*44/12</f>
        <v>7.7542830904687792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64.808531399785352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-9.0949470177292824E-13</v>
      </c>
      <c r="AJ136" s="13">
        <f>AI136*VLOOKUP('Données projet'!$B$10,Paramètres!$A$1:$I$89,3,0)*VLOOKUP('Données projet'!$B$10,Paramètres!$A$1:$I$89,5,0)</f>
        <v>-4.492903826758266E-13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350.14981500723491</v>
      </c>
      <c r="AO136" s="59">
        <f t="shared" si="144"/>
        <v>270.58548917514111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99.818422270521779</v>
      </c>
      <c r="AV136" s="21">
        <f>EXP(-LN(2)/25)*AV135+(1-EXP(-LN(2)/25))/(LN(2)/25)*Calculateur!AQ136*Calculateur!AS136*VLOOKUP('Données projet'!$B$10,Paramètres!$A$1:$I$89,3,0)*0.475*44/12</f>
        <v>15.690310827596573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115.50873309811836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0.8</v>
      </c>
      <c r="BD136" s="12">
        <f>IF('Données projet'!$A$88&gt;35,BD135+BC136-BL135,IF(A136&lt;'Données projet'!$A$88,$BA$205^A136,IF(A136='Données projet'!$A$88,'Données projet'!$B$88,BD135+BC136-BL135)))</f>
        <v>421.39999999999981</v>
      </c>
      <c r="BE136" s="13">
        <f>BD136*VLOOKUP('Données projet'!$B$11,Paramètres!$A$1:$I$89,3,0)*VLOOKUP('Données projet'!$B$11,Paramètres!$A$1:$I$89,5,0)</f>
        <v>361.56119999999987</v>
      </c>
      <c r="BF136" s="13">
        <f t="shared" si="145"/>
        <v>83.938561121591817</v>
      </c>
      <c r="BG136" s="20">
        <f t="shared" si="115"/>
        <v>775.91208395343881</v>
      </c>
      <c r="BH136" s="59">
        <f t="shared" si="116"/>
        <v>1069.2454172867722</v>
      </c>
      <c r="BI136" s="59">
        <f ca="1">AVERAGE(OFFSET($BH$3,0,0,'Données projet'!$E$11+1,1))-AVERAGE(OFFSET($H$3,0,0,'Données projet'!$E$11+1,1))</f>
        <v>359.99244410291516</v>
      </c>
      <c r="BJ136" s="59">
        <f t="shared" si="146"/>
        <v>143.73379124174278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12.780645699076132</v>
      </c>
      <c r="BQ136" s="21">
        <f>EXP(-LN(2)/25)*BQ135+(1-EXP(-LN(2)/25))/(LN(2)/25)*Calculateur!BL136*Calculateur!BN136*VLOOKUP('Données projet'!$B$11,Paramètres!$A$1:$I$89,3,0)*0.475*44/12</f>
        <v>1.7681797153802168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14.548825414456349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350.25444539178324</v>
      </c>
      <c r="T137" s="59">
        <f t="shared" si="142"/>
        <v>421.51176105448474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55.935449299626164</v>
      </c>
      <c r="AA137" s="21">
        <f>EXP(-LN(2)/25)*AA136+(1-EXP(-LN(2)/25))/(LN(2)/25)*Calculateur!V137*Calculateur!X137*VLOOKUP('Données projet'!$B$9,Paramètres!$A$1:$I$89,3,0)*0.475*44/12</f>
        <v>7.5422418115798857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63.477691111206049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-9.0949470177292824E-13</v>
      </c>
      <c r="AJ137" s="13">
        <f>AI137*VLOOKUP('Données projet'!$B$10,Paramètres!$A$1:$I$89,3,0)*VLOOKUP('Données projet'!$B$10,Paramètres!$A$1:$I$89,5,0)</f>
        <v>-4.492903826758266E-13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350.14981500723491</v>
      </c>
      <c r="AO137" s="59">
        <f t="shared" si="144"/>
        <v>270.58548917514111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97.86104389302271</v>
      </c>
      <c r="AV137" s="21">
        <f>EXP(-LN(2)/25)*AV136+(1-EXP(-LN(2)/25))/(LN(2)/25)*Calculateur!AQ137*Calculateur!AS137*VLOOKUP('Données projet'!$B$10,Paramètres!$A$1:$I$89,3,0)*0.475*44/12</f>
        <v>15.261258452898359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113.12230234592107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0.8</v>
      </c>
      <c r="BD137" s="12">
        <f>IF('Données projet'!$A$88&gt;35,BD136+BC137-BL136,IF(A137&lt;'Données projet'!$A$88,$BA$205^A137,IF(A137='Données projet'!$A$88,'Données projet'!$B$88,BD136+BC137-BL136)))</f>
        <v>422.19999999999982</v>
      </c>
      <c r="BE137" s="13">
        <f>BD137*VLOOKUP('Données projet'!$B$11,Paramètres!$A$1:$I$89,3,0)*VLOOKUP('Données projet'!$B$11,Paramètres!$A$1:$I$89,5,0)</f>
        <v>362.24759999999986</v>
      </c>
      <c r="BF137" s="13">
        <f t="shared" si="145"/>
        <v>84.079348826653714</v>
      </c>
      <c r="BG137" s="20">
        <f t="shared" si="115"/>
        <v>777.35276920642161</v>
      </c>
      <c r="BH137" s="59">
        <f t="shared" si="116"/>
        <v>1070.686102539755</v>
      </c>
      <c r="BI137" s="59">
        <f ca="1">AVERAGE(OFFSET($BH$3,0,0,'Données projet'!$E$11+1,1))-AVERAGE(OFFSET($H$3,0,0,'Données projet'!$E$11+1,1))</f>
        <v>359.99244410291516</v>
      </c>
      <c r="BJ137" s="59">
        <f t="shared" si="146"/>
        <v>143.73379124174278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12.530025032341392</v>
      </c>
      <c r="BQ137" s="21">
        <f>EXP(-LN(2)/25)*BQ136+(1-EXP(-LN(2)/25))/(LN(2)/25)*Calculateur!BL137*Calculateur!BN137*VLOOKUP('Données projet'!$B$11,Paramètres!$A$1:$I$89,3,0)*0.475*44/12</f>
        <v>1.7198287480786147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14.249853780420008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350.25444539178324</v>
      </c>
      <c r="T138" s="59">
        <f t="shared" si="142"/>
        <v>421.51176105448474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54.838589256115768</v>
      </c>
      <c r="AA138" s="21">
        <f>EXP(-LN(2)/25)*AA137+(1-EXP(-LN(2)/25))/(LN(2)/25)*Calculateur!V138*Calculateur!X138*VLOOKUP('Données projet'!$B$9,Paramètres!$A$1:$I$89,3,0)*0.475*44/12</f>
        <v>7.3359988126129752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62.174588068728745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-9.0949470177292824E-13</v>
      </c>
      <c r="AJ138" s="13">
        <f>AI138*VLOOKUP('Données projet'!$B$10,Paramètres!$A$1:$I$89,3,0)*VLOOKUP('Données projet'!$B$10,Paramètres!$A$1:$I$89,5,0)</f>
        <v>-4.492903826758266E-13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350.14981500723491</v>
      </c>
      <c r="AO138" s="59">
        <f t="shared" si="144"/>
        <v>270.58548917514111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95.942048511623483</v>
      </c>
      <c r="AV138" s="21">
        <f>EXP(-LN(2)/25)*AV137+(1-EXP(-LN(2)/25))/(LN(2)/25)*Calculateur!AQ138*Calculateur!AS138*VLOOKUP('Données projet'!$B$10,Paramètres!$A$1:$I$89,3,0)*0.475*44/12</f>
        <v>14.843938537949152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110.78598704957264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0.8</v>
      </c>
      <c r="BD138" s="12">
        <f>IF('Données projet'!$A$88&gt;35,BD137+BC138-BL137,IF(A138&lt;'Données projet'!$A$88,$BA$205^A138,IF(A138='Données projet'!$A$88,'Données projet'!$B$88,BD137+BC138-BL137)))</f>
        <v>422.99999999999983</v>
      </c>
      <c r="BE138" s="13">
        <f>BD138*VLOOKUP('Données projet'!$B$11,Paramètres!$A$1:$I$89,3,0)*VLOOKUP('Données projet'!$B$11,Paramètres!$A$1:$I$89,5,0)</f>
        <v>362.93399999999991</v>
      </c>
      <c r="BF138" s="13">
        <f t="shared" si="145"/>
        <v>84.220105483127909</v>
      </c>
      <c r="BG138" s="20">
        <f t="shared" si="115"/>
        <v>778.7934003831142</v>
      </c>
      <c r="BH138" s="59">
        <f t="shared" si="116"/>
        <v>1072.1267337164475</v>
      </c>
      <c r="BI138" s="59">
        <f ca="1">AVERAGE(OFFSET($BH$3,0,0,'Données projet'!$E$11+1,1))-AVERAGE(OFFSET($H$3,0,0,'Données projet'!$E$11+1,1))</f>
        <v>359.99244410291516</v>
      </c>
      <c r="BJ138" s="59">
        <f t="shared" si="146"/>
        <v>143.73379124174278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12.284318884017807</v>
      </c>
      <c r="BQ138" s="21">
        <f>EXP(-LN(2)/25)*BQ137+(1-EXP(-LN(2)/25))/(LN(2)/25)*Calculateur!BL138*Calculateur!BN138*VLOOKUP('Données projet'!$B$11,Paramètres!$A$1:$I$89,3,0)*0.475*44/12</f>
        <v>1.6727999405205418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13.957118824538348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350.25444539178324</v>
      </c>
      <c r="T139" s="59">
        <f t="shared" si="142"/>
        <v>421.51176105448474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53.763237969040041</v>
      </c>
      <c r="AA139" s="21">
        <f>EXP(-LN(2)/25)*AA138+(1-EXP(-LN(2)/25))/(LN(2)/25)*Calculateur!V139*Calculateur!X139*VLOOKUP('Données projet'!$B$9,Paramètres!$A$1:$I$89,3,0)*0.475*44/12</f>
        <v>7.1353955392986625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60.898633508338705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-9.0949470177292824E-13</v>
      </c>
      <c r="AJ139" s="13">
        <f>AI139*VLOOKUP('Données projet'!$B$10,Paramètres!$A$1:$I$89,3,0)*VLOOKUP('Données projet'!$B$10,Paramètres!$A$1:$I$89,5,0)</f>
        <v>-4.492903826758266E-13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350.14981500723491</v>
      </c>
      <c r="AO139" s="59">
        <f t="shared" si="144"/>
        <v>270.58548917514111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94.060683459181874</v>
      </c>
      <c r="AV139" s="21">
        <f>EXP(-LN(2)/25)*AV138+(1-EXP(-LN(2)/25))/(LN(2)/25)*Calculateur!AQ139*Calculateur!AS139*VLOOKUP('Données projet'!$B$10,Paramètres!$A$1:$I$89,3,0)*0.475*44/12</f>
        <v>14.438030258020131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108.49871371720201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0.8</v>
      </c>
      <c r="BD139" s="12">
        <f>IF('Données projet'!$A$88&gt;35,BD138+BC139-BL138,IF(A139&lt;'Données projet'!$A$88,$BA$205^A139,IF(A139='Données projet'!$A$88,'Données projet'!$B$88,BD138+BC139-BL138)))</f>
        <v>423.79999999999984</v>
      </c>
      <c r="BE139" s="13">
        <f>BD139*VLOOKUP('Données projet'!$B$11,Paramètres!$A$1:$I$89,3,0)*VLOOKUP('Données projet'!$B$11,Paramètres!$A$1:$I$89,5,0)</f>
        <v>363.6203999999999</v>
      </c>
      <c r="BF139" s="13">
        <f t="shared" si="145"/>
        <v>84.360831156563151</v>
      </c>
      <c r="BG139" s="20">
        <f t="shared" si="115"/>
        <v>780.23397759768068</v>
      </c>
      <c r="BH139" s="59">
        <f t="shared" si="116"/>
        <v>1073.5673109310139</v>
      </c>
      <c r="BI139" s="59">
        <f ca="1">AVERAGE(OFFSET($BH$3,0,0,'Données projet'!$E$11+1,1))-AVERAGE(OFFSET($H$3,0,0,'Données projet'!$E$11+1,1))</f>
        <v>359.99244410291516</v>
      </c>
      <c r="BJ139" s="59">
        <f t="shared" si="146"/>
        <v>143.73379124174278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12.043430883396896</v>
      </c>
      <c r="BQ139" s="21">
        <f>EXP(-LN(2)/25)*BQ138+(1-EXP(-LN(2)/25))/(LN(2)/25)*Calculateur!BL139*Calculateur!BN139*VLOOKUP('Données projet'!$B$11,Paramètres!$A$1:$I$89,3,0)*0.475*44/12</f>
        <v>1.6270571381782819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13.670488021575178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350.25444539178324</v>
      </c>
      <c r="T140" s="59">
        <f t="shared" si="142"/>
        <v>421.51176105448474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52.708973664804354</v>
      </c>
      <c r="AA140" s="21">
        <f>EXP(-LN(2)/25)*AA139+(1-EXP(-LN(2)/25))/(LN(2)/25)*Calculateur!V140*Calculateur!X140*VLOOKUP('Données projet'!$B$9,Paramètres!$A$1:$I$89,3,0)*0.475*44/12</f>
        <v>6.9402777730423972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59.64925143784675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-9.0949470177292824E-13</v>
      </c>
      <c r="AJ140" s="13">
        <f>AI140*VLOOKUP('Données projet'!$B$10,Paramètres!$A$1:$I$89,3,0)*VLOOKUP('Données projet'!$B$10,Paramètres!$A$1:$I$89,5,0)</f>
        <v>-4.492903826758266E-13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350.14981500723491</v>
      </c>
      <c r="AO140" s="59">
        <f t="shared" si="144"/>
        <v>270.58548917514111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92.216210827899275</v>
      </c>
      <c r="AV140" s="21">
        <f>EXP(-LN(2)/25)*AV139+(1-EXP(-LN(2)/25))/(LN(2)/25)*Calculateur!AQ140*Calculateur!AS140*VLOOKUP('Données projet'!$B$10,Paramètres!$A$1:$I$89,3,0)*0.475*44/12</f>
        <v>14.043221561351558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106.25943238925083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0.8</v>
      </c>
      <c r="BD140" s="12">
        <f>IF('Données projet'!$A$88&gt;35,BD139+BC140-BL139,IF(A140&lt;'Données projet'!$A$88,$BA$205^A140,IF(A140='Données projet'!$A$88,'Données projet'!$B$88,BD139+BC140-BL139)))</f>
        <v>424.59999999999985</v>
      </c>
      <c r="BE140" s="13">
        <f>BD140*VLOOKUP('Données projet'!$B$11,Paramètres!$A$1:$I$89,3,0)*VLOOKUP('Données projet'!$B$11,Paramètres!$A$1:$I$89,5,0)</f>
        <v>364.30679999999995</v>
      </c>
      <c r="BF140" s="13">
        <f t="shared" si="145"/>
        <v>84.501525912246166</v>
      </c>
      <c r="BG140" s="20">
        <f t="shared" si="115"/>
        <v>781.67450096382856</v>
      </c>
      <c r="BH140" s="59">
        <f t="shared" si="116"/>
        <v>1075.0078342971619</v>
      </c>
      <c r="BI140" s="59">
        <f ca="1">AVERAGE(OFFSET($BH$3,0,0,'Données projet'!$E$11+1,1))-AVERAGE(OFFSET($H$3,0,0,'Données projet'!$E$11+1,1))</f>
        <v>359.99244410291516</v>
      </c>
      <c r="BJ140" s="59">
        <f t="shared" si="146"/>
        <v>143.73379124174278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11.807266549540987</v>
      </c>
      <c r="BQ140" s="21">
        <f>EXP(-LN(2)/25)*BQ139+(1-EXP(-LN(2)/25))/(LN(2)/25)*Calculateur!BL140*Calculateur!BN140*VLOOKUP('Données projet'!$B$11,Paramètres!$A$1:$I$89,3,0)*0.475*44/12</f>
        <v>1.5825651751715806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13.389831724712568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350.25444539178324</v>
      </c>
      <c r="T141" s="59">
        <f t="shared" si="142"/>
        <v>421.51176105448474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51.675382840536997</v>
      </c>
      <c r="AA141" s="21">
        <f>EXP(-LN(2)/25)*AA140+(1-EXP(-LN(2)/25))/(LN(2)/25)*Calculateur!V141*Calculateur!X141*VLOOKUP('Données projet'!$B$9,Paramètres!$A$1:$I$89,3,0)*0.475*44/12</f>
        <v>6.7504955123652071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58.425878352902203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-9.0949470177292824E-13</v>
      </c>
      <c r="AJ141" s="13">
        <f>AI141*VLOOKUP('Données projet'!$B$10,Paramètres!$A$1:$I$89,3,0)*VLOOKUP('Données projet'!$B$10,Paramètres!$A$1:$I$89,5,0)</f>
        <v>-4.492903826758266E-13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350.14981500723491</v>
      </c>
      <c r="AO141" s="59">
        <f t="shared" si="144"/>
        <v>270.58548917514111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90.407907179898913</v>
      </c>
      <c r="AV141" s="21">
        <f>EXP(-LN(2)/25)*AV140+(1-EXP(-LN(2)/25))/(LN(2)/25)*Calculateur!AQ141*Calculateur!AS141*VLOOKUP('Données projet'!$B$10,Paramètres!$A$1:$I$89,3,0)*0.475*44/12</f>
        <v>13.659208929255474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104.06711610915438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0.8</v>
      </c>
      <c r="BD141" s="12">
        <f>IF('Données projet'!$A$88&gt;35,BD140+BC141-BL140,IF(A141&lt;'Données projet'!$A$88,$BA$205^A141,IF(A141='Données projet'!$A$88,'Données projet'!$B$88,BD140+BC141-BL140)))</f>
        <v>425.39999999999986</v>
      </c>
      <c r="BE141" s="13">
        <f>BD141*VLOOKUP('Données projet'!$B$11,Paramètres!$A$1:$I$89,3,0)*VLOOKUP('Données projet'!$B$11,Paramètres!$A$1:$I$89,5,0)</f>
        <v>364.99319999999994</v>
      </c>
      <c r="BF141" s="13">
        <f t="shared" si="145"/>
        <v>84.642189815203594</v>
      </c>
      <c r="BG141" s="20">
        <f t="shared" si="115"/>
        <v>783.1149705948128</v>
      </c>
      <c r="BH141" s="59">
        <f t="shared" si="116"/>
        <v>1076.4483039281461</v>
      </c>
      <c r="BI141" s="59">
        <f ca="1">AVERAGE(OFFSET($BH$3,0,0,'Données projet'!$E$11+1,1))-AVERAGE(OFFSET($H$3,0,0,'Données projet'!$E$11+1,1))</f>
        <v>359.99244410291516</v>
      </c>
      <c r="BJ141" s="59">
        <f t="shared" si="146"/>
        <v>143.73379124174278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11.575733254225973</v>
      </c>
      <c r="BQ141" s="21">
        <f>EXP(-LN(2)/25)*BQ140+(1-EXP(-LN(2)/25))/(LN(2)/25)*Calculateur!BL141*Calculateur!BN141*VLOOKUP('Données projet'!$B$11,Paramètres!$A$1:$I$89,3,0)*0.475*44/12</f>
        <v>1.5392898472330281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13.115023101459002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350.25444539178324</v>
      </c>
      <c r="T142" s="59">
        <f t="shared" si="142"/>
        <v>421.51176105448474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50.662060101905368</v>
      </c>
      <c r="AA142" s="21">
        <f>EXP(-LN(2)/25)*AA141+(1-EXP(-LN(2)/25))/(LN(2)/25)*Calculateur!V142*Calculateur!X142*VLOOKUP('Données projet'!$B$9,Paramètres!$A$1:$I$89,3,0)*0.475*44/12</f>
        <v>6.5659028575864502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57.227962959491819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-9.0949470177292824E-13</v>
      </c>
      <c r="AJ142" s="13">
        <f>AI142*VLOOKUP('Données projet'!$B$10,Paramètres!$A$1:$I$89,3,0)*VLOOKUP('Données projet'!$B$10,Paramètres!$A$1:$I$89,5,0)</f>
        <v>-4.492903826758266E-13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350.14981500723491</v>
      </c>
      <c r="AO142" s="59">
        <f t="shared" si="144"/>
        <v>270.58548917514111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88.635063263479523</v>
      </c>
      <c r="AV142" s="21">
        <f>EXP(-LN(2)/25)*AV141+(1-EXP(-LN(2)/25))/(LN(2)/25)*Calculateur!AQ142*Calculateur!AS142*VLOOKUP('Données projet'!$B$10,Paramètres!$A$1:$I$89,3,0)*0.475*44/12</f>
        <v>13.285697142778403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101.92076040625793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0.8</v>
      </c>
      <c r="BD142" s="12">
        <f>IF('Données projet'!$A$88&gt;35,BD141+BC142-BL141,IF(A142&lt;'Données projet'!$A$88,$BA$205^A142,IF(A142='Données projet'!$A$88,'Données projet'!$B$88,BD141+BC142-BL141)))</f>
        <v>426.19999999999987</v>
      </c>
      <c r="BE142" s="13">
        <f>BD142*VLOOKUP('Données projet'!$B$11,Paramètres!$A$1:$I$89,3,0)*VLOOKUP('Données projet'!$B$11,Paramètres!$A$1:$I$89,5,0)</f>
        <v>365.67959999999994</v>
      </c>
      <c r="BF142" s="13">
        <f t="shared" si="145"/>
        <v>84.782822930203253</v>
      </c>
      <c r="BG142" s="20">
        <f t="shared" si="115"/>
        <v>784.55538660343711</v>
      </c>
      <c r="BH142" s="59">
        <f t="shared" si="116"/>
        <v>1077.8887199367705</v>
      </c>
      <c r="BI142" s="59">
        <f ca="1">AVERAGE(OFFSET($BH$3,0,0,'Données projet'!$E$11+1,1))-AVERAGE(OFFSET($H$3,0,0,'Données projet'!$E$11+1,1))</f>
        <v>359.99244410291516</v>
      </c>
      <c r="BJ142" s="59">
        <f t="shared" si="146"/>
        <v>143.73379124174278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11.348740185610721</v>
      </c>
      <c r="BQ142" s="21">
        <f>EXP(-LN(2)/25)*BQ141+(1-EXP(-LN(2)/25))/(LN(2)/25)*Calculateur!BL142*Calculateur!BN142*VLOOKUP('Données projet'!$B$11,Paramètres!$A$1:$I$89,3,0)*0.475*44/12</f>
        <v>1.4971978854127059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12.845938071023427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350.25444539178324</v>
      </c>
      <c r="T143" s="59">
        <f t="shared" si="142"/>
        <v>421.51176105448474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49.668608004112464</v>
      </c>
      <c r="AA143" s="21">
        <f>EXP(-LN(2)/25)*AA142+(1-EXP(-LN(2)/25))/(LN(2)/25)*Calculateur!V143*Calculateur!X143*VLOOKUP('Données projet'!$B$9,Paramètres!$A$1:$I$89,3,0)*0.475*44/12</f>
        <v>6.3863578986599236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56.054965902772388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-9.0949470177292824E-13</v>
      </c>
      <c r="AJ143" s="13">
        <f>AI143*VLOOKUP('Données projet'!$B$10,Paramètres!$A$1:$I$89,3,0)*VLOOKUP('Données projet'!$B$10,Paramètres!$A$1:$I$89,5,0)</f>
        <v>-4.492903826758266E-13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350.14981500723491</v>
      </c>
      <c r="AO143" s="59">
        <f t="shared" si="144"/>
        <v>270.58548917514111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86.896983734933102</v>
      </c>
      <c r="AV143" s="21">
        <f>EXP(-LN(2)/25)*AV142+(1-EXP(-LN(2)/25))/(LN(2)/25)*Calculateur!AQ143*Calculateur!AS143*VLOOKUP('Données projet'!$B$10,Paramètres!$A$1:$I$89,3,0)*0.475*44/12</f>
        <v>12.92239905574468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99.819382790677778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427</v>
      </c>
      <c r="BB143" s="12">
        <f>VLOOKUP(A143,'Données projet'!$A$87:$I$107,9,0)</f>
        <v>0.8</v>
      </c>
      <c r="BC143" s="12">
        <f t="array" ref="BC143">INDEX(BB:BB,MIN(IF(ISNUMBER(BB143:BB339),ROW(BB143:BB339),"")))</f>
        <v>0.8</v>
      </c>
      <c r="BD143" s="12">
        <f>IF('Données projet'!$A$88&gt;35,BD142+BC143-BL142,IF(A143&lt;'Données projet'!$A$88,$BA$205^A143,IF(A143='Données projet'!$A$88,'Données projet'!$B$88,BD142+BC143-BL142)))</f>
        <v>426.99999999999989</v>
      </c>
      <c r="BE143" s="13">
        <f>BD143*VLOOKUP('Données projet'!$B$11,Paramètres!$A$1:$I$89,3,0)*VLOOKUP('Données projet'!$B$11,Paramètres!$A$1:$I$89,5,0)</f>
        <v>366.36599999999999</v>
      </c>
      <c r="BF143" s="13">
        <f t="shared" si="145"/>
        <v>84.923425321755431</v>
      </c>
      <c r="BG143" s="20">
        <f t="shared" si="115"/>
        <v>785.99574910205729</v>
      </c>
      <c r="BH143" s="59">
        <f t="shared" si="116"/>
        <v>1079.3290824353905</v>
      </c>
      <c r="BI143" s="59">
        <f ca="1">AVERAGE(OFFSET($BH$3,0,0,'Données projet'!$E$11+1,1))-AVERAGE(OFFSET($H$3,0,0,'Données projet'!$E$11+1,1))</f>
        <v>359.99244410291516</v>
      </c>
      <c r="BJ143" s="59">
        <f t="shared" si="146"/>
        <v>143.73379124174278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11.126198312618913</v>
      </c>
      <c r="BQ143" s="21">
        <f>EXP(-LN(2)/25)*BQ142+(1-EXP(-LN(2)/25))/(LN(2)/25)*Calculateur!BL143*Calculateur!BN143*VLOOKUP('Données projet'!$B$11,Paramètres!$A$1:$I$89,3,0)*0.475*44/12</f>
        <v>1.4562569305018807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12.582455243120794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350.25444539178324</v>
      </c>
      <c r="T144" s="59">
        <f t="shared" si="142"/>
        <v>421.51176105448474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48.694636896011332</v>
      </c>
      <c r="AA144" s="21">
        <f>EXP(-LN(2)/25)*AA143+(1-EXP(-LN(2)/25))/(LN(2)/25)*Calculateur!V144*Calculateur!X144*VLOOKUP('Données projet'!$B$9,Paramètres!$A$1:$I$89,3,0)*0.475*44/12</f>
        <v>6.2117226060771022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54.906359502088435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-9.0949470177292824E-13</v>
      </c>
      <c r="AJ144" s="13">
        <f>AI144*VLOOKUP('Données projet'!$B$10,Paramètres!$A$1:$I$89,3,0)*VLOOKUP('Données projet'!$B$10,Paramètres!$A$1:$I$89,5,0)</f>
        <v>-4.492903826758266E-13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350.14981500723491</v>
      </c>
      <c r="AO144" s="59">
        <f t="shared" si="144"/>
        <v>270.58548917514111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85.192986885817632</v>
      </c>
      <c r="AV144" s="21">
        <f>EXP(-LN(2)/25)*AV143+(1-EXP(-LN(2)/25))/(LN(2)/25)*Calculateur!AQ144*Calculateur!AS144*VLOOKUP('Données projet'!$B$10,Paramètres!$A$1:$I$89,3,0)*0.475*44/12</f>
        <v>12.56903537400591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97.762022259823539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0.2</v>
      </c>
      <c r="BD144" s="12">
        <f>IF('Données projet'!$A$88&gt;35,BD143+BC144-BL143,IF(A144&lt;'Données projet'!$A$88,$BA$205^A144,IF(A144='Données projet'!$A$88,'Données projet'!$B$88,BD143+BC144-BL143)))</f>
        <v>427.19999999999987</v>
      </c>
      <c r="BE144" s="13">
        <f>BD144*VLOOKUP('Données projet'!$B$11,Paramètres!$A$1:$I$89,3,0)*VLOOKUP('Données projet'!$B$11,Paramètres!$A$1:$I$89,5,0)</f>
        <v>366.53759999999994</v>
      </c>
      <c r="BF144" s="13">
        <f t="shared" si="145"/>
        <v>84.958571126640322</v>
      </c>
      <c r="BG144" s="20">
        <f t="shared" si="115"/>
        <v>786.35583137889842</v>
      </c>
      <c r="BH144" s="59">
        <f t="shared" si="116"/>
        <v>1079.6891647122318</v>
      </c>
      <c r="BI144" s="59">
        <f ca="1">AVERAGE(OFFSET($BH$3,0,0,'Données projet'!$E$11+1,1))-AVERAGE(OFFSET($H$3,0,0,'Données projet'!$E$11+1,1))</f>
        <v>359.99244410291516</v>
      </c>
      <c r="BJ144" s="59">
        <f t="shared" si="146"/>
        <v>143.73379124174278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10.908020350019333</v>
      </c>
      <c r="BQ144" s="21">
        <f>EXP(-LN(2)/25)*BQ143+(1-EXP(-LN(2)/25))/(LN(2)/25)*Calculateur!BL144*Calculateur!BN144*VLOOKUP('Données projet'!$B$11,Paramètres!$A$1:$I$89,3,0)*0.475*44/12</f>
        <v>1.4164355081560831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12.324455858175416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350.25444539178324</v>
      </c>
      <c r="T145" s="59">
        <f t="shared" si="142"/>
        <v>421.51176105448474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47.739764767276348</v>
      </c>
      <c r="AA145" s="21">
        <f>EXP(-LN(2)/25)*AA144+(1-EXP(-LN(2)/25))/(LN(2)/25)*Calculateur!V145*Calculateur!X145*VLOOKUP('Données projet'!$B$9,Paramètres!$A$1:$I$89,3,0)*0.475*44/12</f>
        <v>6.0418627247536287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53.781627492029976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-9.0949470177292824E-13</v>
      </c>
      <c r="AJ145" s="13">
        <f>AI145*VLOOKUP('Données projet'!$B$10,Paramètres!$A$1:$I$89,3,0)*VLOOKUP('Données projet'!$B$10,Paramètres!$A$1:$I$89,5,0)</f>
        <v>-4.492903826758266E-13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350.14981500723491</v>
      </c>
      <c r="AO145" s="59">
        <f t="shared" si="144"/>
        <v>270.58548917514111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83.522404375577864</v>
      </c>
      <c r="AV145" s="21">
        <f>EXP(-LN(2)/25)*AV144+(1-EXP(-LN(2)/25))/(LN(2)/25)*Calculateur!AQ145*Calculateur!AS145*VLOOKUP('Données projet'!$B$10,Paramètres!$A$1:$I$89,3,0)*0.475*44/12</f>
        <v>12.225334440726876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95.747738816304746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0.2</v>
      </c>
      <c r="BD145" s="12">
        <f>IF('Données projet'!$A$88&gt;35,BD144+BC145-BL144,IF(A145&lt;'Données projet'!$A$88,$BA$205^A145,IF(A145='Données projet'!$A$88,'Données projet'!$B$88,BD144+BC145-BL144)))</f>
        <v>427.39999999999986</v>
      </c>
      <c r="BE145" s="13">
        <f>BD145*VLOOKUP('Données projet'!$B$11,Paramètres!$A$1:$I$89,3,0)*VLOOKUP('Données projet'!$B$11,Paramètres!$A$1:$I$89,5,0)</f>
        <v>366.7091999999999</v>
      </c>
      <c r="BF145" s="13">
        <f t="shared" si="145"/>
        <v>84.993715016328323</v>
      </c>
      <c r="BG145" s="20">
        <f t="shared" si="115"/>
        <v>786.71591032010508</v>
      </c>
      <c r="BH145" s="59">
        <f t="shared" si="116"/>
        <v>1080.0492436534385</v>
      </c>
      <c r="BI145" s="59">
        <f ca="1">AVERAGE(OFFSET($BH$3,0,0,'Données projet'!$E$11+1,1))-AVERAGE(OFFSET($H$3,0,0,'Données projet'!$E$11+1,1))</f>
        <v>359.99244410291516</v>
      </c>
      <c r="BJ145" s="59">
        <f t="shared" si="146"/>
        <v>143.73379124174278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10.694120724190915</v>
      </c>
      <c r="BQ145" s="21">
        <f>EXP(-LN(2)/25)*BQ144+(1-EXP(-LN(2)/25))/(LN(2)/25)*Calculateur!BL145*Calculateur!BN145*VLOOKUP('Données projet'!$B$11,Paramètres!$A$1:$I$89,3,0)*0.475*44/12</f>
        <v>1.3777030046984489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12.071823728889363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350.25444539178324</v>
      </c>
      <c r="T146" s="59">
        <f t="shared" si="142"/>
        <v>421.51176105448474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46.803617098571365</v>
      </c>
      <c r="AA146" s="21">
        <f>EXP(-LN(2)/25)*AA145+(1-EXP(-LN(2)/25))/(LN(2)/25)*Calculateur!V146*Calculateur!X146*VLOOKUP('Données projet'!$B$9,Paramètres!$A$1:$I$89,3,0)*0.475*44/12</f>
        <v>5.8766476708174888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52.680264769388856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-9.0949470177292824E-13</v>
      </c>
      <c r="AJ146" s="13">
        <f>AI146*VLOOKUP('Données projet'!$B$10,Paramètres!$A$1:$I$89,3,0)*VLOOKUP('Données projet'!$B$10,Paramètres!$A$1:$I$89,5,0)</f>
        <v>-4.492903826758266E-13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350.14981500723491</v>
      </c>
      <c r="AO146" s="59">
        <f t="shared" si="144"/>
        <v>270.58548917514111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81.884580969409186</v>
      </c>
      <c r="AV146" s="21">
        <f>EXP(-LN(2)/25)*AV145+(1-EXP(-LN(2)/25))/(LN(2)/25)*Calculateur!AQ146*Calculateur!AS146*VLOOKUP('Données projet'!$B$10,Paramètres!$A$1:$I$89,3,0)*0.475*44/12</f>
        <v>11.891032027542803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93.775612996951992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0.2</v>
      </c>
      <c r="BD146" s="12">
        <f>IF('Données projet'!$A$88&gt;35,BD145+BC146-BL145,IF(A146&lt;'Données projet'!$A$88,$BA$205^A146,IF(A146='Données projet'!$A$88,'Données projet'!$B$88,BD145+BC146-BL145)))</f>
        <v>427.59999999999985</v>
      </c>
      <c r="BE146" s="13">
        <f>BD146*VLOOKUP('Données projet'!$B$11,Paramètres!$A$1:$I$89,3,0)*VLOOKUP('Données projet'!$B$11,Paramètres!$A$1:$I$89,5,0)</f>
        <v>366.88079999999991</v>
      </c>
      <c r="BF146" s="13">
        <f t="shared" si="145"/>
        <v>85.028856991820149</v>
      </c>
      <c r="BG146" s="20">
        <f t="shared" si="115"/>
        <v>787.07598592741988</v>
      </c>
      <c r="BH146" s="59">
        <f t="shared" si="116"/>
        <v>1080.4093192607531</v>
      </c>
      <c r="BI146" s="59">
        <f ca="1">AVERAGE(OFFSET($BH$3,0,0,'Données projet'!$E$11+1,1))-AVERAGE(OFFSET($H$3,0,0,'Données projet'!$E$11+1,1))</f>
        <v>359.99244410291516</v>
      </c>
      <c r="BJ146" s="59">
        <f t="shared" si="146"/>
        <v>143.73379124174278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10.484415539559103</v>
      </c>
      <c r="BQ146" s="21">
        <f>EXP(-LN(2)/25)*BQ145+(1-EXP(-LN(2)/25))/(LN(2)/25)*Calculateur!BL146*Calculateur!BN146*VLOOKUP('Données projet'!$B$11,Paramètres!$A$1:$I$89,3,0)*0.475*44/12</f>
        <v>1.3400296435847177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11.824445183143821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350.25444539178324</v>
      </c>
      <c r="T147" s="59">
        <f t="shared" si="142"/>
        <v>421.51176105448474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45.885826714655991</v>
      </c>
      <c r="AA147" s="21">
        <f>EXP(-LN(2)/25)*AA146+(1-EXP(-LN(2)/25))/(LN(2)/25)*Calculateur!V147*Calculateur!X147*VLOOKUP('Données projet'!$B$9,Paramètres!$A$1:$I$89,3,0)*0.475*44/12</f>
        <v>5.7159504312195146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51.601777145875502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-9.0949470177292824E-13</v>
      </c>
      <c r="AJ147" s="13">
        <f>AI147*VLOOKUP('Données projet'!$B$10,Paramètres!$A$1:$I$89,3,0)*VLOOKUP('Données projet'!$B$10,Paramètres!$A$1:$I$89,5,0)</f>
        <v>-4.492903826758266E-13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350.14981500723491</v>
      </c>
      <c r="AO147" s="59">
        <f t="shared" si="144"/>
        <v>270.58548917514111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80.278874281261835</v>
      </c>
      <c r="AV147" s="21">
        <f>EXP(-LN(2)/25)*AV146+(1-EXP(-LN(2)/25))/(LN(2)/25)*Calculateur!AQ147*Calculateur!AS147*VLOOKUP('Données projet'!$B$10,Paramètres!$A$1:$I$89,3,0)*0.475*44/12</f>
        <v>11.565871131427448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91.844745412689278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0.2</v>
      </c>
      <c r="BD147" s="12">
        <f>IF('Données projet'!$A$88&gt;35,BD146+BC147-BL146,IF(A147&lt;'Données projet'!$A$88,$BA$205^A147,IF(A147='Données projet'!$A$88,'Données projet'!$B$88,BD146+BC147-BL146)))</f>
        <v>427.79999999999984</v>
      </c>
      <c r="BE147" s="13">
        <f>BD147*VLOOKUP('Données projet'!$B$11,Paramètres!$A$1:$I$89,3,0)*VLOOKUP('Données projet'!$B$11,Paramètres!$A$1:$I$89,5,0)</f>
        <v>367.05239999999992</v>
      </c>
      <c r="BF147" s="13">
        <f t="shared" si="145"/>
        <v>85.063997054115035</v>
      </c>
      <c r="BG147" s="20">
        <f t="shared" si="115"/>
        <v>787.43605820258347</v>
      </c>
      <c r="BH147" s="59">
        <f t="shared" si="116"/>
        <v>1080.7693915359168</v>
      </c>
      <c r="BI147" s="59">
        <f ca="1">AVERAGE(OFFSET($BH$3,0,0,'Données projet'!$E$11+1,1))-AVERAGE(OFFSET($H$3,0,0,'Données projet'!$E$11+1,1))</f>
        <v>359.99244410291516</v>
      </c>
      <c r="BJ147" s="59">
        <f t="shared" si="146"/>
        <v>143.73379124174278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10.278822545690389</v>
      </c>
      <c r="BQ147" s="21">
        <f>EXP(-LN(2)/25)*BQ146+(1-EXP(-LN(2)/25))/(LN(2)/25)*Calculateur!BL147*Calculateur!BN147*VLOOKUP('Données projet'!$B$11,Paramètres!$A$1:$I$89,3,0)*0.475*44/12</f>
        <v>1.3033864625117972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11.582209008202186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350.25444539178324</v>
      </c>
      <c r="T148" s="59">
        <f t="shared" si="142"/>
        <v>421.51176105448474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44.986033640372341</v>
      </c>
      <c r="AA148" s="21">
        <f>EXP(-LN(2)/25)*AA147+(1-EXP(-LN(2)/25))/(LN(2)/25)*Calculateur!V148*Calculateur!X148*VLOOKUP('Données projet'!$B$9,Paramètres!$A$1:$I$89,3,0)*0.475*44/12</f>
        <v>5.5596474660890474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50.545681106461387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-9.0949470177292824E-13</v>
      </c>
      <c r="AJ148" s="13">
        <f>AI148*VLOOKUP('Données projet'!$B$10,Paramètres!$A$1:$I$89,3,0)*VLOOKUP('Données projet'!$B$10,Paramètres!$A$1:$I$89,5,0)</f>
        <v>-4.492903826758266E-13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350.14981500723491</v>
      </c>
      <c r="AO148" s="59">
        <f t="shared" si="144"/>
        <v>270.58548917514111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78.704654521884677</v>
      </c>
      <c r="AV148" s="21">
        <f>EXP(-LN(2)/25)*AV147+(1-EXP(-LN(2)/25))/(LN(2)/25)*Calculateur!AQ148*Calculateur!AS148*VLOOKUP('Données projet'!$B$10,Paramètres!$A$1:$I$89,3,0)*0.475*44/12</f>
        <v>11.249601777115835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89.954256299000519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0.2</v>
      </c>
      <c r="BD148" s="12">
        <f>IF('Données projet'!$A$88&gt;35,BD147+BC148-BL147,IF(A148&lt;'Données projet'!$A$88,$BA$205^A148,IF(A148='Données projet'!$A$88,'Données projet'!$B$88,BD147+BC148-BL147)))</f>
        <v>427.99999999999983</v>
      </c>
      <c r="BE148" s="13">
        <f>BD148*VLOOKUP('Données projet'!$B$11,Paramètres!$A$1:$I$89,3,0)*VLOOKUP('Données projet'!$B$11,Paramètres!$A$1:$I$89,5,0)</f>
        <v>367.22399999999988</v>
      </c>
      <c r="BF148" s="13">
        <f t="shared" si="145"/>
        <v>85.099135204211706</v>
      </c>
      <c r="BG148" s="20">
        <f t="shared" si="115"/>
        <v>787.79612714733514</v>
      </c>
      <c r="BH148" s="59">
        <f t="shared" si="116"/>
        <v>1081.1294604806685</v>
      </c>
      <c r="BI148" s="59">
        <f ca="1">AVERAGE(OFFSET($BH$3,0,0,'Données projet'!$E$11+1,1))-AVERAGE(OFFSET($H$3,0,0,'Données projet'!$E$11+1,1))</f>
        <v>359.99244410291516</v>
      </c>
      <c r="BJ148" s="59">
        <f t="shared" si="146"/>
        <v>143.73379124174278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10.077261105032095</v>
      </c>
      <c r="BQ148" s="21">
        <f>EXP(-LN(2)/25)*BQ147+(1-EXP(-LN(2)/25))/(LN(2)/25)*Calculateur!BL148*Calculateur!BN148*VLOOKUP('Données projet'!$B$11,Paramètres!$A$1:$I$89,3,0)*0.475*44/12</f>
        <v>1.2677452911522971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11.345006396184392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350.25444539178324</v>
      </c>
      <c r="T149" s="59">
        <f t="shared" si="142"/>
        <v>421.51176105448474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44.103884959455804</v>
      </c>
      <c r="AA149" s="21">
        <f>EXP(-LN(2)/25)*AA148+(1-EXP(-LN(2)/25))/(LN(2)/25)*Calculateur!V149*Calculateur!X149*VLOOKUP('Données projet'!$B$9,Paramètres!$A$1:$I$89,3,0)*0.475*44/12</f>
        <v>5.4076186137596887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49.511503573215492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-9.0949470177292824E-13</v>
      </c>
      <c r="AJ149" s="13">
        <f>AI149*VLOOKUP('Données projet'!$B$10,Paramètres!$A$1:$I$89,3,0)*VLOOKUP('Données projet'!$B$10,Paramètres!$A$1:$I$89,5,0)</f>
        <v>-4.492903826758266E-13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350.14981500723491</v>
      </c>
      <c r="AO149" s="59">
        <f t="shared" si="144"/>
        <v>270.58548917514111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77.161304251809668</v>
      </c>
      <c r="AV149" s="21">
        <f>EXP(-LN(2)/25)*AV148+(1-EXP(-LN(2)/25))/(LN(2)/25)*Calculateur!AQ149*Calculateur!AS149*VLOOKUP('Données projet'!$B$10,Paramètres!$A$1:$I$89,3,0)*0.475*44/12</f>
        <v>10.941980824929756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88.103285076739425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0.2</v>
      </c>
      <c r="BD149" s="12">
        <f>IF('Données projet'!$A$88&gt;35,BD148+BC149-BL148,IF(A149&lt;'Données projet'!$A$88,$BA$205^A149,IF(A149='Données projet'!$A$88,'Données projet'!$B$88,BD148+BC149-BL148)))</f>
        <v>428.19999999999982</v>
      </c>
      <c r="BE149" s="13">
        <f>BD149*VLOOKUP('Données projet'!$B$11,Paramètres!$A$1:$I$89,3,0)*VLOOKUP('Données projet'!$B$11,Paramètres!$A$1:$I$89,5,0)</f>
        <v>367.39559999999989</v>
      </c>
      <c r="BF149" s="13">
        <f t="shared" si="145"/>
        <v>85.134271443107565</v>
      </c>
      <c r="BG149" s="20">
        <f t="shared" si="115"/>
        <v>788.15619276341215</v>
      </c>
      <c r="BH149" s="59">
        <f t="shared" si="116"/>
        <v>1081.4895260967455</v>
      </c>
      <c r="BI149" s="59">
        <f ca="1">AVERAGE(OFFSET($BH$3,0,0,'Données projet'!$E$11+1,1))-AVERAGE(OFFSET($H$3,0,0,'Données projet'!$E$11+1,1))</f>
        <v>359.99244410291516</v>
      </c>
      <c r="BJ149" s="59">
        <f t="shared" si="146"/>
        <v>143.73379124174278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9.8796521612847705</v>
      </c>
      <c r="BQ149" s="21">
        <f>EXP(-LN(2)/25)*BQ148+(1-EXP(-LN(2)/25))/(LN(2)/25)*Calculateur!BL149*Calculateur!BN149*VLOOKUP('Données projet'!$B$11,Paramètres!$A$1:$I$89,3,0)*0.475*44/12</f>
        <v>1.2330787294979102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11.112730890782681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350.25444539178324</v>
      </c>
      <c r="T150" s="59">
        <f t="shared" si="142"/>
        <v>421.51176105448474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43.239034676114478</v>
      </c>
      <c r="AA150" s="21">
        <f>EXP(-LN(2)/25)*AA149+(1-EXP(-LN(2)/25))/(LN(2)/25)*Calculateur!V150*Calculateur!X150*VLOOKUP('Données projet'!$B$9,Paramètres!$A$1:$I$89,3,0)*0.475*44/12</f>
        <v>5.2597469983921261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48.498781674506603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-9.0949470177292824E-13</v>
      </c>
      <c r="AJ150" s="13">
        <f>AI150*VLOOKUP('Données projet'!$B$10,Paramètres!$A$1:$I$89,3,0)*VLOOKUP('Données projet'!$B$10,Paramètres!$A$1:$I$89,5,0)</f>
        <v>-4.492903826758266E-13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350.14981500723491</v>
      </c>
      <c r="AO150" s="59">
        <f t="shared" si="144"/>
        <v>270.58548917514111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75.648218139180116</v>
      </c>
      <c r="AV150" s="21">
        <f>EXP(-LN(2)/25)*AV149+(1-EXP(-LN(2)/25))/(LN(2)/25)*Calculateur!AQ150*Calculateur!AS150*VLOOKUP('Données projet'!$B$10,Paramètres!$A$1:$I$89,3,0)*0.475*44/12</f>
        <v>10.642771783858288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86.29098992303841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0.2</v>
      </c>
      <c r="BD150" s="12">
        <f>IF('Données projet'!$A$88&gt;35,BD149+BC150-BL149,IF(A150&lt;'Données projet'!$A$88,$BA$205^A150,IF(A150='Données projet'!$A$88,'Données projet'!$B$88,BD149+BC150-BL149)))</f>
        <v>428.39999999999981</v>
      </c>
      <c r="BE150" s="13">
        <f>BD150*VLOOKUP('Données projet'!$B$11,Paramètres!$A$1:$I$89,3,0)*VLOOKUP('Données projet'!$B$11,Paramètres!$A$1:$I$89,5,0)</f>
        <v>367.5671999999999</v>
      </c>
      <c r="BF150" s="13">
        <f t="shared" si="145"/>
        <v>85.169405771799291</v>
      </c>
      <c r="BG150" s="20">
        <f t="shared" si="115"/>
        <v>788.51625505255015</v>
      </c>
      <c r="BH150" s="59">
        <f t="shared" si="116"/>
        <v>1081.8495883858834</v>
      </c>
      <c r="BI150" s="59">
        <f ca="1">AVERAGE(OFFSET($BH$3,0,0,'Données projet'!$E$11+1,1))-AVERAGE(OFFSET($H$3,0,0,'Données projet'!$E$11+1,1))</f>
        <v>359.99244410291516</v>
      </c>
      <c r="BJ150" s="59">
        <f t="shared" si="146"/>
        <v>143.73379124174278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9.6859182083947779</v>
      </c>
      <c r="BQ150" s="21">
        <f>EXP(-LN(2)/25)*BQ149+(1-EXP(-LN(2)/25))/(LN(2)/25)*Calculateur!BL150*Calculateur!BN150*VLOOKUP('Données projet'!$B$11,Paramètres!$A$1:$I$89,3,0)*0.475*44/12</f>
        <v>1.1993601267949976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10.885278335189776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350.25444539178324</v>
      </c>
      <c r="T151" s="59">
        <f t="shared" si="142"/>
        <v>421.51176105448474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42.391143579322886</v>
      </c>
      <c r="AA151" s="21">
        <f>EXP(-LN(2)/25)*AA150+(1-EXP(-LN(2)/25))/(LN(2)/25)*Calculateur!V151*Calculateur!X151*VLOOKUP('Données projet'!$B$9,Paramètres!$A$1:$I$89,3,0)*0.475*44/12</f>
        <v>5.1159189401230201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47.50706251944591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-9.0949470177292824E-13</v>
      </c>
      <c r="AJ151" s="13">
        <f>AI151*VLOOKUP('Données projet'!$B$10,Paramètres!$A$1:$I$89,3,0)*VLOOKUP('Données projet'!$B$10,Paramètres!$A$1:$I$89,5,0)</f>
        <v>-4.492903826758266E-13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350.14981500723491</v>
      </c>
      <c r="AO151" s="59">
        <f t="shared" si="144"/>
        <v>270.58548917514111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74.164802722327835</v>
      </c>
      <c r="AV151" s="21">
        <f>EXP(-LN(2)/25)*AV150+(1-EXP(-LN(2)/25))/(LN(2)/25)*Calculateur!AQ151*Calculateur!AS151*VLOOKUP('Données projet'!$B$10,Paramètres!$A$1:$I$89,3,0)*0.475*44/12</f>
        <v>10.351744629749639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84.516547352077481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0.2</v>
      </c>
      <c r="BD151" s="12">
        <f>IF('Données projet'!$A$88&gt;35,BD150+BC151-BL150,IF(A151&lt;'Données projet'!$A$88,$BA$205^A151,IF(A151='Données projet'!$A$88,'Données projet'!$B$88,BD150+BC151-BL150)))</f>
        <v>428.5999999999998</v>
      </c>
      <c r="BE151" s="13">
        <f>BD151*VLOOKUP('Données projet'!$B$11,Paramètres!$A$1:$I$89,3,0)*VLOOKUP('Données projet'!$B$11,Paramètres!$A$1:$I$89,5,0)</f>
        <v>367.73879999999986</v>
      </c>
      <c r="BF151" s="13">
        <f t="shared" si="145"/>
        <v>85.204538191282339</v>
      </c>
      <c r="BG151" s="20">
        <f t="shared" si="115"/>
        <v>788.87631401648298</v>
      </c>
      <c r="BH151" s="59">
        <f t="shared" si="116"/>
        <v>1082.2096473498164</v>
      </c>
      <c r="BI151" s="59">
        <f ca="1">AVERAGE(OFFSET($BH$3,0,0,'Données projet'!$E$11+1,1))-AVERAGE(OFFSET($H$3,0,0,'Données projet'!$E$11+1,1))</f>
        <v>359.99244410291516</v>
      </c>
      <c r="BJ151" s="59">
        <f t="shared" si="146"/>
        <v>143.73379124174278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9.4959832601549135</v>
      </c>
      <c r="BQ151" s="21">
        <f>EXP(-LN(2)/25)*BQ150+(1-EXP(-LN(2)/25))/(LN(2)/25)*Calculateur!BL151*Calculateur!BN151*VLOOKUP('Données projet'!$B$11,Paramètres!$A$1:$I$89,3,0)*0.475*44/12</f>
        <v>1.1665635610561804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10.662546821211095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350.25444539178324</v>
      </c>
      <c r="T152" s="59">
        <f t="shared" si="142"/>
        <v>421.51176105448474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41.559879109776872</v>
      </c>
      <c r="AA152" s="21">
        <f>EXP(-LN(2)/25)*AA151+(1-EXP(-LN(2)/25))/(LN(2)/25)*Calculateur!V152*Calculateur!X152*VLOOKUP('Données projet'!$B$9,Paramètres!$A$1:$I$89,3,0)*0.475*44/12</f>
        <v>4.9760238676708717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46.535902977447748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-9.0949470177292824E-13</v>
      </c>
      <c r="AJ152" s="13">
        <f>AI152*VLOOKUP('Données projet'!$B$10,Paramètres!$A$1:$I$89,3,0)*VLOOKUP('Données projet'!$B$10,Paramètres!$A$1:$I$89,5,0)</f>
        <v>-4.492903826758266E-13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350.14981500723491</v>
      </c>
      <c r="AO152" s="59">
        <f t="shared" si="144"/>
        <v>270.58548917514111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72.710476177005958</v>
      </c>
      <c r="AV152" s="21">
        <f>EXP(-LN(2)/25)*AV151+(1-EXP(-LN(2)/25))/(LN(2)/25)*Calculateur!AQ152*Calculateur!AS152*VLOOKUP('Données projet'!$B$10,Paramètres!$A$1:$I$89,3,0)*0.475*44/12</f>
        <v>10.068675628474544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82.779151805480495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0.2</v>
      </c>
      <c r="BD152" s="12">
        <f>IF('Données projet'!$A$88&gt;35,BD151+BC152-BL151,IF(A152&lt;'Données projet'!$A$88,$BA$205^A152,IF(A152='Données projet'!$A$88,'Données projet'!$B$88,BD151+BC152-BL151)))</f>
        <v>428.79999999999978</v>
      </c>
      <c r="BE152" s="13">
        <f>BD152*VLOOKUP('Données projet'!$B$11,Paramètres!$A$1:$I$89,3,0)*VLOOKUP('Données projet'!$B$11,Paramètres!$A$1:$I$89,5,0)</f>
        <v>367.91039999999987</v>
      </c>
      <c r="BF152" s="13">
        <f t="shared" si="145"/>
        <v>85.239668702551384</v>
      </c>
      <c r="BG152" s="20">
        <f t="shared" si="115"/>
        <v>789.23636965694334</v>
      </c>
      <c r="BH152" s="59">
        <f t="shared" si="116"/>
        <v>1082.5697029902767</v>
      </c>
      <c r="BI152" s="59">
        <f ca="1">AVERAGE(OFFSET($BH$3,0,0,'Données projet'!$E$11+1,1))-AVERAGE(OFFSET($H$3,0,0,'Données projet'!$E$11+1,1))</f>
        <v>359.99244410291516</v>
      </c>
      <c r="BJ152" s="59">
        <f t="shared" si="146"/>
        <v>143.73379124174278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9.3097728204011538</v>
      </c>
      <c r="BQ152" s="21">
        <f>EXP(-LN(2)/25)*BQ151+(1-EXP(-LN(2)/25))/(LN(2)/25)*Calculateur!BL152*Calculateur!BN152*VLOOKUP('Données projet'!$B$11,Paramètres!$A$1:$I$89,3,0)*0.475*44/12</f>
        <v>1.1346638191321876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10.444436639533341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350.25444539178324</v>
      </c>
      <c r="T153" s="59">
        <f t="shared" si="142"/>
        <v>421.51176105448474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40.744915229457398</v>
      </c>
      <c r="AA153" s="21">
        <f>EXP(-LN(2)/25)*AA152+(1-EXP(-LN(2)/25))/(LN(2)/25)*Calculateur!V153*Calculateur!X153*VLOOKUP('Données projet'!$B$9,Paramètres!$A$1:$I$89,3,0)*0.475*44/12</f>
        <v>4.8399542333316896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45.584869462789086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-9.0949470177292824E-13</v>
      </c>
      <c r="AJ153" s="13">
        <f>AI153*VLOOKUP('Données projet'!$B$10,Paramètres!$A$1:$I$89,3,0)*VLOOKUP('Données projet'!$B$10,Paramètres!$A$1:$I$89,5,0)</f>
        <v>-4.492903826758266E-13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350.14981500723491</v>
      </c>
      <c r="AO153" s="59">
        <f t="shared" si="144"/>
        <v>270.58548917514111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71.284668088186237</v>
      </c>
      <c r="AV153" s="21">
        <f>EXP(-LN(2)/25)*AV152+(1-EXP(-LN(2)/25))/(LN(2)/25)*Calculateur!AQ153*Calculateur!AS153*VLOOKUP('Données projet'!$B$10,Paramètres!$A$1:$I$89,3,0)*0.475*44/12</f>
        <v>9.7933471639252687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81.078015252111499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429</v>
      </c>
      <c r="BB153" s="12">
        <f>VLOOKUP(A153,'Données projet'!$A$87:$I$107,9,0)</f>
        <v>0.2</v>
      </c>
      <c r="BC153" s="12">
        <f t="array" ref="BC153">INDEX(BB:BB,MIN(IF(ISNUMBER(BB153:BB349),ROW(BB153:BB349),"")))</f>
        <v>0.2</v>
      </c>
      <c r="BD153" s="12">
        <f>IF('Données projet'!$A$88&gt;35,BD152+BC153-BL152,IF(A153&lt;'Données projet'!$A$88,$BA$205^A153,IF(A153='Données projet'!$A$88,'Données projet'!$B$88,BD152+BC153-BL152)))</f>
        <v>428.99999999999977</v>
      </c>
      <c r="BE153" s="13">
        <f>BD153*VLOOKUP('Données projet'!$B$11,Paramètres!$A$1:$I$89,3,0)*VLOOKUP('Données projet'!$B$11,Paramètres!$A$1:$I$89,5,0)</f>
        <v>368.08199999999988</v>
      </c>
      <c r="BF153" s="13">
        <f t="shared" si="145"/>
        <v>85.274797306599979</v>
      </c>
      <c r="BG153" s="20">
        <f t="shared" si="115"/>
        <v>789.59642197566143</v>
      </c>
      <c r="BH153" s="59">
        <f t="shared" si="116"/>
        <v>1082.9297553089948</v>
      </c>
      <c r="BI153" s="59">
        <f ca="1">AVERAGE(OFFSET($BH$3,0,0,'Données projet'!$E$11+1,1))-AVERAGE(OFFSET($H$3,0,0,'Données projet'!$E$11+1,1))</f>
        <v>359.99244410291516</v>
      </c>
      <c r="BJ153" s="59">
        <f t="shared" si="146"/>
        <v>143.73379124174278</v>
      </c>
      <c r="BK153" s="15">
        <f>IF(ISNA(VLOOKUP(A153,'Données projet'!$A$87:$I$107,3,0)),0,VLOOKUP(A153,'Données projet'!$A$87:$I$107,3,0))</f>
        <v>6</v>
      </c>
      <c r="BL153" s="15">
        <f>IF(ISNA(VLOOKUP(A153,'Données projet'!$A$87:$I$107,4,0)),0,VLOOKUP(A153,'Données projet'!$A$87:$I$107,4,0))</f>
        <v>429</v>
      </c>
      <c r="BM153" s="16">
        <f>IF(ISNA(VLOOKUP(A153,'Données projet'!$A$87:$I$107,5,0)),0%,VLOOKUP(A153,'Données projet'!$A$87:$I$107,5,0)*VLOOKUP('Données projet'!$B$11,Paramètres!$A$1:$I$89,7,0))</f>
        <v>0.42400000000000004</v>
      </c>
      <c r="BN153" s="16">
        <f>IF(ISNA(VLOOKUP(A153,'Données projet'!$A$87:$I$107,6,0)),0%,VLOOKUP(A153,'Données projet'!$A$87:$I$107,6,0)*VLOOKUP('Données projet'!$B$11,Paramètres!$A$1:$I$89,7,0))</f>
        <v>0.10600000000000001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181.65440310723474</v>
      </c>
      <c r="BQ153" s="21">
        <f>EXP(-LN(2)/25)*BQ152+(1-EXP(-LN(2)/25))/(LN(2)/25)*Calculateur!BL153*Calculateur!BN153*VLOOKUP('Données projet'!$B$11,Paramètres!$A$1:$I$89,3,0)*0.475*44/12</f>
        <v>44.065607370162958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225.72001047739769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350.25444539178324</v>
      </c>
      <c r="T154" s="59">
        <f t="shared" si="142"/>
        <v>421.51176105448474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39.945932293752101</v>
      </c>
      <c r="AA154" s="21">
        <f>EXP(-LN(2)/25)*AA153+(1-EXP(-LN(2)/25))/(LN(2)/25)*Calculateur!V154*Calculateur!X154*VLOOKUP('Données projet'!$B$9,Paramètres!$A$1:$I$89,3,0)*0.475*44/12</f>
        <v>4.7076054302991031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44.653537724051205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-9.0949470177292824E-13</v>
      </c>
      <c r="AJ154" s="13">
        <f>AI154*VLOOKUP('Données projet'!$B$10,Paramètres!$A$1:$I$89,3,0)*VLOOKUP('Données projet'!$B$10,Paramètres!$A$1:$I$89,5,0)</f>
        <v>-4.492903826758266E-13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350.14981500723491</v>
      </c>
      <c r="AO154" s="59">
        <f t="shared" si="144"/>
        <v>270.58548917514111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69.886819226331212</v>
      </c>
      <c r="AV154" s="21">
        <f>EXP(-LN(2)/25)*AV153+(1-EXP(-LN(2)/25))/(LN(2)/25)*Calculateur!AQ154*Calculateur!AS154*VLOOKUP('Données projet'!$B$10,Paramètres!$A$1:$I$89,3,0)*0.475*44/12</f>
        <v>9.525547570717988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79.412366797049202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-1.9508661353029313E-13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359.99244410291516</v>
      </c>
      <c r="BJ154" s="59">
        <f t="shared" si="146"/>
        <v>143.73379124174278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178.09227106054735</v>
      </c>
      <c r="BQ154" s="21">
        <f>EXP(-LN(2)/25)*BQ153+(1-EXP(-LN(2)/25))/(LN(2)/25)*Calculateur!BL154*Calculateur!BN154*VLOOKUP('Données projet'!$B$11,Paramètres!$A$1:$I$89,3,0)*0.475*44/12</f>
        <v>42.860631019316273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220.95290207986363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350.25444539178324</v>
      </c>
      <c r="T155" s="59">
        <f t="shared" si="142"/>
        <v>421.51176105448474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39.162616926084517</v>
      </c>
      <c r="AA155" s="21">
        <f>EXP(-LN(2)/25)*AA154+(1-EXP(-LN(2)/25))/(LN(2)/25)*Calculateur!V155*Calculateur!X155*VLOOKUP('Données projet'!$B$9,Paramètres!$A$1:$I$89,3,0)*0.475*44/12</f>
        <v>4.578875712245364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43.741492638329881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-9.0949470177292824E-13</v>
      </c>
      <c r="AJ155" s="13">
        <f>AI155*VLOOKUP('Données projet'!$B$10,Paramètres!$A$1:$I$89,3,0)*VLOOKUP('Données projet'!$B$10,Paramètres!$A$1:$I$89,5,0)</f>
        <v>-4.492903826758266E-13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350.14981500723491</v>
      </c>
      <c r="AO155" s="59">
        <f t="shared" si="144"/>
        <v>270.58548917514111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68.516381328053541</v>
      </c>
      <c r="AV155" s="21">
        <f>EXP(-LN(2)/25)*AV154+(1-EXP(-LN(2)/25))/(LN(2)/25)*Calculateur!AQ155*Calculateur!AS155*VLOOKUP('Données projet'!$B$10,Paramètres!$A$1:$I$89,3,0)*0.475*44/12</f>
        <v>9.2650709714699282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77.781452299523465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-1.9508661353029313E-13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359.99244410291516</v>
      </c>
      <c r="BJ155" s="59">
        <f t="shared" si="146"/>
        <v>143.73379124174278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174.59999025060947</v>
      </c>
      <c r="BQ155" s="21">
        <f>EXP(-LN(2)/25)*BQ154+(1-EXP(-LN(2)/25))/(LN(2)/25)*Calculateur!BL155*Calculateur!BN155*VLOOKUP('Données projet'!$B$11,Paramètres!$A$1:$I$89,3,0)*0.475*44/12</f>
        <v>41.688604810150444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216.28859506075992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350.25444539178324</v>
      </c>
      <c r="T156" s="59">
        <f t="shared" si="142"/>
        <v>421.51176105448474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38.394661895001697</v>
      </c>
      <c r="AA156" s="21">
        <f>EXP(-LN(2)/25)*AA155+(1-EXP(-LN(2)/25))/(LN(2)/25)*Calculateur!V156*Calculateur!X156*VLOOKUP('Données projet'!$B$9,Paramètres!$A$1:$I$89,3,0)*0.475*44/12</f>
        <v>4.4536661151014059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42.848328010103103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-9.0949470177292824E-13</v>
      </c>
      <c r="AJ156" s="13">
        <f>AI156*VLOOKUP('Données projet'!$B$10,Paramètres!$A$1:$I$89,3,0)*VLOOKUP('Données projet'!$B$10,Paramètres!$A$1:$I$89,5,0)</f>
        <v>-4.492903826758266E-13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350.14981500723491</v>
      </c>
      <c r="AO156" s="59">
        <f t="shared" si="144"/>
        <v>270.58548917514111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67.172816881076514</v>
      </c>
      <c r="AV156" s="21">
        <f>EXP(-LN(2)/25)*AV155+(1-EXP(-LN(2)/25))/(LN(2)/25)*Calculateur!AQ156*Calculateur!AS156*VLOOKUP('Données projet'!$B$10,Paramètres!$A$1:$I$89,3,0)*0.475*44/12</f>
        <v>9.0117171185261764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76.184533999602692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-1.9508661353029313E-13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359.99244410291516</v>
      </c>
      <c r="BJ156" s="59">
        <f t="shared" si="146"/>
        <v>143.73379124174278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171.1761909372735</v>
      </c>
      <c r="BQ156" s="21">
        <f>EXP(-LN(2)/25)*BQ155+(1-EXP(-LN(2)/25))/(LN(2)/25)*Calculateur!BL156*Calculateur!BN156*VLOOKUP('Données projet'!$B$11,Paramètres!$A$1:$I$89,3,0)*0.475*44/12</f>
        <v>40.548627719308435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211.72481865658193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350.25444539178324</v>
      </c>
      <c r="T157" s="59">
        <f t="shared" si="142"/>
        <v>421.51176105448474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37.641765993672088</v>
      </c>
      <c r="AA157" s="21">
        <f>EXP(-LN(2)/25)*AA156+(1-EXP(-LN(2)/25))/(LN(2)/25)*Calculateur!V157*Calculateur!X157*VLOOKUP('Données projet'!$B$9,Paramètres!$A$1:$I$89,3,0)*0.475*44/12</f>
        <v>4.3318803809758357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41.973646374647927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-9.0949470177292824E-13</v>
      </c>
      <c r="AJ157" s="13">
        <f>AI157*VLOOKUP('Données projet'!$B$10,Paramètres!$A$1:$I$89,3,0)*VLOOKUP('Données projet'!$B$10,Paramètres!$A$1:$I$89,5,0)</f>
        <v>-4.492903826758266E-13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350.14981500723491</v>
      </c>
      <c r="AO157" s="59">
        <f t="shared" si="144"/>
        <v>270.58548917514111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65.855598913411313</v>
      </c>
      <c r="AV157" s="21">
        <f>EXP(-LN(2)/25)*AV156+(1-EXP(-LN(2)/25))/(LN(2)/25)*Calculateur!AQ157*Calculateur!AS157*VLOOKUP('Données projet'!$B$10,Paramètres!$A$1:$I$89,3,0)*0.475*44/12</f>
        <v>8.7652912400144718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74.62089015342579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-1.9508661353029313E-13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359.99244410291516</v>
      </c>
      <c r="BJ157" s="59">
        <f t="shared" si="146"/>
        <v>143.73379124174278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167.8195302401607</v>
      </c>
      <c r="BQ157" s="21">
        <f>EXP(-LN(2)/25)*BQ156+(1-EXP(-LN(2)/25))/(LN(2)/25)*Calculateur!BL157*Calculateur!BN157*VLOOKUP('Données projet'!$B$11,Paramètres!$A$1:$I$89,3,0)*0.475*44/12</f>
        <v>39.439823361964287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207.25935360212497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350.25444539178324</v>
      </c>
      <c r="T158" s="59">
        <f t="shared" si="142"/>
        <v>421.51176105448474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36.903633921746398</v>
      </c>
      <c r="AA158" s="21">
        <f>EXP(-LN(2)/25)*AA157+(1-EXP(-LN(2)/25))/(LN(2)/25)*Calculateur!V158*Calculateur!X158*VLOOKUP('Données projet'!$B$9,Paramètres!$A$1:$I$89,3,0)*0.475*44/12</f>
        <v>4.2134248841543629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41.117058805900761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-9.0949470177292824E-13</v>
      </c>
      <c r="AJ158" s="13">
        <f>AI158*VLOOKUP('Données projet'!$B$10,Paramètres!$A$1:$I$89,3,0)*VLOOKUP('Données projet'!$B$10,Paramètres!$A$1:$I$89,5,0)</f>
        <v>-4.492903826758266E-13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350.14981500723491</v>
      </c>
      <c r="AO158" s="59">
        <f t="shared" si="144"/>
        <v>270.58548917514111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64.564210786668397</v>
      </c>
      <c r="AV158" s="21">
        <f>EXP(-LN(2)/25)*AV157+(1-EXP(-LN(2)/25))/(LN(2)/25)*Calculateur!AQ158*Calculateur!AS158*VLOOKUP('Données projet'!$B$10,Paramètres!$A$1:$I$89,3,0)*0.475*44/12</f>
        <v>8.5256038901096431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73.089814676778047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-1.9508661353029313E-13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359.99244410291516</v>
      </c>
      <c r="BJ158" s="59">
        <f t="shared" si="146"/>
        <v>143.73379124174278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164.52869161195741</v>
      </c>
      <c r="BQ158" s="21">
        <f>EXP(-LN(2)/25)*BQ157+(1-EXP(-LN(2)/25))/(LN(2)/25)*Calculateur!BL158*Calculateur!BN158*VLOOKUP('Données projet'!$B$11,Paramètres!$A$1:$I$89,3,0)*0.475*44/12</f>
        <v>38.361339318081207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202.89003093003862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350.25444539178324</v>
      </c>
      <c r="T159" s="59">
        <f t="shared" si="142"/>
        <v>421.51176105448474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36.179976169535067</v>
      </c>
      <c r="AA159" s="21">
        <f>EXP(-LN(2)/25)*AA158+(1-EXP(-LN(2)/25))/(LN(2)/25)*Calculateur!V159*Calculateur!X159*VLOOKUP('Données projet'!$B$9,Paramètres!$A$1:$I$89,3,0)*0.475*44/12</f>
        <v>4.098208559122777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40.278184728657841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-9.0949470177292824E-13</v>
      </c>
      <c r="AJ159" s="13">
        <f>AI159*VLOOKUP('Données projet'!$B$10,Paramètres!$A$1:$I$89,3,0)*VLOOKUP('Données projet'!$B$10,Paramètres!$A$1:$I$89,5,0)</f>
        <v>-4.492903826758266E-13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350.14981500723491</v>
      </c>
      <c r="AO159" s="59">
        <f t="shared" si="144"/>
        <v>270.58548917514111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63.298145993421933</v>
      </c>
      <c r="AV159" s="21">
        <f>EXP(-LN(2)/25)*AV158+(1-EXP(-LN(2)/25))/(LN(2)/25)*Calculateur!AQ159*Calculateur!AS159*VLOOKUP('Données projet'!$B$10,Paramètres!$A$1:$I$89,3,0)*0.475*44/12</f>
        <v>8.2924708033925718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71.590616796814501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-1.9508661353029313E-13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359.99244410291516</v>
      </c>
      <c r="BJ159" s="59">
        <f t="shared" si="146"/>
        <v>143.73379124174278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161.30238432203981</v>
      </c>
      <c r="BQ159" s="21">
        <f>EXP(-LN(2)/25)*BQ158+(1-EXP(-LN(2)/25))/(LN(2)/25)*Calculateur!BL159*Calculateur!BN159*VLOOKUP('Données projet'!$B$11,Paramètres!$A$1:$I$89,3,0)*0.475*44/12</f>
        <v>37.312346477093115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198.61473079913293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350.25444539178324</v>
      </c>
      <c r="T160" s="59">
        <f t="shared" si="142"/>
        <v>421.51176105448474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35.470508904456949</v>
      </c>
      <c r="AA160" s="21">
        <f>EXP(-LN(2)/25)*AA159+(1-EXP(-LN(2)/25))/(LN(2)/25)*Calculateur!V160*Calculateur!X160*VLOOKUP('Données projet'!$B$9,Paramètres!$A$1:$I$89,3,0)*0.475*44/12</f>
        <v>3.9861428305581432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39.456651735015093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-9.0949470177292824E-13</v>
      </c>
      <c r="AJ160" s="13">
        <f>AI160*VLOOKUP('Données projet'!$B$10,Paramètres!$A$1:$I$89,3,0)*VLOOKUP('Données projet'!$B$10,Paramètres!$A$1:$I$89,5,0)</f>
        <v>-4.492903826758266E-13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350.14981500723491</v>
      </c>
      <c r="AO160" s="59">
        <f t="shared" si="144"/>
        <v>270.58548917514111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62.056907958547754</v>
      </c>
      <c r="AV160" s="21">
        <f>EXP(-LN(2)/25)*AV159+(1-EXP(-LN(2)/25))/(LN(2)/25)*Calculateur!AQ160*Calculateur!AS160*VLOOKUP('Données projet'!$B$10,Paramètres!$A$1:$I$89,3,0)*0.475*44/12</f>
        <v>8.0657127531917148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70.122620711739472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-1.9508661353029313E-13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359.99244410291516</v>
      </c>
      <c r="BJ160" s="59">
        <f t="shared" si="146"/>
        <v>143.73379124174278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158.13934295022437</v>
      </c>
      <c r="BQ160" s="21">
        <f>EXP(-LN(2)/25)*BQ159+(1-EXP(-LN(2)/25))/(LN(2)/25)*Calculateur!BL160*Calculateur!BN160*VLOOKUP('Données projet'!$B$11,Paramètres!$A$1:$I$89,3,0)*0.475*44/12</f>
        <v>36.29203840050598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194.43138135073036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350.25444539178324</v>
      </c>
      <c r="T161" s="59">
        <f t="shared" si="142"/>
        <v>421.51176105448474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34.774953859714714</v>
      </c>
      <c r="AA161" s="21">
        <f>EXP(-LN(2)/25)*AA160+(1-EXP(-LN(2)/25))/(LN(2)/25)*Calculateur!V161*Calculateur!X161*VLOOKUP('Données projet'!$B$9,Paramètres!$A$1:$I$89,3,0)*0.475*44/12</f>
        <v>3.8771415452343896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38.652095404949101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-9.0949470177292824E-13</v>
      </c>
      <c r="AJ161" s="13">
        <f>AI161*VLOOKUP('Données projet'!$B$10,Paramètres!$A$1:$I$89,3,0)*VLOOKUP('Données projet'!$B$10,Paramètres!$A$1:$I$89,5,0)</f>
        <v>-4.492903826758266E-13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350.14981500723491</v>
      </c>
      <c r="AO161" s="59">
        <f t="shared" si="144"/>
        <v>270.58548917514111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60.840009844457015</v>
      </c>
      <c r="AV161" s="21">
        <f>EXP(-LN(2)/25)*AV160+(1-EXP(-LN(2)/25))/(LN(2)/25)*Calculateur!AQ161*Calculateur!AS161*VLOOKUP('Données projet'!$B$10,Paramètres!$A$1:$I$89,3,0)*0.475*44/12</f>
        <v>7.8451554137982882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68.685165258255296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-1.9508661353029313E-13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359.99244410291516</v>
      </c>
      <c r="BJ161" s="59">
        <f t="shared" si="146"/>
        <v>143.73379124174278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155.03832689044549</v>
      </c>
      <c r="BQ161" s="21">
        <f>EXP(-LN(2)/25)*BQ160+(1-EXP(-LN(2)/25))/(LN(2)/25)*Calculateur!BL161*Calculateur!BN161*VLOOKUP('Données projet'!$B$11,Paramètres!$A$1:$I$89,3,0)*0.475*44/12</f>
        <v>35.299630701928791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190.33795759237427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350.25444539178324</v>
      </c>
      <c r="T162" s="59">
        <f t="shared" si="142"/>
        <v>421.51176105448474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34.093038225153187</v>
      </c>
      <c r="AA162" s="21">
        <f>EXP(-LN(2)/25)*AA161+(1-EXP(-LN(2)/25))/(LN(2)/25)*Calculateur!V162*Calculateur!X162*VLOOKUP('Données projet'!$B$9,Paramètres!$A$1:$I$89,3,0)*0.475*44/12</f>
        <v>3.7711209057899429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37.864159130943129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-9.0949470177292824E-13</v>
      </c>
      <c r="AJ162" s="13">
        <f>AI162*VLOOKUP('Données projet'!$B$10,Paramètres!$A$1:$I$89,3,0)*VLOOKUP('Données projet'!$B$10,Paramètres!$A$1:$I$89,5,0)</f>
        <v>-4.492903826758266E-13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350.14981500723491</v>
      </c>
      <c r="AO162" s="59">
        <f t="shared" si="144"/>
        <v>270.58548917514111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59.646974360149031</v>
      </c>
      <c r="AV162" s="21">
        <f>EXP(-LN(2)/25)*AV161+(1-EXP(-LN(2)/25))/(LN(2)/25)*Calculateur!AQ162*Calculateur!AS162*VLOOKUP('Données projet'!$B$10,Paramètres!$A$1:$I$89,3,0)*0.475*44/12</f>
        <v>7.6306292264491811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67.277603586598218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-1.9508661353029313E-13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359.99244410291516</v>
      </c>
      <c r="BJ162" s="59">
        <f t="shared" si="146"/>
        <v>143.73379124174278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151.99811986416583</v>
      </c>
      <c r="BQ162" s="21">
        <f>EXP(-LN(2)/25)*BQ161+(1-EXP(-LN(2)/25))/(LN(2)/25)*Calculateur!BL162*Calculateur!BN162*VLOOKUP('Données projet'!$B$11,Paramètres!$A$1:$I$89,3,0)*0.475*44/12</f>
        <v>34.334360444057651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186.33248030822347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350.25444539178324</v>
      </c>
      <c r="T163" s="59">
        <f t="shared" si="142"/>
        <v>421.51176105448474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33.424494540257946</v>
      </c>
      <c r="AA163" s="21">
        <f>EXP(-LN(2)/25)*AA162+(1-EXP(-LN(2)/25))/(LN(2)/25)*Calculateur!V163*Calculateur!X163*VLOOKUP('Données projet'!$B$9,Paramètres!$A$1:$I$89,3,0)*0.475*44/12</f>
        <v>3.6679994063064876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37.092493946564431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-9.0949470177292824E-13</v>
      </c>
      <c r="AJ163" s="13">
        <f>AI163*VLOOKUP('Données projet'!$B$10,Paramètres!$A$1:$I$89,3,0)*VLOOKUP('Données projet'!$B$10,Paramètres!$A$1:$I$89,5,0)</f>
        <v>-4.492903826758266E-13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350.14981500723491</v>
      </c>
      <c r="AO163" s="59">
        <f t="shared" si="144"/>
        <v>270.58548917514111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58.477333574008533</v>
      </c>
      <c r="AV163" s="21">
        <f>EXP(-LN(2)/25)*AV162+(1-EXP(-LN(2)/25))/(LN(2)/25)*Calculateur!AQ163*Calculateur!AS163*VLOOKUP('Données projet'!$B$10,Paramètres!$A$1:$I$89,3,0)*0.475*44/12</f>
        <v>7.4219692689745775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65.899302842983104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-1.9508661353029313E-13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359.99244410291516</v>
      </c>
      <c r="BJ163" s="59">
        <f t="shared" si="146"/>
        <v>143.73379124174278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149.01752944332833</v>
      </c>
      <c r="BQ163" s="21">
        <f>EXP(-LN(2)/25)*BQ162+(1-EXP(-LN(2)/25))/(LN(2)/25)*Calculateur!BL163*Calculateur!BN163*VLOOKUP('Données projet'!$B$11,Paramètres!$A$1:$I$89,3,0)*0.475*44/12</f>
        <v>33.395485552149353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182.41301499547768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350.25444539178324</v>
      </c>
      <c r="T164" s="59">
        <f t="shared" si="142"/>
        <v>421.51176105448474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32.769060589252113</v>
      </c>
      <c r="AA164" s="21">
        <f>EXP(-LN(2)/25)*AA163+(1-EXP(-LN(2)/25))/(LN(2)/25)*Calculateur!V164*Calculateur!X164*VLOOKUP('Données projet'!$B$9,Paramètres!$A$1:$I$89,3,0)*0.475*44/12</f>
        <v>3.5676977696493313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36.336758358901442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-9.0949470177292824E-13</v>
      </c>
      <c r="AJ164" s="13">
        <f>AI164*VLOOKUP('Données projet'!$B$10,Paramètres!$A$1:$I$89,3,0)*VLOOKUP('Données projet'!$B$10,Paramètres!$A$1:$I$89,5,0)</f>
        <v>-4.492903826758266E-13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350.14981500723491</v>
      </c>
      <c r="AO164" s="59">
        <f t="shared" si="144"/>
        <v>270.58548917514111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57.330628730273816</v>
      </c>
      <c r="AV164" s="21">
        <f>EXP(-LN(2)/25)*AV163+(1-EXP(-LN(2)/25))/(LN(2)/25)*Calculateur!AQ164*Calculateur!AS164*VLOOKUP('Données projet'!$B$10,Paramètres!$A$1:$I$89,3,0)*0.475*44/12</f>
        <v>7.2190151290100673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64.54964385928389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-1.9508661353029313E-13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359.99244410291516</v>
      </c>
      <c r="BJ164" s="59">
        <f t="shared" si="146"/>
        <v>143.73379124174278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146.0953865826628</v>
      </c>
      <c r="BQ164" s="21">
        <f>EXP(-LN(2)/25)*BQ163+(1-EXP(-LN(2)/25))/(LN(2)/25)*Calculateur!BL164*Calculateur!BN164*VLOOKUP('Données projet'!$B$11,Paramètres!$A$1:$I$89,3,0)*0.475*44/12</f>
        <v>32.48228424353357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178.57767082619637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350.25444539178324</v>
      </c>
      <c r="T165" s="59">
        <f t="shared" si="142"/>
        <v>421.51176105448474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32.126479298250274</v>
      </c>
      <c r="AA165" s="21">
        <f>EXP(-LN(2)/25)*AA164+(1-EXP(-LN(2)/25))/(LN(2)/25)*Calculateur!V165*Calculateur!X165*VLOOKUP('Données projet'!$B$9,Paramètres!$A$1:$I$89,3,0)*0.475*44/12</f>
        <v>3.4701388865211986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35.596618184771472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-9.0949470177292824E-13</v>
      </c>
      <c r="AJ165" s="13">
        <f>AI165*VLOOKUP('Données projet'!$B$10,Paramètres!$A$1:$I$89,3,0)*VLOOKUP('Données projet'!$B$10,Paramètres!$A$1:$I$89,5,0)</f>
        <v>-4.492903826758266E-13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350.14981500723491</v>
      </c>
      <c r="AO165" s="59">
        <f t="shared" si="144"/>
        <v>270.58548917514111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56.206410069103846</v>
      </c>
      <c r="AV165" s="21">
        <f>EXP(-LN(2)/25)*AV164+(1-EXP(-LN(2)/25))/(LN(2)/25)*Calculateur!AQ165*Calculateur!AS165*VLOOKUP('Données projet'!$B$10,Paramètres!$A$1:$I$89,3,0)*0.475*44/12</f>
        <v>7.0216107806757808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63.228020849779625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-1.9508661353029313E-13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359.99244410291516</v>
      </c>
      <c r="BJ165" s="59">
        <f t="shared" si="146"/>
        <v>143.73379124174278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143.23054516116377</v>
      </c>
      <c r="BQ165" s="21">
        <f>EXP(-LN(2)/25)*BQ164+(1-EXP(-LN(2)/25))/(LN(2)/25)*Calculateur!BL165*Calculateur!BN165*VLOOKUP('Données projet'!$B$11,Paramètres!$A$1:$I$89,3,0)*0.475*44/12</f>
        <v>31.594054472725055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174.82459963388882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350.25444539178324</v>
      </c>
      <c r="T166" s="59">
        <f t="shared" si="142"/>
        <v>421.51176105448474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31.496498634429091</v>
      </c>
      <c r="AA166" s="21">
        <f>EXP(-LN(2)/25)*AA165+(1-EXP(-LN(2)/25))/(LN(2)/25)*Calculateur!V166*Calculateur!X166*VLOOKUP('Données projet'!$B$9,Paramètres!$A$1:$I$89,3,0)*0.475*44/12</f>
        <v>3.3752477561826035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34.871746390611698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-9.0949470177292824E-13</v>
      </c>
      <c r="AJ166" s="13">
        <f>AI166*VLOOKUP('Données projet'!$B$10,Paramètres!$A$1:$I$89,3,0)*VLOOKUP('Données projet'!$B$10,Paramètres!$A$1:$I$89,5,0)</f>
        <v>-4.492903826758266E-13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350.14981500723491</v>
      </c>
      <c r="AO166" s="59">
        <f t="shared" si="144"/>
        <v>270.58548917514111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55.104236650173746</v>
      </c>
      <c r="AV166" s="21">
        <f>EXP(-LN(2)/25)*AV165+(1-EXP(-LN(2)/25))/(LN(2)/25)*Calculateur!AQ166*Calculateur!AS166*VLOOKUP('Données projet'!$B$10,Paramètres!$A$1:$I$89,3,0)*0.475*44/12</f>
        <v>6.8296044646277387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61.933841114801481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-1.9508661353029313E-13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359.99244410291516</v>
      </c>
      <c r="BJ166" s="59">
        <f t="shared" si="146"/>
        <v>143.73379124174278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140.42188153255961</v>
      </c>
      <c r="BQ166" s="21">
        <f>EXP(-LN(2)/25)*BQ165+(1-EXP(-LN(2)/25))/(LN(2)/25)*Calculateur!BL166*Calculateur!BN166*VLOOKUP('Données projet'!$B$11,Paramètres!$A$1:$I$89,3,0)*0.475*44/12</f>
        <v>30.730113391709274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171.15199492426888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350.25444539178324</v>
      </c>
      <c r="T167" s="59">
        <f t="shared" si="142"/>
        <v>421.51176105448474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30.878871507175177</v>
      </c>
      <c r="AA167" s="21">
        <f>EXP(-LN(2)/25)*AA166+(1-EXP(-LN(2)/25))/(LN(2)/25)*Calculateur!V167*Calculateur!X167*VLOOKUP('Données projet'!$B$9,Paramètres!$A$1:$I$89,3,0)*0.475*44/12</f>
        <v>3.2829514287932251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34.161822935968402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-9.0949470177292824E-13</v>
      </c>
      <c r="AJ167" s="13">
        <f>AI167*VLOOKUP('Données projet'!$B$10,Paramètres!$A$1:$I$89,3,0)*VLOOKUP('Données projet'!$B$10,Paramètres!$A$1:$I$89,5,0)</f>
        <v>-4.492903826758266E-13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350.14981500723491</v>
      </c>
      <c r="AO167" s="59">
        <f t="shared" si="144"/>
        <v>270.58548917514111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54.023676179729456</v>
      </c>
      <c r="AV167" s="21">
        <f>EXP(-LN(2)/25)*AV166+(1-EXP(-LN(2)/25))/(LN(2)/25)*Calculateur!AQ167*Calculateur!AS167*VLOOKUP('Données projet'!$B$10,Paramètres!$A$1:$I$89,3,0)*0.475*44/12</f>
        <v>6.6428485713892034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60.666524751118658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-1.9508661353029313E-13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359.99244410291516</v>
      </c>
      <c r="BJ167" s="59">
        <f t="shared" si="146"/>
        <v>143.73379124174278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137.66829408459674</v>
      </c>
      <c r="BQ167" s="21">
        <f>EXP(-LN(2)/25)*BQ166+(1-EXP(-LN(2)/25))/(LN(2)/25)*Calculateur!BL167*Calculateur!BN167*VLOOKUP('Données projet'!$B$11,Paramètres!$A$1:$I$89,3,0)*0.475*44/12</f>
        <v>29.889796824986554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167.55809090958329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350.25444539178324</v>
      </c>
      <c r="T168" s="59">
        <f t="shared" si="142"/>
        <v>421.51176105448474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30.273355671171363</v>
      </c>
      <c r="AA168" s="21">
        <f>EXP(-LN(2)/25)*AA167+(1-EXP(-LN(2)/25))/(LN(2)/25)*Calculateur!V168*Calculateur!X168*VLOOKUP('Données projet'!$B$9,Paramètres!$A$1:$I$89,3,0)*0.475*44/12</f>
        <v>3.1931789493299618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33.466534620501321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-9.0949470177292824E-13</v>
      </c>
      <c r="AJ168" s="13">
        <f>AI168*VLOOKUP('Données projet'!$B$10,Paramètres!$A$1:$I$89,3,0)*VLOOKUP('Données projet'!$B$10,Paramètres!$A$1:$I$89,5,0)</f>
        <v>-4.492903826758266E-13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350.14981500723491</v>
      </c>
      <c r="AO168" s="59">
        <f t="shared" si="144"/>
        <v>270.58548917514111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52.964304841033773</v>
      </c>
      <c r="AV168" s="21">
        <f>EXP(-LN(2)/25)*AV167+(1-EXP(-LN(2)/25))/(LN(2)/25)*Calculateur!AQ168*Calculateur!AS168*VLOOKUP('Données projet'!$B$10,Paramètres!$A$1:$I$89,3,0)*0.475*44/12</f>
        <v>6.461199527872342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59.425504368906118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-1.9508661353029313E-13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359.99244410291516</v>
      </c>
      <c r="BJ168" s="59">
        <f t="shared" si="146"/>
        <v>143.73379124174278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134.96870280696589</v>
      </c>
      <c r="BQ168" s="21">
        <f>EXP(-LN(2)/25)*BQ167+(1-EXP(-LN(2)/25))/(LN(2)/25)*Calculateur!BL168*Calculateur!BN168*VLOOKUP('Données projet'!$B$11,Paramètres!$A$1:$I$89,3,0)*0.475*44/12</f>
        <v>29.072458758971194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164.0411615659371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350.25444539178324</v>
      </c>
      <c r="T169" s="59">
        <f t="shared" si="142"/>
        <v>421.51176105448474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29.679713631383393</v>
      </c>
      <c r="AA169" s="21">
        <f>EXP(-LN(2)/25)*AA168+(1-EXP(-LN(2)/25))/(LN(2)/25)*Calculateur!V169*Calculateur!X169*VLOOKUP('Données projet'!$B$9,Paramètres!$A$1:$I$89,3,0)*0.475*44/12</f>
        <v>3.1058613030385511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32.785574934421945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-9.0949470177292824E-13</v>
      </c>
      <c r="AJ169" s="13">
        <f>AI169*VLOOKUP('Données projet'!$B$10,Paramètres!$A$1:$I$89,3,0)*VLOOKUP('Données projet'!$B$10,Paramètres!$A$1:$I$89,5,0)</f>
        <v>-4.492903826758266E-13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350.14981500723491</v>
      </c>
      <c r="AO169" s="59">
        <f t="shared" si="144"/>
        <v>270.58548917514111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51.925707128137198</v>
      </c>
      <c r="AV169" s="21">
        <f>EXP(-LN(2)/25)*AV168+(1-EXP(-LN(2)/25))/(LN(2)/25)*Calculateur!AQ169*Calculateur!AS169*VLOOKUP('Données projet'!$B$10,Paramètres!$A$1:$I$89,3,0)*0.475*44/12</f>
        <v>6.2845176870029569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58.210224815140151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-1.9508661353029313E-13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359.99244410291516</v>
      </c>
      <c r="BJ169" s="59">
        <f t="shared" si="146"/>
        <v>143.73379124174278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132.32204886770131</v>
      </c>
      <c r="BQ169" s="21">
        <f>EXP(-LN(2)/25)*BQ168+(1-EXP(-LN(2)/25))/(LN(2)/25)*Calculateur!BL169*Calculateur!BN169*VLOOKUP('Données projet'!$B$11,Paramètres!$A$1:$I$89,3,0)*0.475*44/12</f>
        <v>28.277470845352966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160.59951971305429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350.25444539178324</v>
      </c>
      <c r="T170" s="59">
        <f t="shared" si="142"/>
        <v>421.51176105448474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29.097712549909772</v>
      </c>
      <c r="AA170" s="21">
        <f>EXP(-LN(2)/25)*AA169+(1-EXP(-LN(2)/25))/(LN(2)/25)*Calculateur!V170*Calculateur!X170*VLOOKUP('Données projet'!$B$9,Paramètres!$A$1:$I$89,3,0)*0.475*44/12</f>
        <v>3.0209313623768144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32.118643912286586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-9.0949470177292824E-13</v>
      </c>
      <c r="AJ170" s="13">
        <f>AI170*VLOOKUP('Données projet'!$B$10,Paramètres!$A$1:$I$89,3,0)*VLOOKUP('Données projet'!$B$10,Paramètres!$A$1:$I$89,5,0)</f>
        <v>-4.492903826758266E-13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350.14981500723491</v>
      </c>
      <c r="AO170" s="59">
        <f t="shared" si="144"/>
        <v>270.58548917514111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50.907475682908469</v>
      </c>
      <c r="AV170" s="21">
        <f>EXP(-LN(2)/25)*AV169+(1-EXP(-LN(2)/25))/(LN(2)/25)*Calculateur!AQ170*Calculateur!AS170*VLOOKUP('Données projet'!$B$10,Paramètres!$A$1:$I$89,3,0)*0.475*44/12</f>
        <v>6.1126672203634396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57.02014290327191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-1.9508661353029313E-13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359.99244410291516</v>
      </c>
      <c r="BJ170" s="59">
        <f t="shared" si="146"/>
        <v>143.73379124174278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129.72729419788621</v>
      </c>
      <c r="BQ170" s="21">
        <f>EXP(-LN(2)/25)*BQ169+(1-EXP(-LN(2)/25))/(LN(2)/25)*Calculateur!BL170*Calculateur!BN170*VLOOKUP('Données projet'!$B$11,Paramètres!$A$1:$I$89,3,0)*0.475*44/12</f>
        <v>27.504221918039224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157.23151611592544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350.25444539178324</v>
      </c>
      <c r="T171" s="59">
        <f t="shared" si="142"/>
        <v>421.51176105448474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28.527124154658242</v>
      </c>
      <c r="AA171" s="21">
        <f>EXP(-LN(2)/25)*AA170+(1-EXP(-LN(2)/25))/(LN(2)/25)*Calculateur!V171*Calculateur!X171*VLOOKUP('Données projet'!$B$9,Paramètres!$A$1:$I$89,3,0)*0.475*44/12</f>
        <v>2.9383238354087444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31.465447990066988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-9.0949470177292824E-13</v>
      </c>
      <c r="AJ171" s="13">
        <f>AI171*VLOOKUP('Données projet'!$B$10,Paramètres!$A$1:$I$89,3,0)*VLOOKUP('Données projet'!$B$10,Paramètres!$A$1:$I$89,5,0)</f>
        <v>-4.492903826758266E-13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350.14981500723491</v>
      </c>
      <c r="AO171" s="59">
        <f t="shared" si="144"/>
        <v>270.58548917514111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49.909211135260819</v>
      </c>
      <c r="AV171" s="21">
        <f>EXP(-LN(2)/25)*AV170+(1-EXP(-LN(2)/25))/(LN(2)/25)*Calculateur!AQ171*Calculateur!AS171*VLOOKUP('Données projet'!$B$10,Paramètres!$A$1:$I$89,3,0)*0.475*44/12</f>
        <v>5.9455160137714032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55.854727149032222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-1.9508661353029313E-13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359.99244410291516</v>
      </c>
      <c r="BJ171" s="59">
        <f t="shared" si="146"/>
        <v>143.73379124174278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127.1834210845021</v>
      </c>
      <c r="BQ171" s="21">
        <f>EXP(-LN(2)/25)*BQ170+(1-EXP(-LN(2)/25))/(LN(2)/25)*Calculateur!BL171*Calculateur!BN171*VLOOKUP('Données projet'!$B$11,Paramètres!$A$1:$I$89,3,0)*0.475*44/12</f>
        <v>26.752117523306271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153.93553860780838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350.25444539178324</v>
      </c>
      <c r="T172" s="59">
        <f t="shared" si="142"/>
        <v>421.51176105448474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27.967724649813039</v>
      </c>
      <c r="AA172" s="21">
        <f>EXP(-LN(2)/25)*AA171+(1-EXP(-LN(2)/25))/(LN(2)/25)*Calculateur!V172*Calculateur!X172*VLOOKUP('Données projet'!$B$9,Paramètres!$A$1:$I$89,3,0)*0.475*44/12</f>
        <v>2.8579752156097573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30.825699865422798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-9.0949470177292824E-13</v>
      </c>
      <c r="AJ172" s="13">
        <f>AI172*VLOOKUP('Données projet'!$B$10,Paramètres!$A$1:$I$89,3,0)*VLOOKUP('Données projet'!$B$10,Paramètres!$A$1:$I$89,5,0)</f>
        <v>-4.492903826758266E-13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350.14981500723491</v>
      </c>
      <c r="AO172" s="59">
        <f t="shared" si="144"/>
        <v>270.58548917514111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48.930521946511284</v>
      </c>
      <c r="AV172" s="21">
        <f>EXP(-LN(2)/25)*AV171+(1-EXP(-LN(2)/25))/(LN(2)/25)*Calculateur!AQ172*Calculateur!AS172*VLOOKUP('Données projet'!$B$10,Paramètres!$A$1:$I$89,3,0)*0.475*44/12</f>
        <v>5.7829355657137258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54.713457512225013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-1.9508661353029313E-13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359.99244410291516</v>
      </c>
      <c r="BJ172" s="59">
        <f t="shared" si="146"/>
        <v>143.73379124174278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124.68943177126205</v>
      </c>
      <c r="BQ172" s="21">
        <f>EXP(-LN(2)/25)*BQ171+(1-EXP(-LN(2)/25))/(LN(2)/25)*Calculateur!BL172*Calculateur!BN172*VLOOKUP('Données projet'!$B$11,Paramètres!$A$1:$I$89,3,0)*0.475*44/12</f>
        <v>26.020579462798743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150.7100112340608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350.25444539178324</v>
      </c>
      <c r="T173" s="59">
        <f t="shared" si="142"/>
        <v>421.51176105448474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27.419294628057841</v>
      </c>
      <c r="AA173" s="21">
        <f>EXP(-LN(2)/25)*AA172+(1-EXP(-LN(2)/25))/(LN(2)/25)*Calculateur!V173*Calculateur!X173*VLOOKUP('Données projet'!$B$9,Paramètres!$A$1:$I$89,3,0)*0.475*44/12</f>
        <v>2.7798237330445237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30.199118361102364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-9.0949470177292824E-13</v>
      </c>
      <c r="AJ173" s="13">
        <f>AI173*VLOOKUP('Données projet'!$B$10,Paramètres!$A$1:$I$89,3,0)*VLOOKUP('Données projet'!$B$10,Paramètres!$A$1:$I$89,5,0)</f>
        <v>-4.492903826758266E-13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350.14981500723491</v>
      </c>
      <c r="AO173" s="59">
        <f t="shared" si="144"/>
        <v>270.58548917514111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47.97102425581167</v>
      </c>
      <c r="AV173" s="21">
        <f>EXP(-LN(2)/25)*AV172+(1-EXP(-LN(2)/25))/(LN(2)/25)*Calculateur!AQ173*Calculateur!AS173*VLOOKUP('Données projet'!$B$10,Paramètres!$A$1:$I$89,3,0)*0.475*44/12</f>
        <v>5.6248008885579193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53.595825144369591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-1.9508661353029313E-13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359.99244410291516</v>
      </c>
      <c r="BJ173" s="59">
        <f t="shared" si="146"/>
        <v>143.73379124174278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122.24434806727137</v>
      </c>
      <c r="BQ173" s="21">
        <f>EXP(-LN(2)/25)*BQ172+(1-EXP(-LN(2)/25))/(LN(2)/25)*Calculateur!BL173*Calculateur!BN173*VLOOKUP('Données projet'!$B$11,Paramètres!$A$1:$I$89,3,0)*0.475*44/12</f>
        <v>25.309045349025709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147.55339341629707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350.25444539178324</v>
      </c>
      <c r="T174" s="59">
        <f t="shared" si="142"/>
        <v>421.51176105448474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26.881618984519982</v>
      </c>
      <c r="AA174" s="21">
        <f>EXP(-LN(2)/25)*AA173+(1-EXP(-LN(2)/25))/(LN(2)/25)*Calculateur!V174*Calculateur!X174*VLOOKUP('Données projet'!$B$9,Paramètres!$A$1:$I$89,3,0)*0.475*44/12</f>
        <v>2.7038093068798443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29.585428291399825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-9.0949470177292824E-13</v>
      </c>
      <c r="AJ174" s="13">
        <f>AI174*VLOOKUP('Données projet'!$B$10,Paramètres!$A$1:$I$89,3,0)*VLOOKUP('Données projet'!$B$10,Paramètres!$A$1:$I$89,5,0)</f>
        <v>-4.492903826758266E-13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350.14981500723491</v>
      </c>
      <c r="AO174" s="59">
        <f t="shared" si="144"/>
        <v>270.58548917514111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47.030341729590873</v>
      </c>
      <c r="AV174" s="21">
        <f>EXP(-LN(2)/25)*AV173+(1-EXP(-LN(2)/25))/(LN(2)/25)*Calculateur!AQ174*Calculateur!AS174*VLOOKUP('Données projet'!$B$10,Paramètres!$A$1:$I$89,3,0)*0.475*44/12</f>
        <v>5.4709904124648796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52.501332142055752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-1.9508661353029313E-13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359.99244410291516</v>
      </c>
      <c r="BJ174" s="59">
        <f t="shared" si="146"/>
        <v>143.73379124174278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119.84721096336214</v>
      </c>
      <c r="BQ174" s="21">
        <f>EXP(-LN(2)/25)*BQ173+(1-EXP(-LN(2)/25))/(LN(2)/25)*Calculateur!BL174*Calculateur!BN174*VLOOKUP('Données projet'!$B$11,Paramètres!$A$1:$I$89,3,0)*0.475*44/12</f>
        <v>24.616968173011752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144.4641791363739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350.25444539178324</v>
      </c>
      <c r="T175" s="59">
        <f t="shared" si="142"/>
        <v>421.51176105448474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26.354486832402138</v>
      </c>
      <c r="AA175" s="21">
        <f>EXP(-LN(2)/25)*AA174+(1-EXP(-LN(2)/25))/(LN(2)/25)*Calculateur!V175*Calculateur!X175*VLOOKUP('Données projet'!$B$9,Paramètres!$A$1:$I$89,3,0)*0.475*44/12</f>
        <v>2.6298734991960631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28.9843603315982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-9.0949470177292824E-13</v>
      </c>
      <c r="AJ175" s="13">
        <f>AI175*VLOOKUP('Données projet'!$B$10,Paramètres!$A$1:$I$89,3,0)*VLOOKUP('Données projet'!$B$10,Paramètres!$A$1:$I$89,5,0)</f>
        <v>-4.492903826758266E-13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350.14981500723491</v>
      </c>
      <c r="AO175" s="59">
        <f t="shared" si="144"/>
        <v>270.58548917514111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46.108105413949573</v>
      </c>
      <c r="AV175" s="21">
        <f>EXP(-LN(2)/25)*AV174+(1-EXP(-LN(2)/25))/(LN(2)/25)*Calculateur!AQ175*Calculateur!AS175*VLOOKUP('Données projet'!$B$10,Paramètres!$A$1:$I$89,3,0)*0.475*44/12</f>
        <v>5.3213858919291459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51.42949130587872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-1.9508661353029313E-13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359.99244410291516</v>
      </c>
      <c r="BJ175" s="59">
        <f t="shared" si="146"/>
        <v>143.73379124174278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117.49708025595132</v>
      </c>
      <c r="BQ175" s="21">
        <f>EXP(-LN(2)/25)*BQ174+(1-EXP(-LN(2)/25))/(LN(2)/25)*Calculateur!BL175*Calculateur!BN175*VLOOKUP('Données projet'!$B$11,Paramètres!$A$1:$I$89,3,0)*0.475*44/12</f>
        <v>23.943815883770654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141.44089613972199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350.25444539178324</v>
      </c>
      <c r="T176" s="59">
        <f t="shared" si="142"/>
        <v>421.51176105448474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25.83769142026846</v>
      </c>
      <c r="AA176" s="21">
        <f>EXP(-LN(2)/25)*AA175+(1-EXP(-LN(2)/25))/(LN(2)/25)*Calculateur!V176*Calculateur!X176*VLOOKUP('Données projet'!$B$9,Paramètres!$A$1:$I$89,3,0)*0.475*44/12</f>
        <v>2.55795947006151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28.395650890329968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-9.0949470177292824E-13</v>
      </c>
      <c r="AJ176" s="13">
        <f>AI176*VLOOKUP('Données projet'!$B$10,Paramètres!$A$1:$I$89,3,0)*VLOOKUP('Données projet'!$B$10,Paramètres!$A$1:$I$89,5,0)</f>
        <v>-4.492903826758266E-13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350.14981500723491</v>
      </c>
      <c r="AO176" s="59">
        <f t="shared" si="144"/>
        <v>270.58548917514111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45.203953589949393</v>
      </c>
      <c r="AV176" s="21">
        <f>EXP(-LN(2)/25)*AV175+(1-EXP(-LN(2)/25))/(LN(2)/25)*Calculateur!AQ176*Calculateur!AS176*VLOOKUP('Données projet'!$B$10,Paramètres!$A$1:$I$89,3,0)*0.475*44/12</f>
        <v>5.1758723148748214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50.379825904824216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-1.9508661353029313E-13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359.99244410291516</v>
      </c>
      <c r="BJ176" s="59">
        <f t="shared" si="146"/>
        <v>143.73379124174278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115.19303417827463</v>
      </c>
      <c r="BQ176" s="21">
        <f>EXP(-LN(2)/25)*BQ175+(1-EXP(-LN(2)/25))/(LN(2)/25)*Calculateur!BL176*Calculateur!BN176*VLOOKUP('Données projet'!$B$11,Paramètres!$A$1:$I$89,3,0)*0.475*44/12</f>
        <v>23.289070979278392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138.48210515755301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350.25444539178324</v>
      </c>
      <c r="T177" s="59">
        <f t="shared" si="142"/>
        <v>421.51176105448474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25.331030050952645</v>
      </c>
      <c r="AA177" s="21">
        <f>EXP(-LN(2)/25)*AA176+(1-EXP(-LN(2)/25))/(LN(2)/25)*Calculateur!V177*Calculateur!X177*VLOOKUP('Données projet'!$B$9,Paramètres!$A$1:$I$89,3,0)*0.475*44/12</f>
        <v>2.4880119338354358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27.819041984788079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-9.0949470177292824E-13</v>
      </c>
      <c r="AJ177" s="13">
        <f>AI177*VLOOKUP('Données projet'!$B$10,Paramètres!$A$1:$I$89,3,0)*VLOOKUP('Données projet'!$B$10,Paramètres!$A$1:$I$89,5,0)</f>
        <v>-4.492903826758266E-13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350.14981500723491</v>
      </c>
      <c r="AO177" s="59">
        <f t="shared" si="144"/>
        <v>270.58548917514111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44.317531631739698</v>
      </c>
      <c r="AV177" s="21">
        <f>EXP(-LN(2)/25)*AV176+(1-EXP(-LN(2)/25))/(LN(2)/25)*Calculateur!AQ177*Calculateur!AS177*VLOOKUP('Données projet'!$B$10,Paramètres!$A$1:$I$89,3,0)*0.475*44/12</f>
        <v>5.0343378142372739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49.351869445976973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-1.9508661353029313E-13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359.99244410291516</v>
      </c>
      <c r="BJ177" s="59">
        <f t="shared" si="146"/>
        <v>143.73379124174278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112.93416903885183</v>
      </c>
      <c r="BQ177" s="21">
        <f>EXP(-LN(2)/25)*BQ176+(1-EXP(-LN(2)/25))/(LN(2)/25)*Calculateur!BL177*Calculateur!BN177*VLOOKUP('Données projet'!$B$11,Paramètres!$A$1:$I$89,3,0)*0.475*44/12</f>
        <v>22.652230108631009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135.58639914748284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350.25444539178324</v>
      </c>
      <c r="T178" s="59">
        <f t="shared" si="142"/>
        <v>421.51176105448474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24.834304002056193</v>
      </c>
      <c r="AA178" s="21">
        <f>EXP(-LN(2)/25)*AA177+(1-EXP(-LN(2)/25))/(LN(2)/25)*Calculateur!V178*Calculateur!X178*VLOOKUP('Données projet'!$B$9,Paramètres!$A$1:$I$89,3,0)*0.475*44/12</f>
        <v>2.4199771166658448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27.254281118722037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-9.0949470177292824E-13</v>
      </c>
      <c r="AJ178" s="13">
        <f>AI178*VLOOKUP('Données projet'!$B$10,Paramètres!$A$1:$I$89,3,0)*VLOOKUP('Données projet'!$B$10,Paramètres!$A$1:$I$89,5,0)</f>
        <v>-4.492903826758266E-13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350.14981500723491</v>
      </c>
      <c r="AO178" s="59">
        <f t="shared" si="144"/>
        <v>270.58548917514111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43.448491867466487</v>
      </c>
      <c r="AV178" s="21">
        <f>EXP(-LN(2)/25)*AV177+(1-EXP(-LN(2)/25))/(LN(2)/25)*Calculateur!AQ178*Calculateur!AS178*VLOOKUP('Données projet'!$B$10,Paramètres!$A$1:$I$89,3,0)*0.475*44/12</f>
        <v>4.8966735819626361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48.345165449429125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-1.9508661353029313E-13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359.99244410291516</v>
      </c>
      <c r="BJ178" s="59">
        <f t="shared" si="146"/>
        <v>143.73379124174278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110.71959886704143</v>
      </c>
      <c r="BQ178" s="21">
        <f>EXP(-LN(2)/25)*BQ177+(1-EXP(-LN(2)/25))/(LN(2)/25)*Calculateur!BL178*Calculateur!BN178*VLOOKUP('Données projet'!$B$11,Paramètres!$A$1:$I$89,3,0)*0.475*44/12</f>
        <v>22.032803685081486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132.7524025521229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350.25444539178324</v>
      </c>
      <c r="T179" s="59">
        <f t="shared" si="142"/>
        <v>421.51176105448474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24.347318448005627</v>
      </c>
      <c r="AA179" s="21">
        <f>EXP(-LN(2)/25)*AA178+(1-EXP(-LN(2)/25))/(LN(2)/25)*Calculateur!V179*Calculateur!X179*VLOOKUP('Données projet'!$B$9,Paramètres!$A$1:$I$89,3,0)*0.475*44/12</f>
        <v>2.3538027151495515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26.701121163155179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-9.0949470177292824E-13</v>
      </c>
      <c r="AJ179" s="13">
        <f>AI179*VLOOKUP('Données projet'!$B$10,Paramètres!$A$1:$I$89,3,0)*VLOOKUP('Données projet'!$B$10,Paramètres!$A$1:$I$89,5,0)</f>
        <v>-4.492903826758266E-13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350.14981500723491</v>
      </c>
      <c r="AO179" s="59">
        <f t="shared" si="144"/>
        <v>270.58548917514111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42.596493442908752</v>
      </c>
      <c r="AV179" s="21">
        <f>EXP(-LN(2)/25)*AV178+(1-EXP(-LN(2)/25))/(LN(2)/25)*Calculateur!AQ179*Calculateur!AS179*VLOOKUP('Données projet'!$B$10,Paramètres!$A$1:$I$89,3,0)*0.475*44/12</f>
        <v>4.7627737853589958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47.359267228267747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-1.9508661353029313E-13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359.99244410291516</v>
      </c>
      <c r="BJ179" s="59">
        <f t="shared" si="146"/>
        <v>143.73379124174278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108.5484550655458</v>
      </c>
      <c r="BQ179" s="21">
        <f>EXP(-LN(2)/25)*BQ178+(1-EXP(-LN(2)/25))/(LN(2)/25)*Calculateur!BL179*Calculateur!BN179*VLOOKUP('Données projet'!$B$11,Paramètres!$A$1:$I$89,3,0)*0.475*44/12</f>
        <v>21.430315509658143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129.97877057520395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350.25444539178324</v>
      </c>
      <c r="T180" s="59">
        <f t="shared" si="142"/>
        <v>421.51176105448474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23.869882383638135</v>
      </c>
      <c r="AA180" s="21">
        <f>EXP(-LN(2)/25)*AA179+(1-EXP(-LN(2)/25))/(LN(2)/25)*Calculateur!V180*Calculateur!X180*VLOOKUP('Données projet'!$B$9,Paramètres!$A$1:$I$89,3,0)*0.475*44/12</f>
        <v>2.289437856122682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26.159320239760817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-9.0949470177292824E-13</v>
      </c>
      <c r="AJ180" s="13">
        <f>AI180*VLOOKUP('Données projet'!$B$10,Paramètres!$A$1:$I$89,3,0)*VLOOKUP('Données projet'!$B$10,Paramètres!$A$1:$I$89,5,0)</f>
        <v>-4.492903826758266E-13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350.14981500723491</v>
      </c>
      <c r="AO180" s="59">
        <f t="shared" si="144"/>
        <v>270.58548917514111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41.761202187788875</v>
      </c>
      <c r="AV180" s="21">
        <f>EXP(-LN(2)/25)*AV179+(1-EXP(-LN(2)/25))/(LN(2)/25)*Calculateur!AQ180*Calculateur!AS180*VLOOKUP('Données projet'!$B$10,Paramètres!$A$1:$I$89,3,0)*0.475*44/12</f>
        <v>4.6325354857349659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46.393737673523844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-1.9508661353029313E-13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359.99244410291516</v>
      </c>
      <c r="BJ180" s="59">
        <f t="shared" si="146"/>
        <v>143.73379124174278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106.41988606973054</v>
      </c>
      <c r="BQ180" s="21">
        <f>EXP(-LN(2)/25)*BQ179+(1-EXP(-LN(2)/25))/(LN(2)/25)*Calculateur!BL180*Calculateur!BN180*VLOOKUP('Données projet'!$B$11,Paramètres!$A$1:$I$89,3,0)*0.475*44/12</f>
        <v>20.844302405075229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127.26418847480576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350.25444539178324</v>
      </c>
      <c r="T181" s="59">
        <f t="shared" si="142"/>
        <v>421.51176105448474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23.401808549285644</v>
      </c>
      <c r="AA181" s="21">
        <f>EXP(-LN(2)/25)*AA180+(1-EXP(-LN(2)/25))/(LN(2)/25)*Calculateur!V181*Calculateur!X181*VLOOKUP('Données projet'!$B$9,Paramètres!$A$1:$I$89,3,0)*0.475*44/12</f>
        <v>2.2268330575507029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25.628641606836347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-9.0949470177292824E-13</v>
      </c>
      <c r="AJ181" s="13">
        <f>AI181*VLOOKUP('Données projet'!$B$10,Paramètres!$A$1:$I$89,3,0)*VLOOKUP('Données projet'!$B$10,Paramètres!$A$1:$I$89,5,0)</f>
        <v>-4.492903826758266E-13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350.14981500723491</v>
      </c>
      <c r="AO181" s="59">
        <f t="shared" si="144"/>
        <v>270.58548917514111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40.942290484704536</v>
      </c>
      <c r="AV181" s="21">
        <f>EXP(-LN(2)/25)*AV180+(1-EXP(-LN(2)/25))/(LN(2)/25)*Calculateur!AQ181*Calculateur!AS181*VLOOKUP('Données projet'!$B$10,Paramètres!$A$1:$I$89,3,0)*0.475*44/12</f>
        <v>4.50585855926309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45.448149043967625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-1.9508661353029313E-13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359.99244410291516</v>
      </c>
      <c r="BJ181" s="59">
        <f t="shared" si="146"/>
        <v>143.73379124174278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104.33305701362433</v>
      </c>
      <c r="BQ181" s="21">
        <f>EXP(-LN(2)/25)*BQ180+(1-EXP(-LN(2)/25))/(LN(2)/25)*Calculateur!BL181*Calculateur!BN181*VLOOKUP('Données projet'!$B$11,Paramètres!$A$1:$I$89,3,0)*0.475*44/12</f>
        <v>20.274313859654225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124.60737087327855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350.25444539178324</v>
      </c>
      <c r="T182" s="59">
        <f t="shared" si="142"/>
        <v>421.51176105448474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22.942913357327956</v>
      </c>
      <c r="AA182" s="21">
        <f>EXP(-LN(2)/25)*AA181+(1-EXP(-LN(2)/25))/(LN(2)/25)*Calculateur!V182*Calculateur!X182*VLOOKUP('Données projet'!$B$9,Paramètres!$A$1:$I$89,3,0)*0.475*44/12</f>
        <v>2.1659401904879179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25.108853547815876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-9.0949470177292824E-13</v>
      </c>
      <c r="AJ182" s="13">
        <f>AI182*VLOOKUP('Données projet'!$B$10,Paramètres!$A$1:$I$89,3,0)*VLOOKUP('Données projet'!$B$10,Paramètres!$A$1:$I$89,5,0)</f>
        <v>-4.492903826758266E-13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350.14981500723491</v>
      </c>
      <c r="AO182" s="59">
        <f t="shared" si="144"/>
        <v>270.58548917514111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40.139437140630861</v>
      </c>
      <c r="AV182" s="21">
        <f>EXP(-LN(2)/25)*AV181+(1-EXP(-LN(2)/25))/(LN(2)/25)*Calculateur!AQ182*Calculateur!AS182*VLOOKUP('Données projet'!$B$10,Paramètres!$A$1:$I$89,3,0)*0.475*44/12</f>
        <v>4.3826456200072377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44.522082760638099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-1.9508661353029313E-13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359.99244410291516</v>
      </c>
      <c r="BJ182" s="59">
        <f t="shared" si="146"/>
        <v>143.73379124174278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102.28714940246832</v>
      </c>
      <c r="BQ182" s="21">
        <f>EXP(-LN(2)/25)*BQ181+(1-EXP(-LN(2)/25))/(LN(2)/25)*Calculateur!BL182*Calculateur!BN182*VLOOKUP('Données projet'!$B$11,Paramètres!$A$1:$I$89,3,0)*0.475*44/12</f>
        <v>19.71991168098215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122.00706108345047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350.25444539178324</v>
      </c>
      <c r="T183" s="59">
        <f t="shared" si="142"/>
        <v>421.51176105448474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22.493016820186131</v>
      </c>
      <c r="AA183" s="21">
        <f>EXP(-LN(2)/25)*AA182+(1-EXP(-LN(2)/25))/(LN(2)/25)*Calculateur!V183*Calculateur!X183*VLOOKUP('Données projet'!$B$9,Paramètres!$A$1:$I$89,3,0)*0.475*44/12</f>
        <v>2.1067124420771814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24.599729262263313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-9.0949470177292824E-13</v>
      </c>
      <c r="AJ183" s="13">
        <f>AI183*VLOOKUP('Données projet'!$B$10,Paramètres!$A$1:$I$89,3,0)*VLOOKUP('Données projet'!$B$10,Paramètres!$A$1:$I$89,5,0)</f>
        <v>-4.492903826758266E-13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350.14981500723491</v>
      </c>
      <c r="AO183" s="59">
        <f t="shared" si="144"/>
        <v>270.58548917514111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39.352327260942289</v>
      </c>
      <c r="AV183" s="21">
        <f>EXP(-LN(2)/25)*AV182+(1-EXP(-LN(2)/25))/(LN(2)/25)*Calculateur!AQ183*Calculateur!AS183*VLOOKUP('Données projet'!$B$10,Paramètres!$A$1:$I$89,3,0)*0.475*44/12</f>
        <v>4.2628019450548233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43.615129205997114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-1.9508661353029313E-13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359.99244410291516</v>
      </c>
      <c r="BJ183" s="59">
        <f t="shared" si="146"/>
        <v>143.73379124174278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100.28136079168665</v>
      </c>
      <c r="BQ183" s="21">
        <f>EXP(-LN(2)/25)*BQ182+(1-EXP(-LN(2)/25))/(LN(2)/25)*Calculateur!BL183*Calculateur!BN183*VLOOKUP('Données projet'!$B$11,Paramètres!$A$1:$I$89,3,0)*0.475*44/12</f>
        <v>19.180669659040607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119.46203045072726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350.25444539178324</v>
      </c>
      <c r="T184" s="59">
        <f t="shared" si="142"/>
        <v>421.51176105448474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22.051942479727863</v>
      </c>
      <c r="AA184" s="21">
        <f>EXP(-LN(2)/25)*AA183+(1-EXP(-LN(2)/25))/(LN(2)/25)*Calculateur!V184*Calculateur!X184*VLOOKUP('Données projet'!$B$9,Paramètres!$A$1:$I$89,3,0)*0.475*44/12</f>
        <v>2.0491042795613885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24.10104675928925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-9.0949470177292824E-13</v>
      </c>
      <c r="AJ184" s="13">
        <f>AI184*VLOOKUP('Données projet'!$B$10,Paramètres!$A$1:$I$89,3,0)*VLOOKUP('Données projet'!$B$10,Paramètres!$A$1:$I$89,5,0)</f>
        <v>-4.492903826758266E-13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350.14981500723491</v>
      </c>
      <c r="AO184" s="59">
        <f t="shared" si="144"/>
        <v>270.58548917514111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38.580652125904784</v>
      </c>
      <c r="AV184" s="21">
        <f>EXP(-LN(2)/25)*AV183+(1-EXP(-LN(2)/25))/(LN(2)/25)*Calculateur!AQ184*Calculateur!AS184*VLOOKUP('Données projet'!$B$10,Paramètres!$A$1:$I$89,3,0)*0.475*44/12</f>
        <v>4.1462354016962877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42.726887527601072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-1.9508661353029313E-13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359.99244410291516</v>
      </c>
      <c r="BJ184" s="59">
        <f t="shared" si="146"/>
        <v>143.73379124174278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98.314904472152165</v>
      </c>
      <c r="BQ184" s="21">
        <f>EXP(-LN(2)/25)*BQ183+(1-EXP(-LN(2)/25))/(LN(2)/25)*Calculateur!BL184*Calculateur!BN184*VLOOKUP('Données projet'!$B$11,Paramètres!$A$1:$I$89,3,0)*0.475*44/12</f>
        <v>18.656173238546561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116.97107771069872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350.25444539178324</v>
      </c>
      <c r="T185" s="59">
        <f t="shared" si="142"/>
        <v>421.51176105448474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21.6195173380572</v>
      </c>
      <c r="AA185" s="21">
        <f>EXP(-LN(2)/25)*AA184+(1-EXP(-LN(2)/25))/(LN(2)/25)*Calculateur!V185*Calculateur!X185*VLOOKUP('Données projet'!$B$9,Paramètres!$A$1:$I$89,3,0)*0.475*44/12</f>
        <v>1.9930714152790716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23.612588753336272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-9.0949470177292824E-13</v>
      </c>
      <c r="AJ185" s="13">
        <f>AI185*VLOOKUP('Données projet'!$B$10,Paramètres!$A$1:$I$89,3,0)*VLOOKUP('Données projet'!$B$10,Paramètres!$A$1:$I$89,5,0)</f>
        <v>-4.492903826758266E-13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350.14981500723491</v>
      </c>
      <c r="AO185" s="59">
        <f t="shared" si="144"/>
        <v>270.58548917514111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37.824109069590008</v>
      </c>
      <c r="AV185" s="21">
        <f>EXP(-LN(2)/25)*AV184+(1-EXP(-LN(2)/25))/(LN(2)/25)*Calculateur!AQ185*Calculateur!AS185*VLOOKUP('Données projet'!$B$10,Paramètres!$A$1:$I$89,3,0)*0.475*44/12</f>
        <v>4.0328563765958592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41.856965446185868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-1.9508661353029313E-13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359.99244410291516</v>
      </c>
      <c r="BJ185" s="59">
        <f t="shared" si="146"/>
        <v>143.73379124174278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96.387009161623823</v>
      </c>
      <c r="BQ185" s="21">
        <f>EXP(-LN(2)/25)*BQ184+(1-EXP(-LN(2)/25))/(LN(2)/25)*Calculateur!BL185*Calculateur!BN185*VLOOKUP('Données projet'!$B$11,Paramètres!$A$1:$I$89,3,0)*0.475*44/12</f>
        <v>18.146019200252994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114.53302836187682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350.25444539178324</v>
      </c>
      <c r="T186" s="59">
        <f t="shared" si="142"/>
        <v>421.51176105448474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21.195571789661404</v>
      </c>
      <c r="AA186" s="21">
        <f>EXP(-LN(2)/25)*AA185+(1-EXP(-LN(2)/25))/(LN(2)/25)*Calculateur!V186*Calculateur!X186*VLOOKUP('Données projet'!$B$9,Paramètres!$A$1:$I$89,3,0)*0.475*44/12</f>
        <v>1.9385707726171948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23.134142562278598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-9.0949470177292824E-13</v>
      </c>
      <c r="AJ186" s="13">
        <f>AI186*VLOOKUP('Données projet'!$B$10,Paramètres!$A$1:$I$89,3,0)*VLOOKUP('Données projet'!$B$10,Paramètres!$A$1:$I$89,5,0)</f>
        <v>-4.492903826758266E-13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350.14981500723491</v>
      </c>
      <c r="AO186" s="59">
        <f t="shared" si="144"/>
        <v>270.58548917514111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37.082401361163868</v>
      </c>
      <c r="AV186" s="21">
        <f>EXP(-LN(2)/25)*AV185+(1-EXP(-LN(2)/25))/(LN(2)/25)*Calculateur!AQ186*Calculateur!AS186*VLOOKUP('Données projet'!$B$10,Paramètres!$A$1:$I$89,3,0)*0.475*44/12</f>
        <v>3.9225777068991459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41.004979068063015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-1.9508661353029313E-13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359.99244410291516</v>
      </c>
      <c r="BJ186" s="59">
        <f t="shared" si="146"/>
        <v>143.73379124174278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94.496918702234908</v>
      </c>
      <c r="BQ186" s="21">
        <f>EXP(-LN(2)/25)*BQ185+(1-EXP(-LN(2)/25))/(LN(2)/25)*Calculateur!BL186*Calculateur!BN186*VLOOKUP('Données projet'!$B$11,Paramètres!$A$1:$I$89,3,0)*0.475*44/12</f>
        <v>17.649815350964399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112.14673405319931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350.25444539178324</v>
      </c>
      <c r="T187" s="59">
        <f t="shared" si="142"/>
        <v>421.51176105448474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20.779939554888401</v>
      </c>
      <c r="AA187" s="21">
        <f>EXP(-LN(2)/25)*AA186+(1-EXP(-LN(2)/25))/(LN(2)/25)*Calculateur!V187*Calculateur!X187*VLOOKUP('Données projet'!$B$9,Paramètres!$A$1:$I$89,3,0)*0.475*44/12</f>
        <v>1.8855604528949714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22.665500007783372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-9.0949470177292824E-13</v>
      </c>
      <c r="AJ187" s="13">
        <f>AI187*VLOOKUP('Données projet'!$B$10,Paramètres!$A$1:$I$89,3,0)*VLOOKUP('Données projet'!$B$10,Paramètres!$A$1:$I$89,5,0)</f>
        <v>-4.492903826758266E-13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350.14981500723491</v>
      </c>
      <c r="AO187" s="59">
        <f t="shared" si="144"/>
        <v>270.58548917514111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36.355238088502929</v>
      </c>
      <c r="AV187" s="21">
        <f>EXP(-LN(2)/25)*AV186+(1-EXP(-LN(2)/25))/(LN(2)/25)*Calculateur!AQ187*Calculateur!AS187*VLOOKUP('Données projet'!$B$10,Paramètres!$A$1:$I$89,3,0)*0.475*44/12</f>
        <v>3.8153146132245923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40.170552701727523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-1.9508661353029313E-13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359.99244410291516</v>
      </c>
      <c r="BJ187" s="59">
        <f t="shared" si="146"/>
        <v>143.73379124174278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92.64389176391326</v>
      </c>
      <c r="BQ187" s="21">
        <f>EXP(-LN(2)/25)*BQ186+(1-EXP(-LN(2)/25))/(LN(2)/25)*Calculateur!BL187*Calculateur!BN187*VLOOKUP('Données projet'!$B$11,Paramètres!$A$1:$I$89,3,0)*0.475*44/12</f>
        <v>17.167180222028829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109.81107198594209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350.25444539178324</v>
      </c>
      <c r="T188" s="59">
        <f t="shared" si="142"/>
        <v>421.51176105448474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20.372457614728663</v>
      </c>
      <c r="AA188" s="21">
        <f>EXP(-LN(2)/25)*AA187+(1-EXP(-LN(2)/25))/(LN(2)/25)*Calculateur!V188*Calculateur!X188*VLOOKUP('Données projet'!$B$9,Paramètres!$A$1:$I$89,3,0)*0.475*44/12</f>
        <v>1.8339997031532438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22.206457317881906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-9.0949470177292824E-13</v>
      </c>
      <c r="AJ188" s="13">
        <f>AI188*VLOOKUP('Données projet'!$B$10,Paramètres!$A$1:$I$89,3,0)*VLOOKUP('Données projet'!$B$10,Paramètres!$A$1:$I$89,5,0)</f>
        <v>-4.492903826758266E-13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350.14981500723491</v>
      </c>
      <c r="AO188" s="59">
        <f t="shared" si="144"/>
        <v>270.58548917514111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35.642334044093069</v>
      </c>
      <c r="AV188" s="21">
        <f>EXP(-LN(2)/25)*AV187+(1-EXP(-LN(2)/25))/(LN(2)/25)*Calculateur!AQ188*Calculateur!AS188*VLOOKUP('Données projet'!$B$10,Paramètres!$A$1:$I$89,3,0)*0.475*44/12</f>
        <v>3.7109846344872905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39.353318678580358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-1.9508661353029313E-13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359.99244410291516</v>
      </c>
      <c r="BJ188" s="59">
        <f t="shared" si="146"/>
        <v>143.73379124174278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90.827201553617272</v>
      </c>
      <c r="BQ188" s="21">
        <f>EXP(-LN(2)/25)*BQ187+(1-EXP(-LN(2)/25))/(LN(2)/25)*Calculateur!BL188*Calculateur!BN188*VLOOKUP('Données projet'!$B$11,Paramètres!$A$1:$I$89,3,0)*0.475*44/12</f>
        <v>16.69774277607468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107.52494432969195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350.25444539178324</v>
      </c>
      <c r="T189" s="59">
        <f t="shared" si="142"/>
        <v>421.51176105448474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19.972966146876015</v>
      </c>
      <c r="AA189" s="21">
        <f>EXP(-LN(2)/25)*AA188+(1-EXP(-LN(2)/25))/(LN(2)/25)*Calculateur!V189*Calculateur!X189*VLOOKUP('Données projet'!$B$9,Paramètres!$A$1:$I$89,3,0)*0.475*44/12</f>
        <v>1.7838488848246656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21.756815031700679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-9.0949470177292824E-13</v>
      </c>
      <c r="AJ189" s="13">
        <f>AI189*VLOOKUP('Données projet'!$B$10,Paramètres!$A$1:$I$89,3,0)*VLOOKUP('Données projet'!$B$10,Paramètres!$A$1:$I$89,5,0)</f>
        <v>-4.492903826758266E-13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350.14981500723491</v>
      </c>
      <c r="AO189" s="59">
        <f t="shared" si="144"/>
        <v>270.58548917514111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34.943409613165556</v>
      </c>
      <c r="AV189" s="21">
        <f>EXP(-LN(2)/25)*AV188+(1-EXP(-LN(2)/25))/(LN(2)/25)*Calculateur!AQ189*Calculateur!AS189*VLOOKUP('Données projet'!$B$10,Paramètres!$A$1:$I$89,3,0)*0.475*44/12</f>
        <v>3.6095075645050354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38.552917177670594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-1.9508661353029313E-13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359.99244410291516</v>
      </c>
      <c r="BJ189" s="59">
        <f t="shared" si="146"/>
        <v>143.73379124174278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89.046135530273574</v>
      </c>
      <c r="BQ189" s="21">
        <f>EXP(-LN(2)/25)*BQ188+(1-EXP(-LN(2)/25))/(LN(2)/25)*Calculateur!BL189*Calculateur!BN189*VLOOKUP('Données projet'!$B$11,Paramètres!$A$1:$I$89,3,0)*0.475*44/12</f>
        <v>16.241142121766789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105.28727765204036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350.25444539178324</v>
      </c>
      <c r="T190" s="59">
        <f t="shared" si="142"/>
        <v>421.51176105448474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19.581308463042223</v>
      </c>
      <c r="AA190" s="21">
        <f>EXP(-LN(2)/25)*AA189+(1-EXP(-LN(2)/25))/(LN(2)/25)*Calculateur!V190*Calculateur!X190*VLOOKUP('Données projet'!$B$9,Paramètres!$A$1:$I$89,3,0)*0.475*44/12</f>
        <v>1.7350694432605993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21.316377906302822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-9.0949470177292824E-13</v>
      </c>
      <c r="AJ190" s="13">
        <f>AI190*VLOOKUP('Données projet'!$B$10,Paramètres!$A$1:$I$89,3,0)*VLOOKUP('Données projet'!$B$10,Paramètres!$A$1:$I$89,5,0)</f>
        <v>-4.492903826758266E-13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350.14981500723491</v>
      </c>
      <c r="AO190" s="59">
        <f t="shared" si="144"/>
        <v>270.58548917514111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34.258190664026721</v>
      </c>
      <c r="AV190" s="21">
        <f>EXP(-LN(2)/25)*AV189+(1-EXP(-LN(2)/25))/(LN(2)/25)*Calculateur!AQ190*Calculateur!AS190*VLOOKUP('Données projet'!$B$10,Paramètres!$A$1:$I$89,3,0)*0.475*44/12</f>
        <v>3.5108053903378922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37.768996054364614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-1.9508661353029313E-13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359.99244410291516</v>
      </c>
      <c r="BJ190" s="59">
        <f t="shared" si="146"/>
        <v>143.73379124174278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87.299995125304648</v>
      </c>
      <c r="BQ190" s="21">
        <f>EXP(-LN(2)/25)*BQ189+(1-EXP(-LN(2)/25))/(LN(2)/25)*Calculateur!BL190*Calculateur!BN190*VLOOKUP('Données projet'!$B$11,Paramètres!$A$1:$I$89,3,0)*0.475*44/12</f>
        <v>15.797027236362531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103.09702236166717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350.25444539178324</v>
      </c>
      <c r="T191" s="59">
        <f t="shared" si="142"/>
        <v>421.51176105448474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19.197330947500813</v>
      </c>
      <c r="AA191" s="21">
        <f>EXP(-LN(2)/25)*AA190+(1-EXP(-LN(2)/25))/(LN(2)/25)*Calculateur!V191*Calculateur!X191*VLOOKUP('Données projet'!$B$9,Paramètres!$A$1:$I$89,3,0)*0.475*44/12</f>
        <v>1.6876238780913018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20.884954825592114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-9.0949470177292824E-13</v>
      </c>
      <c r="AJ191" s="13">
        <f>AI191*VLOOKUP('Données projet'!$B$10,Paramètres!$A$1:$I$89,3,0)*VLOOKUP('Données projet'!$B$10,Paramètres!$A$1:$I$89,5,0)</f>
        <v>-4.492903826758266E-13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350.14981500723491</v>
      </c>
      <c r="AO191" s="59">
        <f t="shared" si="144"/>
        <v>270.58548917514111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33.586408440538207</v>
      </c>
      <c r="AV191" s="21">
        <f>EXP(-LN(2)/25)*AV190+(1-EXP(-LN(2)/25))/(LN(2)/25)*Calculateur!AQ191*Calculateur!AS191*VLOOKUP('Données projet'!$B$10,Paramètres!$A$1:$I$89,3,0)*0.475*44/12</f>
        <v>3.4148022323138711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37.001210672852082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-1.9508661353029313E-13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359.99244410291516</v>
      </c>
      <c r="BJ191" s="59">
        <f t="shared" si="146"/>
        <v>143.73379124174278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85.588095468636666</v>
      </c>
      <c r="BQ191" s="21">
        <f>EXP(-LN(2)/25)*BQ190+(1-EXP(-LN(2)/25))/(LN(2)/25)*Calculateur!BL191*Calculateur!BN191*VLOOKUP('Données projet'!$B$11,Paramètres!$A$1:$I$89,3,0)*0.475*44/12</f>
        <v>15.365056695854641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100.95315216449131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350.25444539178324</v>
      </c>
      <c r="T192" s="59">
        <f t="shared" si="142"/>
        <v>421.51176105448474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18.820882996836012</v>
      </c>
      <c r="AA192" s="21">
        <f>EXP(-LN(2)/25)*AA191+(1-EXP(-LN(2)/25))/(LN(2)/25)*Calculateur!V192*Calculateur!X192*VLOOKUP('Données projet'!$B$9,Paramètres!$A$1:$I$89,3,0)*0.475*44/12</f>
        <v>1.6414757143966126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20.462358711232625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-9.0949470177292824E-13</v>
      </c>
      <c r="AJ192" s="13">
        <f>AI192*VLOOKUP('Données projet'!$B$10,Paramètres!$A$1:$I$89,3,0)*VLOOKUP('Données projet'!$B$10,Paramètres!$A$1:$I$89,5,0)</f>
        <v>-4.492903826758266E-13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350.14981500723491</v>
      </c>
      <c r="AO192" s="59">
        <f t="shared" si="144"/>
        <v>270.58548917514111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32.927799456705607</v>
      </c>
      <c r="AV192" s="21">
        <f>EXP(-LN(2)/25)*AV191+(1-EXP(-LN(2)/25))/(LN(2)/25)*Calculateur!AQ192*Calculateur!AS192*VLOOKUP('Données projet'!$B$10,Paramètres!$A$1:$I$89,3,0)*0.475*44/12</f>
        <v>3.3214242856946035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36.249223742400211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-1.9508661353029313E-13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359.99244410291516</v>
      </c>
      <c r="BJ192" s="59">
        <f t="shared" si="146"/>
        <v>143.73379124174278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83.909765120080266</v>
      </c>
      <c r="BQ192" s="21">
        <f>EXP(-LN(2)/25)*BQ191+(1-EXP(-LN(2)/25))/(LN(2)/25)*Calculateur!BL192*Calculateur!BN192*VLOOKUP('Données projet'!$B$11,Paramètres!$A$1:$I$89,3,0)*0.475*44/12</f>
        <v>14.944898412493281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98.854663532573539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350.25444539178324</v>
      </c>
      <c r="T193" s="59">
        <f t="shared" si="142"/>
        <v>421.51176105448474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18.45181696087317</v>
      </c>
      <c r="AA193" s="21">
        <f>EXP(-LN(2)/25)*AA192+(1-EXP(-LN(2)/25))/(LN(2)/25)*Calculateur!V193*Calculateur!X193*VLOOKUP('Données projet'!$B$9,Paramètres!$A$1:$I$89,3,0)*0.475*44/12</f>
        <v>1.5965894746649809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20.048406435538151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-9.0949470177292824E-13</v>
      </c>
      <c r="AJ193" s="13">
        <f>AI193*VLOOKUP('Données projet'!$B$10,Paramètres!$A$1:$I$89,3,0)*VLOOKUP('Données projet'!$B$10,Paramètres!$A$1:$I$89,5,0)</f>
        <v>-4.492903826758266E-13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350.14981500723491</v>
      </c>
      <c r="AO193" s="59">
        <f t="shared" si="144"/>
        <v>270.58548917514111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32.282105393334149</v>
      </c>
      <c r="AV193" s="21">
        <f>EXP(-LN(2)/25)*AV192+(1-EXP(-LN(2)/25))/(LN(2)/25)*Calculateur!AQ193*Calculateur!AS193*VLOOKUP('Données projet'!$B$10,Paramètres!$A$1:$I$89,3,0)*0.475*44/12</f>
        <v>3.2305997639361728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35.512705157270318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-1.9508661353029313E-13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359.99244410291516</v>
      </c>
      <c r="BJ193" s="59">
        <f t="shared" si="146"/>
        <v>143.73379124174278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82.264345805978621</v>
      </c>
      <c r="BQ193" s="21">
        <f>EXP(-LN(2)/25)*BQ192+(1-EXP(-LN(2)/25))/(LN(2)/25)*Calculateur!BL193*Calculateur!BN193*VLOOKUP('Données projet'!$B$11,Paramètres!$A$1:$I$89,3,0)*0.475*44/12</f>
        <v>14.536229379485601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96.800575185464226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350.25444539178324</v>
      </c>
      <c r="T194" s="59">
        <f t="shared" si="142"/>
        <v>421.51176105448474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18.089988084767505</v>
      </c>
      <c r="AA194" s="21">
        <f>EXP(-LN(2)/25)*AA193+(1-EXP(-LN(2)/25))/(LN(2)/25)*Calculateur!V194*Calculateur!X194*VLOOKUP('Données projet'!$B$9,Paramètres!$A$1:$I$89,3,0)*0.475*44/12</f>
        <v>1.5529306515192756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19.642918736286781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-9.0949470177292824E-13</v>
      </c>
      <c r="AJ194" s="13">
        <f>AI194*VLOOKUP('Données projet'!$B$10,Paramètres!$A$1:$I$89,3,0)*VLOOKUP('Données projet'!$B$10,Paramètres!$A$1:$I$89,5,0)</f>
        <v>-4.492903826758266E-13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350.14981500723491</v>
      </c>
      <c r="AO194" s="59">
        <f t="shared" si="144"/>
        <v>270.58548917514111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31.649072996710917</v>
      </c>
      <c r="AV194" s="21">
        <f>EXP(-LN(2)/25)*AV193+(1-EXP(-LN(2)/25))/(LN(2)/25)*Calculateur!AQ194*Calculateur!AS194*VLOOKUP('Données projet'!$B$10,Paramètres!$A$1:$I$89,3,0)*0.475*44/12</f>
        <v>3.1422588435014802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34.791331840212393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-1.9508661353029313E-13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359.99244410291516</v>
      </c>
      <c r="BJ194" s="59">
        <f t="shared" si="146"/>
        <v>143.73379124174278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80.651192161019821</v>
      </c>
      <c r="BQ194" s="21">
        <f>EXP(-LN(2)/25)*BQ193+(1-EXP(-LN(2)/25))/(LN(2)/25)*Calculateur!BL194*Calculateur!BN194*VLOOKUP('Données projet'!$B$11,Paramètres!$A$1:$I$89,3,0)*0.475*44/12</f>
        <v>14.138735422676486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94.789927583696311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350.25444539178324</v>
      </c>
      <c r="T195" s="59">
        <f t="shared" si="142"/>
        <v>421.51176105448474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17.73525445222845</v>
      </c>
      <c r="AA195" s="21">
        <f>EXP(-LN(2)/25)*AA194+(1-EXP(-LN(2)/25))/(LN(2)/25)*Calculateur!V195*Calculateur!X195*VLOOKUP('Données projet'!$B$9,Paramètres!$A$1:$I$89,3,0)*0.475*44/12</f>
        <v>1.5104656811884072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19.245720133416857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-9.0949470177292824E-13</v>
      </c>
      <c r="AJ195" s="13">
        <f>AI195*VLOOKUP('Données projet'!$B$10,Paramètres!$A$1:$I$89,3,0)*VLOOKUP('Données projet'!$B$10,Paramètres!$A$1:$I$89,5,0)</f>
        <v>-4.492903826758266E-13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350.14981500723491</v>
      </c>
      <c r="AO195" s="59">
        <f t="shared" si="144"/>
        <v>270.58548917514111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31.028453979273831</v>
      </c>
      <c r="AV195" s="21">
        <f>EXP(-LN(2)/25)*AV194+(1-EXP(-LN(2)/25))/(LN(2)/25)*Calculateur!AQ195*Calculateur!AS195*VLOOKUP('Données projet'!$B$10,Paramètres!$A$1:$I$89,3,0)*0.475*44/12</f>
        <v>3.0563336101817216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34.084787589455551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-1.9508661353029313E-13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359.99244410291516</v>
      </c>
      <c r="BJ195" s="59">
        <f t="shared" si="146"/>
        <v>143.73379124174278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79.069671475112102</v>
      </c>
      <c r="BQ195" s="21">
        <f>EXP(-LN(2)/25)*BQ194+(1-EXP(-LN(2)/25))/(LN(2)/25)*Calculateur!BL195*Calculateur!BN195*VLOOKUP('Données projet'!$B$11,Paramètres!$A$1:$I$89,3,0)*0.475*44/12</f>
        <v>13.752110959019616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92.82178243413172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350.25444539178324</v>
      </c>
      <c r="T196" s="59">
        <f t="shared" si="142"/>
        <v>421.51176105448474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17.387476929857332</v>
      </c>
      <c r="AA196" s="21">
        <f>EXP(-LN(2)/25)*AA195+(1-EXP(-LN(2)/25))/(LN(2)/25)*Calculateur!V196*Calculateur!X196*VLOOKUP('Données projet'!$B$9,Paramètres!$A$1:$I$89,3,0)*0.475*44/12</f>
        <v>1.4691619177043722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18.856638847561705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-9.0949470177292824E-13</v>
      </c>
      <c r="AJ196" s="13">
        <f>AI196*VLOOKUP('Données projet'!$B$10,Paramètres!$A$1:$I$89,3,0)*VLOOKUP('Données projet'!$B$10,Paramètres!$A$1:$I$89,5,0)</f>
        <v>-4.492903826758266E-13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350.14981500723491</v>
      </c>
      <c r="AO196" s="59">
        <f t="shared" si="144"/>
        <v>270.58548917514111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30.420004922228461</v>
      </c>
      <c r="AV196" s="21">
        <f>EXP(-LN(2)/25)*AV195+(1-EXP(-LN(2)/25))/(LN(2)/25)*Calculateur!AQ196*Calculateur!AS196*VLOOKUP('Données projet'!$B$10,Paramètres!$A$1:$I$89,3,0)*0.475*44/12</f>
        <v>2.9727580068857034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33.392762929114163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-1.9508661353029313E-13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359.99244410291516</v>
      </c>
      <c r="BJ196" s="59">
        <f t="shared" si="146"/>
        <v>143.73379124174278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77.519163445222659</v>
      </c>
      <c r="BQ196" s="21">
        <f>EXP(-LN(2)/25)*BQ195+(1-EXP(-LN(2)/25))/(LN(2)/25)*Calculateur!BL196*Calculateur!BN196*VLOOKUP('Données projet'!$B$11,Paramètres!$A$1:$I$89,3,0)*0.475*44/12</f>
        <v>13.376058761653139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90.8952222068758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350.25444539178324</v>
      </c>
      <c r="T197" s="59">
        <f t="shared" ref="T197:T203" si="204">$T$3</f>
        <v>421.51176105448474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17.046519112576568</v>
      </c>
      <c r="AA197" s="21">
        <f>EXP(-LN(2)/25)*AA196+(1-EXP(-LN(2)/25))/(LN(2)/25)*Calculateur!V197*Calculateur!X197*VLOOKUP('Données projet'!$B$9,Paramètres!$A$1:$I$89,3,0)*0.475*44/12</f>
        <v>1.4289876078048787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18.475506720381446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-9.0949470177292824E-13</v>
      </c>
      <c r="AJ197" s="13">
        <f>AI197*VLOOKUP('Données projet'!$B$10,Paramètres!$A$1:$I$89,3,0)*VLOOKUP('Données projet'!$B$10,Paramètres!$A$1:$I$89,5,0)</f>
        <v>-4.492903826758266E-13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350.14981500723491</v>
      </c>
      <c r="AO197" s="59">
        <f t="shared" ref="AO197:AO203" si="205">$AO$3</f>
        <v>270.58548917514111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29.823487180074473</v>
      </c>
      <c r="AV197" s="21">
        <f>EXP(-LN(2)/25)*AV196+(1-EXP(-LN(2)/25))/(LN(2)/25)*Calculateur!AQ197*Calculateur!AS197*VLOOKUP('Données projet'!$B$10,Paramètres!$A$1:$I$89,3,0)*0.475*44/12</f>
        <v>2.8914677828568647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32.714954962931337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-1.9508661353029313E-13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359.99244410291516</v>
      </c>
      <c r="BJ197" s="59">
        <f t="shared" ref="BJ197:BJ203" si="206">$BJ$3</f>
        <v>143.73379124174278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75.99905993208283</v>
      </c>
      <c r="BQ197" s="21">
        <f>EXP(-LN(2)/25)*BQ196+(1-EXP(-LN(2)/25))/(LN(2)/25)*Calculateur!BL197*Calculateur!BN197*VLOOKUP('Données projet'!$B$11,Paramètres!$A$1:$I$89,3,0)*0.475*44/12</f>
        <v>13.010289731399375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89.009349663482197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350.25444539178324</v>
      </c>
      <c r="T198" s="59">
        <f t="shared" si="204"/>
        <v>421.51176105448474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16.712247270128948</v>
      </c>
      <c r="AA198" s="21">
        <f>EXP(-LN(2)/25)*AA197+(1-EXP(-LN(2)/25))/(LN(2)/25)*Calculateur!V198*Calculateur!X198*VLOOKUP('Données projet'!$B$9,Paramètres!$A$1:$I$89,3,0)*0.475*44/12</f>
        <v>1.3899118665222618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18.10215913665121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-9.0949470177292824E-13</v>
      </c>
      <c r="AJ198" s="13">
        <f>AI198*VLOOKUP('Données projet'!$B$10,Paramètres!$A$1:$I$89,3,0)*VLOOKUP('Données projet'!$B$10,Paramètres!$A$1:$I$89,5,0)</f>
        <v>-4.492903826758266E-13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350.14981500723491</v>
      </c>
      <c r="AO198" s="59">
        <f t="shared" si="205"/>
        <v>270.58548917514111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29.238666787004227</v>
      </c>
      <c r="AV198" s="21">
        <f>EXP(-LN(2)/25)*AV197+(1-EXP(-LN(2)/25))/(LN(2)/25)*Calculateur!AQ198*Calculateur!AS198*VLOOKUP('Données projet'!$B$10,Paramètres!$A$1:$I$89,3,0)*0.475*44/12</f>
        <v>2.8124004442789614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32.051067231283191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-1.9508661353029313E-13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359.99244410291516</v>
      </c>
      <c r="BJ198" s="59">
        <f t="shared" si="206"/>
        <v>143.73379124174278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74.508764721664079</v>
      </c>
      <c r="BQ198" s="21">
        <f>EXP(-LN(2)/25)*BQ197+(1-EXP(-LN(2)/25))/(LN(2)/25)*Calculateur!BL198*Calculateur!BN198*VLOOKUP('Données projet'!$B$11,Paramètres!$A$1:$I$89,3,0)*0.475*44/12</f>
        <v>12.654522674512858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87.163287396176941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350.25444539178324</v>
      </c>
      <c r="T199" s="59">
        <f t="shared" si="204"/>
        <v>421.51176105448474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16.384530294626032</v>
      </c>
      <c r="AA199" s="21">
        <f>EXP(-LN(2)/25)*AA198+(1-EXP(-LN(2)/25))/(LN(2)/25)*Calculateur!V199*Calculateur!X199*VLOOKUP('Données projet'!$B$9,Paramètres!$A$1:$I$89,3,0)*0.475*44/12</f>
        <v>1.3519046534399222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17.736434948065956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-9.0949470177292824E-13</v>
      </c>
      <c r="AJ199" s="13">
        <f>AI199*VLOOKUP('Données projet'!$B$10,Paramètres!$A$1:$I$89,3,0)*VLOOKUP('Données projet'!$B$10,Paramètres!$A$1:$I$89,5,0)</f>
        <v>-4.492903826758266E-13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350.14981500723491</v>
      </c>
      <c r="AO199" s="59">
        <f t="shared" si="205"/>
        <v>270.58548917514111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28.665314365136872</v>
      </c>
      <c r="AV199" s="21">
        <f>EXP(-LN(2)/25)*AV198+(1-EXP(-LN(2)/25))/(LN(2)/25)*Calculateur!AQ199*Calculateur!AS199*VLOOKUP('Données projet'!$B$10,Paramètres!$A$1:$I$89,3,0)*0.475*44/12</f>
        <v>2.7354952062324416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31.400809571369315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-1.9508661353029313E-13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359.99244410291516</v>
      </c>
      <c r="BJ199" s="59">
        <f t="shared" si="206"/>
        <v>143.73379124174278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73.047693291331328</v>
      </c>
      <c r="BQ199" s="21">
        <f>EXP(-LN(2)/25)*BQ198+(1-EXP(-LN(2)/25))/(LN(2)/25)*Calculateur!BL199*Calculateur!BN199*VLOOKUP('Données projet'!$B$11,Paramètres!$A$1:$I$89,3,0)*0.475*44/12</f>
        <v>12.308484086505878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85.356177377837213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350.25444539178324</v>
      </c>
      <c r="T200" s="59">
        <f t="shared" si="204"/>
        <v>421.51176105448474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16.063239649125112</v>
      </c>
      <c r="AA200" s="21">
        <f>EXP(-LN(2)/25)*AA199+(1-EXP(-LN(2)/25))/(LN(2)/25)*Calculateur!V200*Calculateur!X200*VLOOKUP('Données projet'!$B$9,Paramètres!$A$1:$I$89,3,0)*0.475*44/12</f>
        <v>1.3149367495980315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17.378176398723145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-9.0949470177292824E-13</v>
      </c>
      <c r="AJ200" s="13">
        <f>AI200*VLOOKUP('Données projet'!$B$10,Paramètres!$A$1:$I$89,3,0)*VLOOKUP('Données projet'!$B$10,Paramètres!$A$1:$I$89,5,0)</f>
        <v>-4.492903826758266E-13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350.14981500723491</v>
      </c>
      <c r="AO200" s="59">
        <f t="shared" si="205"/>
        <v>270.58548917514111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28.103205034551888</v>
      </c>
      <c r="AV200" s="21">
        <f>EXP(-LN(2)/25)*AV199+(1-EXP(-LN(2)/25))/(LN(2)/25)*Calculateur!AQ200*Calculateur!AS200*VLOOKUP('Données projet'!$B$10,Paramètres!$A$1:$I$89,3,0)*0.475*44/12</f>
        <v>2.6606929459645747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30.763897980516461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-1.9508661353029313E-13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359.99244410291516</v>
      </c>
      <c r="BJ200" s="59">
        <f t="shared" si="206"/>
        <v>143.73379124174278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71.615272580581816</v>
      </c>
      <c r="BQ200" s="21">
        <f>EXP(-LN(2)/25)*BQ199+(1-EXP(-LN(2)/25))/(LN(2)/25)*Calculateur!BL200*Calculateur!BN200*VLOOKUP('Données projet'!$B$11,Paramètres!$A$1:$I$89,3,0)*0.475*44/12</f>
        <v>11.971907941885329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83.58718052246715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350.25444539178324</v>
      </c>
      <c r="T201" s="59">
        <f t="shared" si="204"/>
        <v>421.51176105448474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15.748249317214521</v>
      </c>
      <c r="AA201" s="21">
        <f>EXP(-LN(2)/25)*AA200+(1-EXP(-LN(2)/25))/(LN(2)/25)*Calculateur!V201*Calculateur!X201*VLOOKUP('Données projet'!$B$9,Paramètres!$A$1:$I$89,3,0)*0.475*44/12</f>
        <v>1.278979735030755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17.027229052245275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-9.0949470177292824E-13</v>
      </c>
      <c r="AJ201" s="13">
        <f>AI201*VLOOKUP('Données projet'!$B$10,Paramètres!$A$1:$I$89,3,0)*VLOOKUP('Données projet'!$B$10,Paramètres!$A$1:$I$89,5,0)</f>
        <v>-4.492903826758266E-13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350.14981500723491</v>
      </c>
      <c r="AO201" s="59">
        <f t="shared" si="205"/>
        <v>270.58548917514111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27.552118325086838</v>
      </c>
      <c r="AV201" s="21">
        <f>EXP(-LN(2)/25)*AV200+(1-EXP(-LN(2)/25))/(LN(2)/25)*Calculateur!AQ201*Calculateur!AS201*VLOOKUP('Données projet'!$B$10,Paramètres!$A$1:$I$89,3,0)*0.475*44/12</f>
        <v>2.5879361574374125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30.140054482524249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-1.9508661353029313E-13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359.99244410291516</v>
      </c>
      <c r="BJ201" s="59">
        <f t="shared" si="206"/>
        <v>143.73379124174278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70.210940766279734</v>
      </c>
      <c r="BQ201" s="21">
        <f>EXP(-LN(2)/25)*BQ200+(1-EXP(-LN(2)/25))/(LN(2)/25)*Calculateur!BL201*Calculateur!BN201*VLOOKUP('Données projet'!$B$11,Paramètres!$A$1:$I$89,3,0)*0.475*44/12</f>
        <v>11.644535489639198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81.85547625591893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350.25444539178324</v>
      </c>
      <c r="T202" s="59">
        <f t="shared" si="204"/>
        <v>421.51176105448474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15.439435753587565</v>
      </c>
      <c r="AA202" s="21">
        <f>EXP(-LN(2)/25)*AA201+(1-EXP(-LN(2)/25))/(LN(2)/25)*Calculateur!V202*Calculateur!X202*VLOOKUP('Données projet'!$B$9,Paramètres!$A$1:$I$89,3,0)*0.475*44/12</f>
        <v>1.2440059669177179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16.683441720505282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-9.0949470177292824E-13</v>
      </c>
      <c r="AJ202" s="13">
        <f>AI202*VLOOKUP('Données projet'!$B$10,Paramètres!$A$1:$I$89,3,0)*VLOOKUP('Données projet'!$B$10,Paramètres!$A$1:$I$89,5,0)</f>
        <v>-4.492903826758266E-13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350.14981500723491</v>
      </c>
      <c r="AO202" s="59">
        <f t="shared" si="205"/>
        <v>270.58548917514111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27.011838089864693</v>
      </c>
      <c r="AV202" s="21">
        <f>EXP(-LN(2)/25)*AV201+(1-EXP(-LN(2)/25))/(LN(2)/25)*Calculateur!AQ202*Calculateur!AS202*VLOOKUP('Données projet'!$B$10,Paramètres!$A$1:$I$89,3,0)*0.475*44/12</f>
        <v>2.5171689071186387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29.52900699698333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-1.9508661353029313E-13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359.99244410291516</v>
      </c>
      <c r="BJ202" s="59">
        <f t="shared" si="206"/>
        <v>143.73379124174278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68.834147042298298</v>
      </c>
      <c r="BQ202" s="21">
        <f>EXP(-LN(2)/25)*BQ201+(1-EXP(-LN(2)/25))/(LN(2)/25)*Calculateur!BL202*Calculateur!BN202*VLOOKUP('Données projet'!$B$11,Paramètres!$A$1:$I$89,3,0)*0.475*44/12</f>
        <v>11.326115054315506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80.160262096613806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350.25444539178324</v>
      </c>
      <c r="T203" s="59">
        <f t="shared" si="204"/>
        <v>421.51176105448474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15.136677835585658</v>
      </c>
      <c r="AA203" s="21">
        <f>EXP(-LN(2)/25)*AA202+(1-EXP(-LN(2)/25))/(LN(2)/25)*Calculateur!V203*Calculateur!X203*VLOOKUP('Données projet'!$B$9,Paramètres!$A$1:$I$89,3,0)*0.475*44/12</f>
        <v>1.2099885583329224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16.346666393918582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-9.0949470177292824E-13</v>
      </c>
      <c r="AJ203" s="13">
        <f>AI203*VLOOKUP('Données projet'!$B$10,Paramètres!$A$1:$I$89,3,0)*VLOOKUP('Données projet'!$B$10,Paramètres!$A$1:$I$89,5,0)</f>
        <v>-4.492903826758266E-13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350.14981500723491</v>
      </c>
      <c r="AO203" s="59">
        <f t="shared" si="205"/>
        <v>270.58548917514111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26.482152420516851</v>
      </c>
      <c r="AV203" s="21">
        <f>EXP(-LN(2)/25)*AV202+(1-EXP(-LN(2)/25))/(LN(2)/25)*Calculateur!AQ203*Calculateur!AS203*VLOOKUP('Données projet'!$B$10,Paramètres!$A$1:$I$89,3,0)*0.475*44/12</f>
        <v>2.4483367909813198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28.93048921149817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-1.9508661353029313E-13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359.99244410291516</v>
      </c>
      <c r="BJ203" s="59">
        <f t="shared" si="206"/>
        <v>143.73379124174278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67.484351403482876</v>
      </c>
      <c r="BQ203" s="21">
        <f>EXP(-LN(2)/25)*BQ202+(1-EXP(-LN(2)/25))/(LN(2)/25)*Calculateur!BL203*Calculateur!BN203*VLOOKUP('Données projet'!$B$11,Paramètres!$A$1:$I$89,3,0)*0.475*44/12</f>
        <v>11.016401842540745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78.500753246023621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1.3070441688874561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1.282970348825361</v>
      </c>
      <c r="BA205" s="82">
        <f>EXP(LN('Données projet'!B88)/'Données projet'!A88)</f>
        <v>1.189207115002721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K42" sqref="K4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0.63</v>
      </c>
      <c r="C6" s="147">
        <f ca="1">IF(OR('Données projet'!B9="",'Données projet'!C9="",'Données projet'!C9=0%),0,Calculateur!S3)</f>
        <v>350.25444539178324</v>
      </c>
      <c r="D6" s="147">
        <f>IF(OR('Données projet'!B9="",'Données projet'!C9="",'Données projet'!C9=0%),0,Calculateur!T3)</f>
        <v>421.51176105448474</v>
      </c>
      <c r="E6" s="147">
        <f ca="1">MIN(C6,D6)</f>
        <v>350.25444539178324</v>
      </c>
      <c r="F6" s="147">
        <f ca="1">E6*B6</f>
        <v>220.66030059682345</v>
      </c>
      <c r="G6" s="147">
        <f ca="1">F6*(100%-'Données projet'!$C$24)*(100%-'Données projet'!$C$25)*(100%-'Données projet'!$C$26)*(100%-'Données projet'!$C$27)</f>
        <v>198.59427053714111</v>
      </c>
      <c r="H6" s="148">
        <f>IF(OR('Données projet'!B9="",'Données projet'!C9="",'Données projet'!C9=0%),0,AVERAGE(Calculateur!$AC$3:$AC$33)*B6)</f>
        <v>2.9927517988161489</v>
      </c>
      <c r="I6" s="149">
        <f>H6*(100%-'Données projet'!$C$24)*(100%-'Données projet'!$C$25)*(100%-'Données projet'!$C$26)*(100%-'Données projet'!$C$27)</f>
        <v>2.6934766189345343</v>
      </c>
      <c r="J6" s="150">
        <f>IF(OR('Données projet'!B9="",'Données projet'!C9="",'Données projet'!C9=0%),0,SUM(Calculateur!$V$3:$V$33)*VLOOKUP('Données projet'!$B$9,Paramètres!$A$1:$I$89,9,0)*B6)</f>
        <v>29.257199999999997</v>
      </c>
      <c r="K6" s="151">
        <f>J6*(100%-'Données projet'!$C$24)*(100%-'Données projet'!$C$25)*(100%-'Données projet'!$C$26)*(100%-'Données projet'!$C$27)</f>
        <v>26.331479999999999</v>
      </c>
      <c r="L6" s="152">
        <f ca="1">G6+I6+K6</f>
        <v>227.61922715607565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Sapin pectiné</v>
      </c>
      <c r="B7" s="154">
        <f>'Données projet'!D10</f>
        <v>0.63</v>
      </c>
      <c r="C7" s="147">
        <f ca="1">IF(OR('Données projet'!B10="",'Données projet'!C10="",'Données projet'!C10=0%),0,Calculateur!AN3)</f>
        <v>350.14981500723491</v>
      </c>
      <c r="D7" s="147">
        <f>IF(OR('Données projet'!B10="",'Données projet'!C10="",'Données projet'!C10=0%),0,Calculateur!AO3)</f>
        <v>270.58548917514111</v>
      </c>
      <c r="E7" s="147">
        <f t="shared" ref="E7:E15" ca="1" si="0">MIN(C7,D7)</f>
        <v>270.58548917514111</v>
      </c>
      <c r="F7" s="147">
        <f t="shared" ref="F7:F15" ca="1" si="1">E7*B7</f>
        <v>170.46885818033888</v>
      </c>
      <c r="G7" s="147">
        <f ca="1">F7*(100%-'Données projet'!$C$24)*(100%-'Données projet'!$C$25)*(100%-'Données projet'!$C$26)*(100%-'Données projet'!$C$27)</f>
        <v>153.42197236230501</v>
      </c>
      <c r="H7" s="155">
        <f>IF(OR('Données projet'!B10="",'Données projet'!C10="",'Données projet'!C10=0%),0,AVERAGE(Calculateur!$AX$3:$AX$33)*B7)</f>
        <v>1.9936658653359156</v>
      </c>
      <c r="I7" s="149">
        <f>H7*(100%-'Données projet'!$C$24)*(100%-'Données projet'!$C$25)*(100%-'Données projet'!$C$26)*(100%-'Données projet'!$C$27)</f>
        <v>1.794299278802324</v>
      </c>
      <c r="J7" s="150">
        <f>IF(OR('Données projet'!B10="",'Données projet'!C10="",'Données projet'!C10=0%),0,SUM(Calculateur!$AQ$3:$AQ$33)*VLOOKUP('Données projet'!$B$10,Paramètres!$A$1:$I$89,9,0)*B7)</f>
        <v>20.696760000000001</v>
      </c>
      <c r="K7" s="151">
        <f>J7*(100%-'Données projet'!$C$24)*(100%-'Données projet'!$C$25)*(100%-'Données projet'!$C$26)*(100%-'Données projet'!$C$27)</f>
        <v>18.627084</v>
      </c>
      <c r="L7" s="152">
        <f t="shared" ref="L7:L15" ca="1" si="2">G7+I7+K7</f>
        <v>173.84335564110734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Hêtre</v>
      </c>
      <c r="B8" s="154">
        <f>'Données projet'!D11</f>
        <v>0.13999999999999999</v>
      </c>
      <c r="C8" s="147">
        <f ca="1">IF(OR('Données projet'!B11="",'Données projet'!C11="",'Données projet'!C11=0%),0,Calculateur!BI3)</f>
        <v>359.99244410291516</v>
      </c>
      <c r="D8" s="147">
        <f>IF(OR('Données projet'!B11="",'Données projet'!C11="",'Données projet'!C11=0%),0,Calculateur!BJ3)</f>
        <v>143.73379124174278</v>
      </c>
      <c r="E8" s="147">
        <f t="shared" ca="1" si="0"/>
        <v>143.73379124174278</v>
      </c>
      <c r="F8" s="147">
        <f t="shared" ca="1" si="1"/>
        <v>20.122730773843987</v>
      </c>
      <c r="G8" s="147">
        <f ca="1">F8*(100%-'Données projet'!$C$24)*(100%-'Données projet'!$C$25)*(100%-'Données projet'!$C$26)*(100%-'Données projet'!$C$27)</f>
        <v>18.110457696459587</v>
      </c>
      <c r="H8" s="155">
        <f>IF(OR('Données projet'!B11="",'Données projet'!C11="",'Données projet'!C11=0%),0,AVERAGE(Calculateur!$BS$3:$BS$33)*B8)</f>
        <v>4.5398565923893901E-2</v>
      </c>
      <c r="I8" s="149">
        <f>H8*(100%-'Données projet'!$C$24)*(100%-'Données projet'!$C$25)*(100%-'Données projet'!$C$26)*(100%-'Données projet'!$C$27)</f>
        <v>4.0858709331504511E-2</v>
      </c>
      <c r="J8" s="150">
        <f>IF(OR('Données projet'!B11="",'Données projet'!C11="",'Données projet'!C11=0%),0,SUM(Calculateur!$BL$3:$BL$33)*VLOOKUP('Données projet'!$B$11,Paramètres!$A$1:$I$89,9,0)*B8)</f>
        <v>0.24499999999999997</v>
      </c>
      <c r="K8" s="151">
        <f>J8*(100%-'Données projet'!$C$24)*(100%-'Données projet'!$C$25)*(100%-'Données projet'!$C$26)*(100%-'Données projet'!$C$27)</f>
        <v>0.22049999999999997</v>
      </c>
      <c r="L8" s="152">
        <f t="shared" ca="1" si="2"/>
        <v>18.371816405791094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411.25188955100634</v>
      </c>
      <c r="G16" s="166">
        <f t="shared" ca="1" si="3"/>
        <v>370.12670059590573</v>
      </c>
      <c r="H16" s="167">
        <f t="shared" si="3"/>
        <v>5.0318162300759584</v>
      </c>
      <c r="I16" s="167">
        <f t="shared" si="3"/>
        <v>4.528634607068363</v>
      </c>
      <c r="J16" s="168">
        <f t="shared" si="3"/>
        <v>50.198959999999992</v>
      </c>
      <c r="K16" s="168">
        <f t="shared" si="3"/>
        <v>45.179063999999997</v>
      </c>
      <c r="L16" s="169">
        <f t="shared" ca="1" si="3"/>
        <v>419.83439920297411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Sapin pectiné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view="pageBreakPreview" topLeftCell="J4" zoomScale="50" zoomScaleNormal="80" zoomScaleSheetLayoutView="50" workbookViewId="0">
      <selection activeCell="L33" sqref="L3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-392.07384899936733</v>
      </c>
      <c r="U10" s="178">
        <f>'Données projet'!D9</f>
        <v>0.63</v>
      </c>
      <c r="V10" s="177">
        <f>U10*T10</f>
        <v>-247.00652486960141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Sapin pectiné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685.69349700714781</v>
      </c>
      <c r="U11" s="178">
        <f>'Données projet'!D10</f>
        <v>0.63</v>
      </c>
      <c r="V11" s="177">
        <f t="shared" ref="V11" si="0">U11*T11</f>
        <v>431.98690311450315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Hêtre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-564.31269642539166</v>
      </c>
      <c r="U12" s="178">
        <f>'Données projet'!D11</f>
        <v>0.13999999999999999</v>
      </c>
      <c r="V12" s="177">
        <f t="shared" ref="V12:V19" si="1">U12*T12</f>
        <v>-79.003777499554829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20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2000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20.000000000000004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v>1000</v>
      </c>
      <c r="F18" s="230"/>
      <c r="G18" s="289"/>
      <c r="J18" s="202"/>
      <c r="K18" s="208"/>
      <c r="L18" s="259" t="s">
        <v>255</v>
      </c>
      <c r="M18" s="261"/>
      <c r="N18" s="192">
        <v>50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v>1000</v>
      </c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1000.0000000000002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v>1000</v>
      </c>
      <c r="F20" s="230"/>
      <c r="G20" s="289"/>
      <c r="H20" s="190">
        <v>0</v>
      </c>
      <c r="I20" s="191">
        <v>1500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>
        <v>1000</v>
      </c>
      <c r="F21" s="230"/>
      <c r="H21" s="190">
        <v>1</v>
      </c>
      <c r="I21" s="191">
        <v>100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100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19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100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-4237.0877932841131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54</v>
      </c>
      <c r="C24" s="193">
        <v>25</v>
      </c>
      <c r="D24" s="182">
        <f t="shared" ref="D24:D42" si="2">B24*C24</f>
        <v>1350</v>
      </c>
      <c r="E24" s="193"/>
      <c r="F24" s="233"/>
      <c r="H24" s="190">
        <v>4</v>
      </c>
      <c r="I24" s="191">
        <v>100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580.50000355841848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54</v>
      </c>
      <c r="C25" s="193">
        <v>30</v>
      </c>
      <c r="D25" s="182">
        <f t="shared" si="2"/>
        <v>1620</v>
      </c>
      <c r="E25" s="193"/>
      <c r="F25" s="233"/>
      <c r="H25" s="190">
        <v>5</v>
      </c>
      <c r="I25" s="191">
        <v>100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-4817.587796842532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>
        <v>6</v>
      </c>
      <c r="I26" s="191">
        <v>100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72</v>
      </c>
      <c r="C27" s="193">
        <v>55</v>
      </c>
      <c r="D27" s="182">
        <f t="shared" si="2"/>
        <v>3960</v>
      </c>
      <c r="E27" s="193"/>
      <c r="F27" s="233"/>
      <c r="G27" s="229"/>
      <c r="H27" s="190">
        <v>7</v>
      </c>
      <c r="I27" s="191">
        <v>100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100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100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55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100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60</v>
      </c>
      <c r="B31" s="181">
        <f>'Données projet'!D44</f>
        <v>637</v>
      </c>
      <c r="C31" s="193">
        <v>80</v>
      </c>
      <c r="D31" s="182">
        <f t="shared" si="2"/>
        <v>50960</v>
      </c>
      <c r="E31" s="193"/>
      <c r="F31" s="233"/>
      <c r="G31" s="203"/>
      <c r="H31" s="190">
        <v>11</v>
      </c>
      <c r="I31" s="191">
        <v>100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100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100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100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100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100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100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100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100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100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100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100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100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100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Sapin pectiné</v>
      </c>
      <c r="C45" s="4"/>
      <c r="D45" s="4"/>
      <c r="E45" s="4"/>
      <c r="F45" s="230"/>
      <c r="G45" s="203"/>
      <c r="H45" s="190">
        <v>25</v>
      </c>
      <c r="I45" s="191">
        <v>100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100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100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2000</v>
      </c>
      <c r="F48" s="231"/>
      <c r="G48" s="203"/>
      <c r="H48" s="190">
        <v>28</v>
      </c>
      <c r="I48" s="191">
        <v>100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100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100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15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22</v>
      </c>
      <c r="C55" s="191">
        <v>25</v>
      </c>
      <c r="D55" s="179">
        <f t="shared" ref="D55:D73" si="4">B55*C55</f>
        <v>550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25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30</v>
      </c>
      <c r="B57" s="181">
        <f>'Données projet'!D65</f>
        <v>54.400000000000006</v>
      </c>
      <c r="C57" s="191">
        <v>30</v>
      </c>
      <c r="D57" s="179">
        <f t="shared" si="4"/>
        <v>1632.0000000000002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35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45</v>
      </c>
      <c r="B60" s="181">
        <f>'Données projet'!D68</f>
        <v>94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55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60</v>
      </c>
      <c r="B63" s="181">
        <f>'Données projet'!D71</f>
        <v>187.2</v>
      </c>
      <c r="C63" s="191">
        <v>55</v>
      </c>
      <c r="D63" s="179">
        <f t="shared" si="4"/>
        <v>10296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65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70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75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80</v>
      </c>
      <c r="B67" s="181">
        <f>'Données projet'!D75</f>
        <v>789</v>
      </c>
      <c r="C67" s="191">
        <v>65</v>
      </c>
      <c r="D67" s="179">
        <f t="shared" si="4"/>
        <v>51285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Hêtre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1000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7</v>
      </c>
      <c r="C86" s="191">
        <v>40</v>
      </c>
      <c r="D86" s="179">
        <f t="shared" ref="D86:D104" si="6">B86*C86</f>
        <v>280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40</v>
      </c>
      <c r="B89" s="181">
        <f>'Données projet'!D92</f>
        <v>28</v>
      </c>
      <c r="C89" s="191">
        <v>40</v>
      </c>
      <c r="D89" s="179">
        <f t="shared" si="6"/>
        <v>1120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45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55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60</v>
      </c>
      <c r="B93" s="181">
        <f>'Données projet'!D96</f>
        <v>28</v>
      </c>
      <c r="C93" s="191">
        <v>40</v>
      </c>
      <c r="D93" s="179">
        <f t="shared" si="6"/>
        <v>1120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65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70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75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80</v>
      </c>
      <c r="B97" s="181">
        <f>'Données projet'!D100</f>
        <v>28</v>
      </c>
      <c r="C97" s="191">
        <v>40</v>
      </c>
      <c r="D97" s="179">
        <f t="shared" si="6"/>
        <v>1120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85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90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95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100</v>
      </c>
      <c r="B101" s="181">
        <f>'Données projet'!D104</f>
        <v>28</v>
      </c>
      <c r="C101" s="191">
        <v>40</v>
      </c>
      <c r="D101" s="179">
        <f t="shared" si="6"/>
        <v>1120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120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140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150</v>
      </c>
      <c r="B104" s="181">
        <f>'Données projet'!D107</f>
        <v>429</v>
      </c>
      <c r="C104" s="191">
        <v>40</v>
      </c>
      <c r="D104" s="179">
        <f t="shared" si="6"/>
        <v>17160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scale="89" orientation="portrait" r:id="rId1"/>
  <rowBreaks count="2" manualBreakCount="2">
    <brk id="44" max="21" man="1"/>
    <brk id="75" max="21" man="1"/>
  </rowBreaks>
  <colBreaks count="3" manualBreakCount="3">
    <brk id="6" min="6" max="103" man="1"/>
    <brk id="10" min="6" max="103" man="1"/>
    <brk id="17" min="6" max="10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  <vt:lpstr>VAN!Zone_d_impression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alexis filaire</cp:lastModifiedBy>
  <dcterms:created xsi:type="dcterms:W3CDTF">2021-02-01T08:22:39Z</dcterms:created>
  <dcterms:modified xsi:type="dcterms:W3CDTF">2023-01-16T10:08:49Z</dcterms:modified>
</cp:coreProperties>
</file>